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9225" yWindow="60" windowWidth="21330" windowHeight="12000" firstSheet="5" activeTab="5"/>
  </bookViews>
  <sheets>
    <sheet name="Update Stock Prices" sheetId="27" r:id="rId1"/>
    <sheet name="Stocks" sheetId="10" r:id="rId2"/>
    <sheet name="TSPHistory" sheetId="14" r:id="rId3"/>
    <sheet name="Treasuries" sheetId="21" r:id="rId4"/>
    <sheet name="P2P Notes" sheetId="54" r:id="rId5"/>
    <sheet name="Metals" sheetId="22" r:id="rId6"/>
  </sheets>
  <definedNames>
    <definedName name="_AMO_UniqueIdentifier" hidden="1">"'d2c1cc9f-37c5-4bc4-8af8-beb523474b02'"</definedName>
    <definedName name="_xlnm._FilterDatabase" localSheetId="5" hidden="1">Metals!#REF!</definedName>
    <definedName name="_xlnm._FilterDatabase" localSheetId="1" hidden="1">Stocks!$A$1:$AF$97</definedName>
    <definedName name="solver_cvg" localSheetId="1" hidden="1">0.0001</definedName>
    <definedName name="solver_drv" localSheetId="1" hidden="1">1</definedName>
    <definedName name="solver_est" localSheetId="1" hidden="1">1</definedName>
    <definedName name="solver_itr" localSheetId="1" hidden="1">100</definedName>
    <definedName name="solver_lin" localSheetId="1" hidden="1">2</definedName>
    <definedName name="solver_neg" localSheetId="1" hidden="1">2</definedName>
    <definedName name="solver_num" localSheetId="1" hidden="1">0</definedName>
    <definedName name="solver_nwt" localSheetId="1" hidden="1">1</definedName>
    <definedName name="solver_opt" localSheetId="1" hidden="1">Stocks!#REF!</definedName>
    <definedName name="solver_pre" localSheetId="1" hidden="1">0.000001</definedName>
    <definedName name="solver_scl" localSheetId="1" hidden="1">2</definedName>
    <definedName name="solver_sho" localSheetId="1" hidden="1">2</definedName>
    <definedName name="solver_tim" localSheetId="1" hidden="1">100</definedName>
    <definedName name="solver_tol" localSheetId="1" hidden="1">0.05</definedName>
    <definedName name="solver_typ" localSheetId="1" hidden="1">1</definedName>
    <definedName name="solver_val" localSheetId="1" hidden="1">0</definedName>
    <definedName name="www.apmex" localSheetId="5">Metals!#REF!</definedName>
  </definedNames>
  <calcPr calcId="125725"/>
</workbook>
</file>

<file path=xl/calcChain.xml><?xml version="1.0" encoding="utf-8"?>
<calcChain xmlns="http://schemas.openxmlformats.org/spreadsheetml/2006/main">
  <c r="F112" i="22"/>
  <c r="G68"/>
  <c r="F68"/>
  <c r="M13"/>
  <c r="M12"/>
  <c r="G74"/>
  <c r="J8"/>
  <c r="J7"/>
  <c r="J6"/>
  <c r="J5"/>
  <c r="I52"/>
  <c r="L136" l="1"/>
  <c r="L132"/>
  <c r="E23"/>
  <c r="H12"/>
  <c r="B40"/>
  <c r="F111" i="10"/>
  <c r="AT121"/>
  <c r="AC190"/>
  <c r="BE309"/>
  <c r="BB352" l="1"/>
  <c r="BB353"/>
  <c r="BB354"/>
  <c r="BB351"/>
  <c r="L36" i="54"/>
  <c r="L37"/>
  <c r="L38"/>
  <c r="L39" s="1"/>
  <c r="L40" s="1"/>
  <c r="L35"/>
  <c r="L34"/>
  <c r="K35"/>
  <c r="K37"/>
  <c r="K38"/>
  <c r="K39"/>
  <c r="K40"/>
  <c r="K34"/>
  <c r="J35"/>
  <c r="J36"/>
  <c r="J37"/>
  <c r="J38"/>
  <c r="J39"/>
  <c r="J40"/>
  <c r="J34"/>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2"/>
  <c r="AV226" i="10"/>
  <c r="DJ7" i="21"/>
  <c r="S2" i="54"/>
  <c r="W2" s="1"/>
  <c r="T2"/>
  <c r="X2"/>
  <c r="AV374" i="10"/>
  <c r="AV373"/>
  <c r="AV372"/>
  <c r="BB355" l="1"/>
  <c r="S3" i="54"/>
  <c r="W3" s="1"/>
  <c r="T3"/>
  <c r="X3"/>
  <c r="BF112" i="10" l="1"/>
  <c r="F6"/>
  <c r="AV367" l="1"/>
  <c r="AV362"/>
  <c r="AZ355"/>
  <c r="BA353" s="1"/>
  <c r="AY359" s="1"/>
  <c r="AV360"/>
  <c r="AV361" s="1"/>
  <c r="AT357" l="1"/>
  <c r="BA351"/>
  <c r="AY357" s="1"/>
  <c r="BA354"/>
  <c r="AY360" s="1"/>
  <c r="BA352"/>
  <c r="AY358" s="1"/>
  <c r="BA355"/>
  <c r="AY361" l="1"/>
  <c r="AT358"/>
  <c r="BB127"/>
  <c r="AV112" l="1"/>
  <c r="BF116"/>
  <c r="BF117" s="1"/>
  <c r="BB135"/>
  <c r="AY350"/>
  <c r="AY353" s="1"/>
  <c r="AZ359" s="1"/>
  <c r="M105" i="22"/>
  <c r="L105"/>
  <c r="G56"/>
  <c r="C54" s="1"/>
  <c r="D41"/>
  <c r="C57" s="1"/>
  <c r="B56"/>
  <c r="C55" s="1"/>
  <c r="B33"/>
  <c r="Q12" i="10"/>
  <c r="F24"/>
  <c r="F87"/>
  <c r="K125" i="21"/>
  <c r="K126"/>
  <c r="K127"/>
  <c r="K128"/>
  <c r="K115"/>
  <c r="K83"/>
  <c r="AZ104" i="10"/>
  <c r="S4" i="54"/>
  <c r="T4"/>
  <c r="X4"/>
  <c r="W4" l="1"/>
  <c r="K36"/>
  <c r="K41" s="1"/>
  <c r="AY352" i="10"/>
  <c r="AZ358" s="1"/>
  <c r="AY351"/>
  <c r="AZ357" s="1"/>
  <c r="AY354"/>
  <c r="AZ360" s="1"/>
  <c r="Q56"/>
  <c r="Q114"/>
  <c r="Q65"/>
  <c r="F62"/>
  <c r="AZ361" l="1"/>
  <c r="BB330"/>
  <c r="BB329"/>
  <c r="BB328"/>
  <c r="BA330"/>
  <c r="BA329"/>
  <c r="BA328"/>
  <c r="AZ330"/>
  <c r="AZ329"/>
  <c r="AZ328"/>
  <c r="AY330"/>
  <c r="AY329"/>
  <c r="AY328"/>
  <c r="AX331"/>
  <c r="L141" i="27"/>
  <c r="L101"/>
  <c r="AV389" i="10"/>
  <c r="Q38"/>
  <c r="BB311"/>
  <c r="BB312"/>
  <c r="BB310"/>
  <c r="BB318"/>
  <c r="BB317"/>
  <c r="BB316"/>
  <c r="BB323"/>
  <c r="BB324"/>
  <c r="BB322"/>
  <c r="AZ323"/>
  <c r="AZ324"/>
  <c r="AZ322"/>
  <c r="BA324"/>
  <c r="AY324"/>
  <c r="BA323"/>
  <c r="AY323"/>
  <c r="BA322"/>
  <c r="AY322"/>
  <c r="AZ317"/>
  <c r="AZ318"/>
  <c r="AZ316"/>
  <c r="BA318"/>
  <c r="AY318"/>
  <c r="BA317"/>
  <c r="AY317"/>
  <c r="BA316"/>
  <c r="AY316"/>
  <c r="K62"/>
  <c r="Q6"/>
  <c r="AY336" l="1"/>
  <c r="AZ336" s="1"/>
  <c r="AY338"/>
  <c r="AZ338" s="1"/>
  <c r="BA338" s="1"/>
  <c r="BA331"/>
  <c r="AY337"/>
  <c r="AZ337" s="1"/>
  <c r="BD337" s="1"/>
  <c r="AZ331"/>
  <c r="BB331"/>
  <c r="AY331"/>
  <c r="AV116"/>
  <c r="M125" i="21"/>
  <c r="DD39"/>
  <c r="DO12"/>
  <c r="DP12" s="1"/>
  <c r="Q16" i="10"/>
  <c r="S6" i="54"/>
  <c r="W6" s="1"/>
  <c r="T6"/>
  <c r="X6"/>
  <c r="S7"/>
  <c r="W7" s="1"/>
  <c r="T7"/>
  <c r="X7"/>
  <c r="S8"/>
  <c r="W8" s="1"/>
  <c r="T8"/>
  <c r="X8"/>
  <c r="S9"/>
  <c r="W9" s="1"/>
  <c r="T9"/>
  <c r="X9"/>
  <c r="S10"/>
  <c r="W10" s="1"/>
  <c r="T10"/>
  <c r="X10"/>
  <c r="S11"/>
  <c r="W11" s="1"/>
  <c r="T11"/>
  <c r="X11"/>
  <c r="S12"/>
  <c r="W12" s="1"/>
  <c r="T12"/>
  <c r="X12"/>
  <c r="S13"/>
  <c r="W13" s="1"/>
  <c r="T13"/>
  <c r="X13"/>
  <c r="S14"/>
  <c r="W14" s="1"/>
  <c r="T14"/>
  <c r="X14"/>
  <c r="S15"/>
  <c r="W15" s="1"/>
  <c r="T15"/>
  <c r="X15"/>
  <c r="S16"/>
  <c r="W16" s="1"/>
  <c r="T16"/>
  <c r="X16"/>
  <c r="S17"/>
  <c r="W17" s="1"/>
  <c r="T17"/>
  <c r="X17"/>
  <c r="S18"/>
  <c r="W18" s="1"/>
  <c r="T18"/>
  <c r="X18"/>
  <c r="S19"/>
  <c r="W19" s="1"/>
  <c r="T19"/>
  <c r="X19"/>
  <c r="S20"/>
  <c r="W20" s="1"/>
  <c r="T20"/>
  <c r="X20"/>
  <c r="S21"/>
  <c r="W21" s="1"/>
  <c r="T21"/>
  <c r="X21"/>
  <c r="S22"/>
  <c r="W22" s="1"/>
  <c r="T22"/>
  <c r="X22"/>
  <c r="S23"/>
  <c r="W23" s="1"/>
  <c r="T23"/>
  <c r="X23"/>
  <c r="S24"/>
  <c r="W24" s="1"/>
  <c r="T24"/>
  <c r="X24"/>
  <c r="S25"/>
  <c r="W25" s="1"/>
  <c r="T25"/>
  <c r="X25"/>
  <c r="S26"/>
  <c r="W26" s="1"/>
  <c r="T26"/>
  <c r="X26"/>
  <c r="S27"/>
  <c r="W27" s="1"/>
  <c r="T27"/>
  <c r="X27"/>
  <c r="S28"/>
  <c r="W28" s="1"/>
  <c r="T28"/>
  <c r="X28"/>
  <c r="S29"/>
  <c r="W29" s="1"/>
  <c r="T29"/>
  <c r="X29"/>
  <c r="S30"/>
  <c r="W30" s="1"/>
  <c r="T30"/>
  <c r="X30"/>
  <c r="S31"/>
  <c r="W31" s="1"/>
  <c r="T31"/>
  <c r="X31"/>
  <c r="S32"/>
  <c r="W32" s="1"/>
  <c r="T32"/>
  <c r="X32"/>
  <c r="S33"/>
  <c r="W33" s="1"/>
  <c r="T33"/>
  <c r="X33"/>
  <c r="S34"/>
  <c r="W34" s="1"/>
  <c r="T34"/>
  <c r="X34"/>
  <c r="S35"/>
  <c r="W35" s="1"/>
  <c r="T35"/>
  <c r="X35"/>
  <c r="S36"/>
  <c r="W36" s="1"/>
  <c r="T36"/>
  <c r="X36"/>
  <c r="S37"/>
  <c r="W37" s="1"/>
  <c r="T37"/>
  <c r="X37"/>
  <c r="S38"/>
  <c r="W38" s="1"/>
  <c r="T38"/>
  <c r="X38"/>
  <c r="S39"/>
  <c r="W39" s="1"/>
  <c r="T39"/>
  <c r="X39"/>
  <c r="S40"/>
  <c r="W40" s="1"/>
  <c r="T40"/>
  <c r="X40"/>
  <c r="S41"/>
  <c r="W41" s="1"/>
  <c r="T41"/>
  <c r="X41"/>
  <c r="S42"/>
  <c r="W42" s="1"/>
  <c r="T42"/>
  <c r="X42"/>
  <c r="S43"/>
  <c r="W43" s="1"/>
  <c r="T43"/>
  <c r="X43"/>
  <c r="S44"/>
  <c r="W44" s="1"/>
  <c r="T44"/>
  <c r="X44"/>
  <c r="S45"/>
  <c r="W45" s="1"/>
  <c r="T45"/>
  <c r="X45"/>
  <c r="S46"/>
  <c r="W46" s="1"/>
  <c r="T46"/>
  <c r="X46"/>
  <c r="S47"/>
  <c r="W47" s="1"/>
  <c r="T47"/>
  <c r="X47"/>
  <c r="S48"/>
  <c r="W48" s="1"/>
  <c r="T48"/>
  <c r="X48"/>
  <c r="S49"/>
  <c r="W49" s="1"/>
  <c r="T49"/>
  <c r="X49"/>
  <c r="S50"/>
  <c r="W50" s="1"/>
  <c r="T50"/>
  <c r="X50"/>
  <c r="S51"/>
  <c r="W51" s="1"/>
  <c r="T51"/>
  <c r="X51"/>
  <c r="S52"/>
  <c r="W52" s="1"/>
  <c r="T52"/>
  <c r="X52"/>
  <c r="S53"/>
  <c r="W53" s="1"/>
  <c r="T53"/>
  <c r="X53"/>
  <c r="S54"/>
  <c r="W54" s="1"/>
  <c r="T54"/>
  <c r="X54"/>
  <c r="S55"/>
  <c r="W55" s="1"/>
  <c r="T55"/>
  <c r="X55"/>
  <c r="S56"/>
  <c r="W56" s="1"/>
  <c r="T56"/>
  <c r="X56"/>
  <c r="S57"/>
  <c r="W57" s="1"/>
  <c r="T57"/>
  <c r="X57"/>
  <c r="S58"/>
  <c r="W58" s="1"/>
  <c r="T58"/>
  <c r="X58"/>
  <c r="S59"/>
  <c r="W59" s="1"/>
  <c r="T59"/>
  <c r="X59"/>
  <c r="S60"/>
  <c r="W60" s="1"/>
  <c r="T60"/>
  <c r="X60"/>
  <c r="S61"/>
  <c r="W61" s="1"/>
  <c r="T61"/>
  <c r="X61"/>
  <c r="S62"/>
  <c r="W62" s="1"/>
  <c r="T62"/>
  <c r="X62"/>
  <c r="S63"/>
  <c r="W63" s="1"/>
  <c r="T63"/>
  <c r="X63"/>
  <c r="S64"/>
  <c r="W64" s="1"/>
  <c r="T64"/>
  <c r="X64"/>
  <c r="S65"/>
  <c r="W65" s="1"/>
  <c r="T65"/>
  <c r="X65"/>
  <c r="S66"/>
  <c r="W66" s="1"/>
  <c r="T66"/>
  <c r="X66"/>
  <c r="S67"/>
  <c r="W67" s="1"/>
  <c r="T67"/>
  <c r="X67"/>
  <c r="S68"/>
  <c r="W68" s="1"/>
  <c r="T68"/>
  <c r="X68"/>
  <c r="S69"/>
  <c r="W69" s="1"/>
  <c r="T69"/>
  <c r="X69"/>
  <c r="S70"/>
  <c r="W70" s="1"/>
  <c r="T70"/>
  <c r="X70"/>
  <c r="S71"/>
  <c r="W71" s="1"/>
  <c r="T71"/>
  <c r="X71"/>
  <c r="S72"/>
  <c r="W72" s="1"/>
  <c r="T72"/>
  <c r="X72"/>
  <c r="S73"/>
  <c r="W73" s="1"/>
  <c r="T73"/>
  <c r="X73"/>
  <c r="S74"/>
  <c r="W74" s="1"/>
  <c r="T74"/>
  <c r="X74"/>
  <c r="S75"/>
  <c r="W75" s="1"/>
  <c r="T75"/>
  <c r="X75"/>
  <c r="S76"/>
  <c r="W76" s="1"/>
  <c r="T76"/>
  <c r="X76"/>
  <c r="S77"/>
  <c r="W77" s="1"/>
  <c r="T77"/>
  <c r="X77"/>
  <c r="S78"/>
  <c r="W78" s="1"/>
  <c r="T78"/>
  <c r="X78"/>
  <c r="S79"/>
  <c r="W79" s="1"/>
  <c r="T79"/>
  <c r="X79"/>
  <c r="S80"/>
  <c r="W80" s="1"/>
  <c r="T80"/>
  <c r="X80"/>
  <c r="S81"/>
  <c r="W81" s="1"/>
  <c r="T81"/>
  <c r="X81"/>
  <c r="S82"/>
  <c r="W82" s="1"/>
  <c r="T82"/>
  <c r="X82"/>
  <c r="S83"/>
  <c r="W83" s="1"/>
  <c r="T83"/>
  <c r="X83"/>
  <c r="S84"/>
  <c r="W84" s="1"/>
  <c r="T84"/>
  <c r="X84"/>
  <c r="S85"/>
  <c r="W85" s="1"/>
  <c r="T85"/>
  <c r="X85"/>
  <c r="S86"/>
  <c r="W86" s="1"/>
  <c r="T86"/>
  <c r="X86"/>
  <c r="S87"/>
  <c r="W87" s="1"/>
  <c r="T87"/>
  <c r="X87"/>
  <c r="S88"/>
  <c r="W88" s="1"/>
  <c r="T88"/>
  <c r="X88"/>
  <c r="S89"/>
  <c r="W89" s="1"/>
  <c r="T89"/>
  <c r="X89"/>
  <c r="S90"/>
  <c r="W90" s="1"/>
  <c r="T90"/>
  <c r="X90"/>
  <c r="S91"/>
  <c r="W91" s="1"/>
  <c r="T91"/>
  <c r="X91"/>
  <c r="S92"/>
  <c r="W92" s="1"/>
  <c r="T92"/>
  <c r="X92"/>
  <c r="S93"/>
  <c r="W93" s="1"/>
  <c r="T93"/>
  <c r="X93"/>
  <c r="S94"/>
  <c r="W94" s="1"/>
  <c r="T94"/>
  <c r="X94"/>
  <c r="S95"/>
  <c r="W95" s="1"/>
  <c r="T95"/>
  <c r="X95"/>
  <c r="S96"/>
  <c r="W96" s="1"/>
  <c r="T96"/>
  <c r="X96"/>
  <c r="S97"/>
  <c r="W97" s="1"/>
  <c r="T97"/>
  <c r="X97"/>
  <c r="S98"/>
  <c r="W98" s="1"/>
  <c r="T98"/>
  <c r="X98"/>
  <c r="S99"/>
  <c r="W99" s="1"/>
  <c r="T99"/>
  <c r="X99"/>
  <c r="S100"/>
  <c r="W100" s="1"/>
  <c r="T100"/>
  <c r="X100"/>
  <c r="S101"/>
  <c r="W101" s="1"/>
  <c r="T101"/>
  <c r="X101"/>
  <c r="S102"/>
  <c r="W102" s="1"/>
  <c r="T102"/>
  <c r="X102"/>
  <c r="M121" i="21"/>
  <c r="M128"/>
  <c r="M127"/>
  <c r="M126"/>
  <c r="M124"/>
  <c r="M123"/>
  <c r="M122"/>
  <c r="DH2"/>
  <c r="DJ2" s="1"/>
  <c r="DY2"/>
  <c r="DZ2" s="1"/>
  <c r="DX2"/>
  <c r="DT2"/>
  <c r="DS2"/>
  <c r="DO2"/>
  <c r="DR2" s="1"/>
  <c r="C56" i="22"/>
  <c r="Q145" i="10"/>
  <c r="F125"/>
  <c r="F56"/>
  <c r="S5" i="54"/>
  <c r="W5" s="1"/>
  <c r="T5"/>
  <c r="X5"/>
  <c r="AA230" i="10"/>
  <c r="Q93"/>
  <c r="F33"/>
  <c r="BA332" l="1"/>
  <c r="BC336"/>
  <c r="BB336"/>
  <c r="BA336"/>
  <c r="BD336"/>
  <c r="BC338"/>
  <c r="AZ339"/>
  <c r="BA337"/>
  <c r="AY339"/>
  <c r="BD338"/>
  <c r="BC337"/>
  <c r="BB337"/>
  <c r="BB338"/>
  <c r="AZ332"/>
  <c r="BB332"/>
  <c r="DN2" i="21"/>
  <c r="DP2"/>
  <c r="DQ2" s="1"/>
  <c r="AV343" i="10"/>
  <c r="Q46"/>
  <c r="BD339" l="1"/>
  <c r="BD341" s="1"/>
  <c r="BA339"/>
  <c r="BA341" s="1"/>
  <c r="BC339"/>
  <c r="BB339"/>
  <c r="BB341" s="1"/>
  <c r="BD311"/>
  <c r="BD312"/>
  <c r="BD310"/>
  <c r="BA312"/>
  <c r="BA311"/>
  <c r="BA310"/>
  <c r="AZ311"/>
  <c r="AZ312"/>
  <c r="AZ310"/>
  <c r="AY311"/>
  <c r="AY312"/>
  <c r="AY310"/>
  <c r="BB121"/>
  <c r="Y254"/>
  <c r="Y220"/>
  <c r="C25" i="21"/>
  <c r="BX2"/>
  <c r="CJ2"/>
  <c r="CI2"/>
  <c r="CE2"/>
  <c r="BZ2"/>
  <c r="CP2"/>
  <c r="CR2" s="1"/>
  <c r="DB2"/>
  <c r="DA2"/>
  <c r="CW2"/>
  <c r="CZ2" s="1"/>
  <c r="Q116" i="10"/>
  <c r="Q79"/>
  <c r="D46" i="22"/>
  <c r="BD70" i="10"/>
  <c r="C29" i="21"/>
  <c r="F120" i="10"/>
  <c r="F66"/>
  <c r="F65"/>
  <c r="F53"/>
  <c r="F3"/>
  <c r="F179"/>
  <c r="I62"/>
  <c r="I50"/>
  <c r="D709" i="21"/>
  <c r="BD340" i="10" l="1"/>
  <c r="BC340"/>
  <c r="BC341"/>
  <c r="BB340"/>
  <c r="CF2" i="21"/>
  <c r="CG2" s="1"/>
  <c r="CX2"/>
  <c r="CY2" s="1"/>
  <c r="CD2"/>
  <c r="CV2"/>
  <c r="CH2"/>
  <c r="Q62" i="10" l="1"/>
  <c r="I38"/>
  <c r="BS101" l="1"/>
  <c r="BT101"/>
  <c r="BW101"/>
  <c r="BS102"/>
  <c r="BT102"/>
  <c r="BW102"/>
  <c r="BS103"/>
  <c r="BT103"/>
  <c r="BS104"/>
  <c r="BT104"/>
  <c r="BS105"/>
  <c r="BT105"/>
  <c r="BW105"/>
  <c r="BS106"/>
  <c r="BT106"/>
  <c r="BS107"/>
  <c r="BT107"/>
  <c r="BS108"/>
  <c r="BT108"/>
  <c r="BS109"/>
  <c r="BT109"/>
  <c r="BS110"/>
  <c r="BT110"/>
  <c r="BW110"/>
  <c r="BS111"/>
  <c r="BT111"/>
  <c r="BS112"/>
  <c r="BT112"/>
  <c r="BS113"/>
  <c r="BT113"/>
  <c r="BS114"/>
  <c r="BT114"/>
  <c r="BS115"/>
  <c r="BT115"/>
  <c r="BS116"/>
  <c r="BT116"/>
  <c r="BS117"/>
  <c r="BT117"/>
  <c r="BS118"/>
  <c r="BT118"/>
  <c r="BS119"/>
  <c r="BT119"/>
  <c r="BW119"/>
  <c r="BS120"/>
  <c r="BT120"/>
  <c r="BS121"/>
  <c r="BT121"/>
  <c r="BS122"/>
  <c r="BT122"/>
  <c r="BS123"/>
  <c r="BT123"/>
  <c r="BS124"/>
  <c r="BT124"/>
  <c r="BS125"/>
  <c r="BT125"/>
  <c r="BS126"/>
  <c r="BT126"/>
  <c r="BS127"/>
  <c r="BS128"/>
  <c r="BT128"/>
  <c r="BS129"/>
  <c r="BT129"/>
  <c r="BS130"/>
  <c r="BT130"/>
  <c r="BS131"/>
  <c r="BT131"/>
  <c r="BS132"/>
  <c r="BT132"/>
  <c r="BS133"/>
  <c r="BT133"/>
  <c r="BS134"/>
  <c r="BT134"/>
  <c r="BS135"/>
  <c r="BT135"/>
  <c r="BS136"/>
  <c r="BT136"/>
  <c r="BS137"/>
  <c r="BT137"/>
  <c r="BS138"/>
  <c r="BT138"/>
  <c r="BS139"/>
  <c r="BT139"/>
  <c r="BS140"/>
  <c r="BT140"/>
  <c r="BS141"/>
  <c r="BT141"/>
  <c r="BS142"/>
  <c r="BT142"/>
  <c r="BS143"/>
  <c r="BT143"/>
  <c r="BW143"/>
  <c r="BS144"/>
  <c r="BT144"/>
  <c r="BS145"/>
  <c r="BT145"/>
  <c r="BS146"/>
  <c r="BT146"/>
  <c r="I3"/>
  <c r="I4"/>
  <c r="I5"/>
  <c r="I6"/>
  <c r="I7"/>
  <c r="I8"/>
  <c r="I9"/>
  <c r="I10"/>
  <c r="I11"/>
  <c r="I12"/>
  <c r="I13"/>
  <c r="I14"/>
  <c r="I15"/>
  <c r="I16"/>
  <c r="I17"/>
  <c r="I18"/>
  <c r="I19"/>
  <c r="I20"/>
  <c r="I21"/>
  <c r="I22"/>
  <c r="I23"/>
  <c r="I24"/>
  <c r="I25"/>
  <c r="I26"/>
  <c r="I27"/>
  <c r="I28"/>
  <c r="I29"/>
  <c r="I30"/>
  <c r="I31"/>
  <c r="I32"/>
  <c r="I33"/>
  <c r="I34"/>
  <c r="I35"/>
  <c r="I36"/>
  <c r="I37"/>
  <c r="I39"/>
  <c r="I40"/>
  <c r="I41"/>
  <c r="I42"/>
  <c r="I43"/>
  <c r="I44"/>
  <c r="I45"/>
  <c r="I46"/>
  <c r="I47"/>
  <c r="I48"/>
  <c r="I49"/>
  <c r="I51"/>
  <c r="I52"/>
  <c r="I53"/>
  <c r="I54"/>
  <c r="I55"/>
  <c r="I56"/>
  <c r="I57"/>
  <c r="I58"/>
  <c r="I59"/>
  <c r="I60"/>
  <c r="I61"/>
  <c r="I63"/>
  <c r="I64"/>
  <c r="I65"/>
  <c r="I66"/>
  <c r="I67"/>
  <c r="I68"/>
  <c r="I69"/>
  <c r="I70"/>
  <c r="I71"/>
  <c r="I72"/>
  <c r="I73"/>
  <c r="I74"/>
  <c r="I75"/>
  <c r="I76"/>
  <c r="I77"/>
  <c r="I78"/>
  <c r="I79"/>
  <c r="I80"/>
  <c r="I81"/>
  <c r="I82"/>
  <c r="I83"/>
  <c r="I84"/>
  <c r="I85"/>
  <c r="I86"/>
  <c r="I87"/>
  <c r="I88"/>
  <c r="I89"/>
  <c r="I90"/>
  <c r="I91"/>
  <c r="I92"/>
  <c r="I93"/>
  <c r="I94"/>
  <c r="I95"/>
  <c r="I96"/>
  <c r="I97"/>
  <c r="I98"/>
  <c r="I99"/>
  <c r="I100"/>
  <c r="I101"/>
  <c r="BU101" s="1"/>
  <c r="I102"/>
  <c r="BU102" s="1"/>
  <c r="I103"/>
  <c r="BU103" s="1"/>
  <c r="I104"/>
  <c r="BU104" s="1"/>
  <c r="I105"/>
  <c r="BU105" s="1"/>
  <c r="I106"/>
  <c r="BU106" s="1"/>
  <c r="I107"/>
  <c r="BU107" s="1"/>
  <c r="I108"/>
  <c r="BU108" s="1"/>
  <c r="I109"/>
  <c r="BU109" s="1"/>
  <c r="I110"/>
  <c r="BU110" s="1"/>
  <c r="I111"/>
  <c r="BU111" s="1"/>
  <c r="I112"/>
  <c r="BU112" s="1"/>
  <c r="I113"/>
  <c r="BU113" s="1"/>
  <c r="I114"/>
  <c r="BU114" s="1"/>
  <c r="I115"/>
  <c r="BU115" s="1"/>
  <c r="I116"/>
  <c r="BU116" s="1"/>
  <c r="I117"/>
  <c r="BU117" s="1"/>
  <c r="I118"/>
  <c r="BU118" s="1"/>
  <c r="I119"/>
  <c r="BU119" s="1"/>
  <c r="I120"/>
  <c r="BU120" s="1"/>
  <c r="I121"/>
  <c r="BU121" s="1"/>
  <c r="I122"/>
  <c r="BU122" s="1"/>
  <c r="I123"/>
  <c r="BU123" s="1"/>
  <c r="I124"/>
  <c r="BU124" s="1"/>
  <c r="I125"/>
  <c r="BU125" s="1"/>
  <c r="I126"/>
  <c r="BU126" s="1"/>
  <c r="I127"/>
  <c r="BU127" s="1"/>
  <c r="I128"/>
  <c r="BU128" s="1"/>
  <c r="I129"/>
  <c r="BU129" s="1"/>
  <c r="I130"/>
  <c r="BU130" s="1"/>
  <c r="I131"/>
  <c r="BU131" s="1"/>
  <c r="I132"/>
  <c r="BU132" s="1"/>
  <c r="I133"/>
  <c r="BU133" s="1"/>
  <c r="I134"/>
  <c r="BU134" s="1"/>
  <c r="I135"/>
  <c r="BU135" s="1"/>
  <c r="I136"/>
  <c r="BU136" s="1"/>
  <c r="I137"/>
  <c r="BU137" s="1"/>
  <c r="I138"/>
  <c r="BU138" s="1"/>
  <c r="I139"/>
  <c r="BU139" s="1"/>
  <c r="I140"/>
  <c r="BU140" s="1"/>
  <c r="I141"/>
  <c r="BU141" s="1"/>
  <c r="I142"/>
  <c r="BU142" s="1"/>
  <c r="I143"/>
  <c r="BU143" s="1"/>
  <c r="I144"/>
  <c r="BU144" s="1"/>
  <c r="I145"/>
  <c r="BU145" s="1"/>
  <c r="I146"/>
  <c r="BU146" s="1"/>
  <c r="N144" i="27"/>
  <c r="O144"/>
  <c r="V144"/>
  <c r="N145"/>
  <c r="O145"/>
  <c r="V145"/>
  <c r="N146"/>
  <c r="O146"/>
  <c r="V146"/>
  <c r="H142"/>
  <c r="I142" s="1"/>
  <c r="H143"/>
  <c r="I143" s="1"/>
  <c r="H144"/>
  <c r="I144" s="1"/>
  <c r="H145"/>
  <c r="I145" s="1"/>
  <c r="H146"/>
  <c r="I146" s="1"/>
  <c r="N102" i="10"/>
  <c r="S102"/>
  <c r="R102" s="1"/>
  <c r="AD102"/>
  <c r="AJ102"/>
  <c r="Q13"/>
  <c r="C29" i="54"/>
  <c r="BX102" i="10" l="1"/>
  <c r="BY102" s="1"/>
  <c r="BZ102" s="1"/>
  <c r="CB102" s="1"/>
  <c r="CC102" s="1"/>
  <c r="CD102" s="1"/>
  <c r="BX105"/>
  <c r="BY105" s="1"/>
  <c r="BZ105" s="1"/>
  <c r="P144" i="27"/>
  <c r="S144" s="1"/>
  <c r="G144" i="10" s="1"/>
  <c r="BX143"/>
  <c r="BY143" s="1"/>
  <c r="BZ143" s="1"/>
  <c r="CA143" s="1"/>
  <c r="BX119"/>
  <c r="BX101"/>
  <c r="BY101" s="1"/>
  <c r="BZ101" s="1"/>
  <c r="CB101" s="1"/>
  <c r="CC101" s="1"/>
  <c r="CD101" s="1"/>
  <c r="P146" i="27"/>
  <c r="S146" s="1"/>
  <c r="G146" i="10" s="1"/>
  <c r="BX110"/>
  <c r="BY110" s="1"/>
  <c r="BZ110" s="1"/>
  <c r="CB110" s="1"/>
  <c r="CC110" s="1"/>
  <c r="CD110" s="1"/>
  <c r="P145" i="27"/>
  <c r="S145" s="1"/>
  <c r="G145" i="10" s="1"/>
  <c r="J102"/>
  <c r="BV102" s="1"/>
  <c r="BY119"/>
  <c r="BZ119" s="1"/>
  <c r="CB119" s="1"/>
  <c r="CC119" s="1"/>
  <c r="CD119" s="1"/>
  <c r="W102"/>
  <c r="B146" i="27"/>
  <c r="A146"/>
  <c r="U146" s="1"/>
  <c r="B144"/>
  <c r="A144"/>
  <c r="U144" s="1"/>
  <c r="B145"/>
  <c r="A145"/>
  <c r="U145" s="1"/>
  <c r="V102" i="10"/>
  <c r="T102"/>
  <c r="Y102" s="1"/>
  <c r="Z102" s="1"/>
  <c r="AA102" s="1"/>
  <c r="AB102" s="1"/>
  <c r="E10" i="21"/>
  <c r="G10"/>
  <c r="Q133" i="10"/>
  <c r="BW133" s="1"/>
  <c r="BX133" s="1"/>
  <c r="BY133" s="1"/>
  <c r="BZ133" s="1"/>
  <c r="CB133" s="1"/>
  <c r="CC133" s="1"/>
  <c r="CD133" s="1"/>
  <c r="U2" i="21"/>
  <c r="DY3"/>
  <c r="DZ3" s="1"/>
  <c r="DX3"/>
  <c r="DT3"/>
  <c r="DS3"/>
  <c r="DO3"/>
  <c r="DR3" s="1"/>
  <c r="DJ3"/>
  <c r="Q34" i="10"/>
  <c r="Q132"/>
  <c r="BW132" s="1"/>
  <c r="BX132" s="1"/>
  <c r="BY132" s="1"/>
  <c r="BZ132" s="1"/>
  <c r="CB132" s="1"/>
  <c r="CC132" s="1"/>
  <c r="CD132" s="1"/>
  <c r="Q90"/>
  <c r="Q144"/>
  <c r="BW144" s="1"/>
  <c r="BX144" s="1"/>
  <c r="BY144" s="1"/>
  <c r="BZ144" s="1"/>
  <c r="Z205"/>
  <c r="Z233" s="1"/>
  <c r="G42" i="22"/>
  <c r="AT2" i="21"/>
  <c r="AW2" s="1"/>
  <c r="AB233" i="10" l="1"/>
  <c r="AA233"/>
  <c r="AE182" s="1"/>
  <c r="Z227"/>
  <c r="AB230"/>
  <c r="AE102"/>
  <c r="CA110"/>
  <c r="L102"/>
  <c r="M102" s="1"/>
  <c r="CA101"/>
  <c r="CB143"/>
  <c r="CC143" s="1"/>
  <c r="CD143" s="1"/>
  <c r="CE143" s="1"/>
  <c r="CA119"/>
  <c r="CA102"/>
  <c r="CB105"/>
  <c r="CC105" s="1"/>
  <c r="CD105" s="1"/>
  <c r="CA133"/>
  <c r="CA132"/>
  <c r="CB144"/>
  <c r="CC144" s="1"/>
  <c r="CD144" s="1"/>
  <c r="CA144"/>
  <c r="CA105"/>
  <c r="CE133"/>
  <c r="CF133"/>
  <c r="CG133" s="1"/>
  <c r="CH133" s="1"/>
  <c r="CF132"/>
  <c r="CG132" s="1"/>
  <c r="CH132" s="1"/>
  <c r="CE132"/>
  <c r="CF102"/>
  <c r="CG102" s="1"/>
  <c r="CH102" s="1"/>
  <c r="CE102"/>
  <c r="CF101"/>
  <c r="CG101" s="1"/>
  <c r="CH101" s="1"/>
  <c r="CE101"/>
  <c r="CF110"/>
  <c r="CG110" s="1"/>
  <c r="CH110" s="1"/>
  <c r="CE110"/>
  <c r="CF119"/>
  <c r="CG119" s="1"/>
  <c r="CH119" s="1"/>
  <c r="CE119"/>
  <c r="DN3" i="21"/>
  <c r="DP3"/>
  <c r="DQ3" s="1"/>
  <c r="IJ15" i="10"/>
  <c r="IP9"/>
  <c r="II15"/>
  <c r="IH12"/>
  <c r="IG9"/>
  <c r="IG18"/>
  <c r="IO9"/>
  <c r="BD127"/>
  <c r="CF143" l="1"/>
  <c r="CG143" s="1"/>
  <c r="CH143" s="1"/>
  <c r="CJ143" s="1"/>
  <c r="CK143" s="1"/>
  <c r="CL143" s="1"/>
  <c r="CE105"/>
  <c r="CF105"/>
  <c r="CG105" s="1"/>
  <c r="CH105" s="1"/>
  <c r="CJ105" s="1"/>
  <c r="CK105" s="1"/>
  <c r="CL105" s="1"/>
  <c r="CE144"/>
  <c r="CF144"/>
  <c r="CG144" s="1"/>
  <c r="CH144" s="1"/>
  <c r="CI144" s="1"/>
  <c r="CJ110"/>
  <c r="CK110" s="1"/>
  <c r="CL110" s="1"/>
  <c r="CI110"/>
  <c r="CJ102"/>
  <c r="CK102" s="1"/>
  <c r="CL102" s="1"/>
  <c r="CI102"/>
  <c r="CI133"/>
  <c r="CJ133"/>
  <c r="CK133" s="1"/>
  <c r="CL133" s="1"/>
  <c r="CJ119"/>
  <c r="CK119" s="1"/>
  <c r="CL119" s="1"/>
  <c r="CI119"/>
  <c r="CJ101"/>
  <c r="CK101" s="1"/>
  <c r="CL101" s="1"/>
  <c r="CI101"/>
  <c r="CJ132"/>
  <c r="CK132" s="1"/>
  <c r="CL132" s="1"/>
  <c r="CI132"/>
  <c r="IM9"/>
  <c r="IL9"/>
  <c r="Q99"/>
  <c r="Q55"/>
  <c r="DB3" i="21"/>
  <c r="DA3"/>
  <c r="CW3"/>
  <c r="CZ3" s="1"/>
  <c r="CR3"/>
  <c r="CJ3"/>
  <c r="CI3"/>
  <c r="CE3"/>
  <c r="CH3" s="1"/>
  <c r="BZ3"/>
  <c r="DX4"/>
  <c r="DY4"/>
  <c r="DZ4" s="1"/>
  <c r="DX5"/>
  <c r="DY5"/>
  <c r="DZ5" s="1"/>
  <c r="DX6"/>
  <c r="DY6"/>
  <c r="DT4"/>
  <c r="DS4"/>
  <c r="DO4"/>
  <c r="DR4" s="1"/>
  <c r="DJ4"/>
  <c r="BD121" i="10"/>
  <c r="DZ6" i="21" l="1"/>
  <c r="CI143" i="10"/>
  <c r="CI105"/>
  <c r="CJ144"/>
  <c r="CK144" s="1"/>
  <c r="CL144" s="1"/>
  <c r="CM144" s="1"/>
  <c r="CN132"/>
  <c r="CO132" s="1"/>
  <c r="CP132" s="1"/>
  <c r="CM132"/>
  <c r="CM143"/>
  <c r="CN143"/>
  <c r="CO143" s="1"/>
  <c r="CP143" s="1"/>
  <c r="CM133"/>
  <c r="CN133"/>
  <c r="CO133" s="1"/>
  <c r="CP133" s="1"/>
  <c r="CN101"/>
  <c r="CO101" s="1"/>
  <c r="CP101" s="1"/>
  <c r="CM101"/>
  <c r="CN105"/>
  <c r="CO105" s="1"/>
  <c r="CP105" s="1"/>
  <c r="CM105"/>
  <c r="CN102"/>
  <c r="CO102" s="1"/>
  <c r="CP102" s="1"/>
  <c r="CM102"/>
  <c r="CN119"/>
  <c r="CO119" s="1"/>
  <c r="CP119" s="1"/>
  <c r="CM119"/>
  <c r="CN110"/>
  <c r="CO110" s="1"/>
  <c r="CP110" s="1"/>
  <c r="CM110"/>
  <c r="CV3" i="21"/>
  <c r="CX3"/>
  <c r="CY3" s="1"/>
  <c r="CD3"/>
  <c r="CF3"/>
  <c r="CG3" s="1"/>
  <c r="DN4"/>
  <c r="DP4"/>
  <c r="DQ4" s="1"/>
  <c r="CN144" i="10" l="1"/>
  <c r="CO144" s="1"/>
  <c r="CP144" s="1"/>
  <c r="CQ144" s="1"/>
  <c r="CR110"/>
  <c r="CS110" s="1"/>
  <c r="CT110" s="1"/>
  <c r="CQ110"/>
  <c r="CR102"/>
  <c r="CS102" s="1"/>
  <c r="CT102" s="1"/>
  <c r="CQ102"/>
  <c r="CR105"/>
  <c r="CS105" s="1"/>
  <c r="CT105" s="1"/>
  <c r="CQ105"/>
  <c r="CR132"/>
  <c r="CS132" s="1"/>
  <c r="CT132" s="1"/>
  <c r="CQ132"/>
  <c r="CR119"/>
  <c r="CS119" s="1"/>
  <c r="CT119" s="1"/>
  <c r="CQ119"/>
  <c r="CR101"/>
  <c r="CS101" s="1"/>
  <c r="CT101" s="1"/>
  <c r="CQ101"/>
  <c r="CQ133"/>
  <c r="CR133"/>
  <c r="CS133" s="1"/>
  <c r="CT133" s="1"/>
  <c r="CQ143"/>
  <c r="CR143"/>
  <c r="CS143" s="1"/>
  <c r="CT143" s="1"/>
  <c r="K118" i="21"/>
  <c r="CR144" i="10" l="1"/>
  <c r="CS144" s="1"/>
  <c r="CT144" s="1"/>
  <c r="CU144" s="1"/>
  <c r="CU133"/>
  <c r="CV133"/>
  <c r="CW133" s="1"/>
  <c r="CX133" s="1"/>
  <c r="CV101"/>
  <c r="CW101" s="1"/>
  <c r="CX101" s="1"/>
  <c r="CU101"/>
  <c r="CV119"/>
  <c r="CW119" s="1"/>
  <c r="CX119" s="1"/>
  <c r="CU119"/>
  <c r="CV102"/>
  <c r="CW102" s="1"/>
  <c r="CX102" s="1"/>
  <c r="CU102"/>
  <c r="CU143"/>
  <c r="CV143"/>
  <c r="CW143" s="1"/>
  <c r="CX143" s="1"/>
  <c r="CV132"/>
  <c r="CW132" s="1"/>
  <c r="CX132" s="1"/>
  <c r="CU132"/>
  <c r="CV105"/>
  <c r="CW105" s="1"/>
  <c r="CX105" s="1"/>
  <c r="CU105"/>
  <c r="CV110"/>
  <c r="CW110" s="1"/>
  <c r="CX110" s="1"/>
  <c r="CU110"/>
  <c r="CV144" l="1"/>
  <c r="CW144" s="1"/>
  <c r="CX144" s="1"/>
  <c r="CY144" s="1"/>
  <c r="CZ110"/>
  <c r="DA110" s="1"/>
  <c r="DB110" s="1"/>
  <c r="CY110"/>
  <c r="CZ132"/>
  <c r="DA132" s="1"/>
  <c r="DB132" s="1"/>
  <c r="CY132"/>
  <c r="CZ105"/>
  <c r="DA105" s="1"/>
  <c r="DB105" s="1"/>
  <c r="CY105"/>
  <c r="CY143"/>
  <c r="CZ143"/>
  <c r="DA143" s="1"/>
  <c r="DB143" s="1"/>
  <c r="CZ102"/>
  <c r="DA102" s="1"/>
  <c r="DB102" s="1"/>
  <c r="CY102"/>
  <c r="CZ119"/>
  <c r="DA119" s="1"/>
  <c r="DB119" s="1"/>
  <c r="CY119"/>
  <c r="CZ101"/>
  <c r="DA101" s="1"/>
  <c r="DB101" s="1"/>
  <c r="CY101"/>
  <c r="CY133"/>
  <c r="CZ133"/>
  <c r="DA133" s="1"/>
  <c r="DB133" s="1"/>
  <c r="I90" i="22"/>
  <c r="C26"/>
  <c r="BB256" i="10"/>
  <c r="BC254"/>
  <c r="BE254" s="1"/>
  <c r="BG254"/>
  <c r="AV241"/>
  <c r="K20" i="22"/>
  <c r="CZ144" i="10" l="1"/>
  <c r="DA144" s="1"/>
  <c r="DB144" s="1"/>
  <c r="DC144" s="1"/>
  <c r="DC133"/>
  <c r="DD133"/>
  <c r="DE133" s="1"/>
  <c r="DF133" s="1"/>
  <c r="DD119"/>
  <c r="DE119" s="1"/>
  <c r="DF119" s="1"/>
  <c r="DC119"/>
  <c r="DD105"/>
  <c r="DE105" s="1"/>
  <c r="DF105" s="1"/>
  <c r="DC105"/>
  <c r="DD110"/>
  <c r="DE110" s="1"/>
  <c r="DF110" s="1"/>
  <c r="DC110"/>
  <c r="DD101"/>
  <c r="DE101" s="1"/>
  <c r="DF101" s="1"/>
  <c r="DC101"/>
  <c r="DD102"/>
  <c r="DE102" s="1"/>
  <c r="DF102" s="1"/>
  <c r="DC102"/>
  <c r="DC143"/>
  <c r="DD143"/>
  <c r="DE143" s="1"/>
  <c r="DF143" s="1"/>
  <c r="DD132"/>
  <c r="DE132" s="1"/>
  <c r="DF132" s="1"/>
  <c r="DC132"/>
  <c r="G58" i="22"/>
  <c r="F90" s="1"/>
  <c r="C34" i="21"/>
  <c r="DD144" i="10" l="1"/>
  <c r="DE144" s="1"/>
  <c r="DF144" s="1"/>
  <c r="DG144" s="1"/>
  <c r="DH105"/>
  <c r="DI105" s="1"/>
  <c r="DJ105" s="1"/>
  <c r="DG105"/>
  <c r="DH119"/>
  <c r="DI119" s="1"/>
  <c r="DJ119" s="1"/>
  <c r="DG119"/>
  <c r="DG143"/>
  <c r="DH143"/>
  <c r="DI143" s="1"/>
  <c r="DJ143" s="1"/>
  <c r="DH101"/>
  <c r="DI101" s="1"/>
  <c r="DJ101" s="1"/>
  <c r="DG101"/>
  <c r="DG133"/>
  <c r="DH133"/>
  <c r="DI133" s="1"/>
  <c r="DJ133" s="1"/>
  <c r="DH132"/>
  <c r="DI132" s="1"/>
  <c r="DJ132" s="1"/>
  <c r="DG132"/>
  <c r="DH102"/>
  <c r="DI102" s="1"/>
  <c r="DJ102" s="1"/>
  <c r="DG102"/>
  <c r="DH110"/>
  <c r="DI110" s="1"/>
  <c r="DJ110" s="1"/>
  <c r="DG110"/>
  <c r="H90" i="22"/>
  <c r="Q139" i="10"/>
  <c r="BW139" s="1"/>
  <c r="BX139" s="1"/>
  <c r="BY139" s="1"/>
  <c r="BZ139" s="1"/>
  <c r="I89" i="22"/>
  <c r="I91"/>
  <c r="I92"/>
  <c r="I94"/>
  <c r="I97"/>
  <c r="I98"/>
  <c r="I99"/>
  <c r="I102"/>
  <c r="I103"/>
  <c r="I104"/>
  <c r="I105"/>
  <c r="H106"/>
  <c r="H111"/>
  <c r="H113"/>
  <c r="D133" i="21"/>
  <c r="CP4"/>
  <c r="CR4" s="1"/>
  <c r="DB4"/>
  <c r="DA4"/>
  <c r="CW4"/>
  <c r="CZ4" s="1"/>
  <c r="BX4"/>
  <c r="BZ4" s="1"/>
  <c r="CJ4"/>
  <c r="CI4"/>
  <c r="CE4"/>
  <c r="CD4" s="1"/>
  <c r="DH144" i="10" l="1"/>
  <c r="DI144" s="1"/>
  <c r="DJ144" s="1"/>
  <c r="DL144" s="1"/>
  <c r="DM144" s="1"/>
  <c r="DN144" s="1"/>
  <c r="CB139"/>
  <c r="CC139" s="1"/>
  <c r="CD139" s="1"/>
  <c r="CA139"/>
  <c r="DL102"/>
  <c r="DM102" s="1"/>
  <c r="DN102" s="1"/>
  <c r="DK102"/>
  <c r="DK133"/>
  <c r="DL133"/>
  <c r="DM133" s="1"/>
  <c r="DN133" s="1"/>
  <c r="DK143"/>
  <c r="DL143"/>
  <c r="DM143" s="1"/>
  <c r="DN143" s="1"/>
  <c r="DL110"/>
  <c r="DM110" s="1"/>
  <c r="DN110" s="1"/>
  <c r="DK110"/>
  <c r="DL132"/>
  <c r="DM132" s="1"/>
  <c r="DN132" s="1"/>
  <c r="DK132"/>
  <c r="DL101"/>
  <c r="DM101" s="1"/>
  <c r="DN101" s="1"/>
  <c r="DK101"/>
  <c r="DL105"/>
  <c r="DM105" s="1"/>
  <c r="DN105" s="1"/>
  <c r="DK105"/>
  <c r="DL119"/>
  <c r="DM119" s="1"/>
  <c r="DN119" s="1"/>
  <c r="DK119"/>
  <c r="CH4" i="21"/>
  <c r="CV4"/>
  <c r="CX4"/>
  <c r="CY4" s="1"/>
  <c r="CF4"/>
  <c r="CG4" s="1"/>
  <c r="E79"/>
  <c r="B43" i="22"/>
  <c r="DK144" i="10" l="1"/>
  <c r="CF139"/>
  <c r="CG139" s="1"/>
  <c r="CH139" s="1"/>
  <c r="CE139"/>
  <c r="DP105"/>
  <c r="DQ105" s="1"/>
  <c r="DR105" s="1"/>
  <c r="DO105"/>
  <c r="DP110"/>
  <c r="DQ110" s="1"/>
  <c r="DR110" s="1"/>
  <c r="DO110"/>
  <c r="DP119"/>
  <c r="DQ119" s="1"/>
  <c r="DR119" s="1"/>
  <c r="DO119"/>
  <c r="DO144"/>
  <c r="DP144"/>
  <c r="DQ144" s="1"/>
  <c r="DR144" s="1"/>
  <c r="DP101"/>
  <c r="DQ101" s="1"/>
  <c r="DR101" s="1"/>
  <c r="DO101"/>
  <c r="DP132"/>
  <c r="DQ132" s="1"/>
  <c r="DR132" s="1"/>
  <c r="DO132"/>
  <c r="DO143"/>
  <c r="DP143"/>
  <c r="DQ143" s="1"/>
  <c r="DR143" s="1"/>
  <c r="DO133"/>
  <c r="DP133"/>
  <c r="DQ133" s="1"/>
  <c r="DR133" s="1"/>
  <c r="DP102"/>
  <c r="DQ102" s="1"/>
  <c r="DR102" s="1"/>
  <c r="DO102"/>
  <c r="CI139" l="1"/>
  <c r="CJ139"/>
  <c r="CK139" s="1"/>
  <c r="CL139" s="1"/>
  <c r="DT102"/>
  <c r="DU102" s="1"/>
  <c r="DV102" s="1"/>
  <c r="DS102"/>
  <c r="DT110"/>
  <c r="DU110" s="1"/>
  <c r="DV110" s="1"/>
  <c r="DS110"/>
  <c r="DS143"/>
  <c r="DT143"/>
  <c r="DU143" s="1"/>
  <c r="DV143" s="1"/>
  <c r="DT101"/>
  <c r="DU101" s="1"/>
  <c r="DV101" s="1"/>
  <c r="DS101"/>
  <c r="DT105"/>
  <c r="DU105" s="1"/>
  <c r="DV105" s="1"/>
  <c r="DS105"/>
  <c r="DS133"/>
  <c r="DT133"/>
  <c r="DU133" s="1"/>
  <c r="DV133" s="1"/>
  <c r="DT132"/>
  <c r="DU132" s="1"/>
  <c r="DV132" s="1"/>
  <c r="DS132"/>
  <c r="DS144"/>
  <c r="DT144"/>
  <c r="DU144" s="1"/>
  <c r="DV144" s="1"/>
  <c r="DT119"/>
  <c r="DU119" s="1"/>
  <c r="DV119" s="1"/>
  <c r="DS119"/>
  <c r="CM139" l="1"/>
  <c r="CN139"/>
  <c r="CO139" s="1"/>
  <c r="CP139" s="1"/>
  <c r="DW143"/>
  <c r="DX143"/>
  <c r="DY143" s="1"/>
  <c r="DZ143" s="1"/>
  <c r="DX119"/>
  <c r="DY119" s="1"/>
  <c r="DZ119" s="1"/>
  <c r="DW119"/>
  <c r="DW144"/>
  <c r="DX144"/>
  <c r="DY144" s="1"/>
  <c r="DZ144" s="1"/>
  <c r="DX132"/>
  <c r="DY132" s="1"/>
  <c r="DZ132" s="1"/>
  <c r="DW132"/>
  <c r="DW133"/>
  <c r="DX133"/>
  <c r="DY133" s="1"/>
  <c r="DZ133" s="1"/>
  <c r="DX105"/>
  <c r="DY105" s="1"/>
  <c r="DZ105" s="1"/>
  <c r="DW105"/>
  <c r="DX101"/>
  <c r="DY101" s="1"/>
  <c r="DZ101" s="1"/>
  <c r="DW101"/>
  <c r="DX110"/>
  <c r="DY110" s="1"/>
  <c r="DZ110" s="1"/>
  <c r="DW110"/>
  <c r="DX102"/>
  <c r="DY102" s="1"/>
  <c r="DZ102" s="1"/>
  <c r="DW102"/>
  <c r="CQ139" l="1"/>
  <c r="CR139"/>
  <c r="CS139" s="1"/>
  <c r="CT139" s="1"/>
  <c r="EB102"/>
  <c r="EC102" s="1"/>
  <c r="ED102" s="1"/>
  <c r="EA102"/>
  <c r="EA133"/>
  <c r="EB133"/>
  <c r="EC133" s="1"/>
  <c r="ED133" s="1"/>
  <c r="EB132"/>
  <c r="EC132" s="1"/>
  <c r="ED132" s="1"/>
  <c r="EA132"/>
  <c r="EB110"/>
  <c r="EC110" s="1"/>
  <c r="ED110" s="1"/>
  <c r="EA110"/>
  <c r="EB101"/>
  <c r="EC101" s="1"/>
  <c r="ED101" s="1"/>
  <c r="EA101"/>
  <c r="EB105"/>
  <c r="EC105" s="1"/>
  <c r="ED105" s="1"/>
  <c r="EA105"/>
  <c r="EA144"/>
  <c r="EB144"/>
  <c r="EC144" s="1"/>
  <c r="ED144" s="1"/>
  <c r="EB119"/>
  <c r="EC119" s="1"/>
  <c r="ED119" s="1"/>
  <c r="EA119"/>
  <c r="EA143"/>
  <c r="EB143"/>
  <c r="EC143" s="1"/>
  <c r="ED143" s="1"/>
  <c r="F109" i="22"/>
  <c r="G109"/>
  <c r="I109" s="1"/>
  <c r="CU139" i="10" l="1"/>
  <c r="CV139"/>
  <c r="CW139" s="1"/>
  <c r="CX139" s="1"/>
  <c r="EE143"/>
  <c r="EF143"/>
  <c r="EG143" s="1"/>
  <c r="EH143" s="1"/>
  <c r="EE144"/>
  <c r="EF144"/>
  <c r="EG144" s="1"/>
  <c r="EH144" s="1"/>
  <c r="EF101"/>
  <c r="EG101" s="1"/>
  <c r="EH101" s="1"/>
  <c r="EE101"/>
  <c r="EF110"/>
  <c r="EG110" s="1"/>
  <c r="EH110" s="1"/>
  <c r="EE110"/>
  <c r="EF132"/>
  <c r="EG132" s="1"/>
  <c r="EH132" s="1"/>
  <c r="EE132"/>
  <c r="EF119"/>
  <c r="EG119" s="1"/>
  <c r="EH119" s="1"/>
  <c r="EE119"/>
  <c r="EF105"/>
  <c r="EG105" s="1"/>
  <c r="EH105" s="1"/>
  <c r="EE105"/>
  <c r="EE133"/>
  <c r="EF133"/>
  <c r="EG133" s="1"/>
  <c r="EH133" s="1"/>
  <c r="EF102"/>
  <c r="EG102" s="1"/>
  <c r="EH102" s="1"/>
  <c r="EE102"/>
  <c r="H109" i="22"/>
  <c r="CY139" i="10" l="1"/>
  <c r="CZ139"/>
  <c r="DA139" s="1"/>
  <c r="DB139" s="1"/>
  <c r="EJ102"/>
  <c r="EK102" s="1"/>
  <c r="EL102" s="1"/>
  <c r="EI102"/>
  <c r="EJ110"/>
  <c r="EK110" s="1"/>
  <c r="EL110" s="1"/>
  <c r="EI110"/>
  <c r="EI144"/>
  <c r="EJ144"/>
  <c r="EK144" s="1"/>
  <c r="EL144" s="1"/>
  <c r="EI143"/>
  <c r="EJ143"/>
  <c r="EK143" s="1"/>
  <c r="EL143" s="1"/>
  <c r="EJ105"/>
  <c r="EK105" s="1"/>
  <c r="EL105" s="1"/>
  <c r="EI105"/>
  <c r="EI133"/>
  <c r="EJ133"/>
  <c r="EK133" s="1"/>
  <c r="EL133" s="1"/>
  <c r="EJ119"/>
  <c r="EK119" s="1"/>
  <c r="EL119" s="1"/>
  <c r="EI119"/>
  <c r="EJ132"/>
  <c r="EK132" s="1"/>
  <c r="EL132" s="1"/>
  <c r="EI132"/>
  <c r="EJ101"/>
  <c r="EK101" s="1"/>
  <c r="EL101" s="1"/>
  <c r="EI101"/>
  <c r="Q97"/>
  <c r="DC139" l="1"/>
  <c r="DD139"/>
  <c r="DE139" s="1"/>
  <c r="DF139" s="1"/>
  <c r="EM144"/>
  <c r="EN144"/>
  <c r="EO144" s="1"/>
  <c r="EP144" s="1"/>
  <c r="EN119"/>
  <c r="EO119" s="1"/>
  <c r="EP119" s="1"/>
  <c r="EM119"/>
  <c r="EN105"/>
  <c r="EO105" s="1"/>
  <c r="EP105" s="1"/>
  <c r="EM105"/>
  <c r="EN110"/>
  <c r="EO110" s="1"/>
  <c r="EP110" s="1"/>
  <c r="EM110"/>
  <c r="EN102"/>
  <c r="EO102" s="1"/>
  <c r="EP102" s="1"/>
  <c r="EM102"/>
  <c r="EN101"/>
  <c r="EO101" s="1"/>
  <c r="EP101" s="1"/>
  <c r="EM101"/>
  <c r="EN132"/>
  <c r="EO132" s="1"/>
  <c r="EP132" s="1"/>
  <c r="EM132"/>
  <c r="EM133"/>
  <c r="EN133"/>
  <c r="EO133" s="1"/>
  <c r="EP133" s="1"/>
  <c r="EM143"/>
  <c r="EN143"/>
  <c r="EO143" s="1"/>
  <c r="EP143" s="1"/>
  <c r="DG139" l="1"/>
  <c r="DH139"/>
  <c r="DI139" s="1"/>
  <c r="DJ139" s="1"/>
  <c r="ER102"/>
  <c r="ES102" s="1"/>
  <c r="ET102" s="1"/>
  <c r="EQ102"/>
  <c r="ER119"/>
  <c r="ES119" s="1"/>
  <c r="ET119" s="1"/>
  <c r="EQ119"/>
  <c r="EQ143"/>
  <c r="ER143"/>
  <c r="ES143" s="1"/>
  <c r="ET143" s="1"/>
  <c r="ER132"/>
  <c r="ES132" s="1"/>
  <c r="ET132" s="1"/>
  <c r="EQ132"/>
  <c r="ER105"/>
  <c r="ES105" s="1"/>
  <c r="ET105" s="1"/>
  <c r="EQ105"/>
  <c r="EQ144"/>
  <c r="ER144"/>
  <c r="ES144" s="1"/>
  <c r="ET144" s="1"/>
  <c r="EQ133"/>
  <c r="ER133"/>
  <c r="ES133" s="1"/>
  <c r="ET133" s="1"/>
  <c r="ER101"/>
  <c r="ES101" s="1"/>
  <c r="ET101" s="1"/>
  <c r="EQ101"/>
  <c r="ER110"/>
  <c r="ES110" s="1"/>
  <c r="ET110" s="1"/>
  <c r="EQ110"/>
  <c r="DK139" l="1"/>
  <c r="DL139"/>
  <c r="DM139" s="1"/>
  <c r="DN139" s="1"/>
  <c r="EV101"/>
  <c r="EW101" s="1"/>
  <c r="EX101" s="1"/>
  <c r="EU101"/>
  <c r="EU143"/>
  <c r="EV143"/>
  <c r="EW143" s="1"/>
  <c r="EX143" s="1"/>
  <c r="EU133"/>
  <c r="EV133"/>
  <c r="EW133" s="1"/>
  <c r="EX133" s="1"/>
  <c r="EU144"/>
  <c r="EV144"/>
  <c r="EW144" s="1"/>
  <c r="EX144" s="1"/>
  <c r="EV132"/>
  <c r="EW132" s="1"/>
  <c r="EX132" s="1"/>
  <c r="EU132"/>
  <c r="EV102"/>
  <c r="EW102" s="1"/>
  <c r="EX102" s="1"/>
  <c r="EU102"/>
  <c r="EV110"/>
  <c r="EW110" s="1"/>
  <c r="EX110" s="1"/>
  <c r="EU110"/>
  <c r="EV105"/>
  <c r="EW105" s="1"/>
  <c r="EX105" s="1"/>
  <c r="EU105"/>
  <c r="EV119"/>
  <c r="EW119" s="1"/>
  <c r="EX119" s="1"/>
  <c r="EU119"/>
  <c r="DO139" l="1"/>
  <c r="DP139"/>
  <c r="DQ139" s="1"/>
  <c r="DR139" s="1"/>
  <c r="EZ119"/>
  <c r="FA119" s="1"/>
  <c r="FB119" s="1"/>
  <c r="EY119"/>
  <c r="EY144"/>
  <c r="EZ144"/>
  <c r="FA144" s="1"/>
  <c r="FB144" s="1"/>
  <c r="EY143"/>
  <c r="EZ143"/>
  <c r="FA143" s="1"/>
  <c r="FB143" s="1"/>
  <c r="EZ105"/>
  <c r="FA105" s="1"/>
  <c r="FB105" s="1"/>
  <c r="EY105"/>
  <c r="EZ110"/>
  <c r="FA110" s="1"/>
  <c r="FB110" s="1"/>
  <c r="EY110"/>
  <c r="EZ102"/>
  <c r="FA102" s="1"/>
  <c r="FB102" s="1"/>
  <c r="EY102"/>
  <c r="EZ132"/>
  <c r="FA132" s="1"/>
  <c r="FB132" s="1"/>
  <c r="EY132"/>
  <c r="EZ101"/>
  <c r="FA101" s="1"/>
  <c r="FB101" s="1"/>
  <c r="EY101"/>
  <c r="EY133"/>
  <c r="EZ133"/>
  <c r="FA133" s="1"/>
  <c r="FB133" s="1"/>
  <c r="Q66"/>
  <c r="Q121"/>
  <c r="BW121" s="1"/>
  <c r="BX121" s="1"/>
  <c r="BY121" s="1"/>
  <c r="BZ121" s="1"/>
  <c r="H52" i="27"/>
  <c r="I52" s="1"/>
  <c r="H34"/>
  <c r="I34" s="1"/>
  <c r="H40"/>
  <c r="I40" s="1"/>
  <c r="R49" i="22"/>
  <c r="S52" s="1"/>
  <c r="BI77" i="10"/>
  <c r="BI85"/>
  <c r="BH85" s="1"/>
  <c r="J179" i="21"/>
  <c r="J180" s="1"/>
  <c r="BU3" i="10"/>
  <c r="J4"/>
  <c r="BV4" s="1"/>
  <c r="BU5"/>
  <c r="BU6"/>
  <c r="J7"/>
  <c r="BV7" s="1"/>
  <c r="J8"/>
  <c r="BV8" s="1"/>
  <c r="J9"/>
  <c r="BV9" s="1"/>
  <c r="BU10"/>
  <c r="J11"/>
  <c r="BV11" s="1"/>
  <c r="J12"/>
  <c r="BV12" s="1"/>
  <c r="J13"/>
  <c r="BV13" s="1"/>
  <c r="BU14"/>
  <c r="J15"/>
  <c r="BV15" s="1"/>
  <c r="J16"/>
  <c r="BV16" s="1"/>
  <c r="J17"/>
  <c r="BV17" s="1"/>
  <c r="BU18"/>
  <c r="J19"/>
  <c r="BV19" s="1"/>
  <c r="J20"/>
  <c r="BV20" s="1"/>
  <c r="J21"/>
  <c r="BV21" s="1"/>
  <c r="BU22"/>
  <c r="J23"/>
  <c r="BV23" s="1"/>
  <c r="BU24"/>
  <c r="J25"/>
  <c r="BV25" s="1"/>
  <c r="BU26"/>
  <c r="J27"/>
  <c r="BV27" s="1"/>
  <c r="BU28"/>
  <c r="J29"/>
  <c r="BV29" s="1"/>
  <c r="BU30"/>
  <c r="J31"/>
  <c r="BV31" s="1"/>
  <c r="BU32"/>
  <c r="J33"/>
  <c r="BV33" s="1"/>
  <c r="BU34"/>
  <c r="J35"/>
  <c r="BV35" s="1"/>
  <c r="J36"/>
  <c r="BV36" s="1"/>
  <c r="J37"/>
  <c r="BV37" s="1"/>
  <c r="J39"/>
  <c r="BV39" s="1"/>
  <c r="J40"/>
  <c r="BV40" s="1"/>
  <c r="J41"/>
  <c r="BV41" s="1"/>
  <c r="BU42"/>
  <c r="J43"/>
  <c r="BV43" s="1"/>
  <c r="J44"/>
  <c r="BV44" s="1"/>
  <c r="J45"/>
  <c r="BV45" s="1"/>
  <c r="BU46"/>
  <c r="J47"/>
  <c r="BV47" s="1"/>
  <c r="J48"/>
  <c r="J49"/>
  <c r="BV49" s="1"/>
  <c r="BU50"/>
  <c r="J51"/>
  <c r="BV51" s="1"/>
  <c r="J52"/>
  <c r="BV52" s="1"/>
  <c r="J53"/>
  <c r="BV53" s="1"/>
  <c r="J54"/>
  <c r="BV54" s="1"/>
  <c r="J55"/>
  <c r="BV55" s="1"/>
  <c r="J57"/>
  <c r="BV57" s="1"/>
  <c r="J58"/>
  <c r="BV58" s="1"/>
  <c r="J59"/>
  <c r="BV59" s="1"/>
  <c r="J60"/>
  <c r="BV60" s="1"/>
  <c r="J61"/>
  <c r="BV61" s="1"/>
  <c r="BU62"/>
  <c r="BU63"/>
  <c r="BU64"/>
  <c r="BU65"/>
  <c r="BU66"/>
  <c r="BU67"/>
  <c r="BU68"/>
  <c r="BU69"/>
  <c r="J70"/>
  <c r="BV70" s="1"/>
  <c r="BU71"/>
  <c r="J72"/>
  <c r="BV72" s="1"/>
  <c r="BU73"/>
  <c r="J74"/>
  <c r="BV74" s="1"/>
  <c r="BU75"/>
  <c r="BU76"/>
  <c r="BU77"/>
  <c r="J78"/>
  <c r="BV78" s="1"/>
  <c r="BU79"/>
  <c r="BU80"/>
  <c r="BU81"/>
  <c r="J82"/>
  <c r="BV82" s="1"/>
  <c r="BU83"/>
  <c r="BU84"/>
  <c r="BU85"/>
  <c r="J86"/>
  <c r="BV86" s="1"/>
  <c r="BU87"/>
  <c r="J88"/>
  <c r="BV88" s="1"/>
  <c r="BU89"/>
  <c r="BU90"/>
  <c r="BU91"/>
  <c r="BU92"/>
  <c r="BU93"/>
  <c r="J94"/>
  <c r="BV94" s="1"/>
  <c r="BU95"/>
  <c r="BU96"/>
  <c r="BU97"/>
  <c r="J98"/>
  <c r="BV98" s="1"/>
  <c r="BU99"/>
  <c r="BU100"/>
  <c r="J103"/>
  <c r="BV103" s="1"/>
  <c r="J111"/>
  <c r="BV111" s="1"/>
  <c r="J119"/>
  <c r="BV119" s="1"/>
  <c r="J124"/>
  <c r="BV124" s="1"/>
  <c r="J132"/>
  <c r="BV132" s="1"/>
  <c r="BS3"/>
  <c r="BT3"/>
  <c r="BS4"/>
  <c r="BT4"/>
  <c r="BS5"/>
  <c r="BT5"/>
  <c r="BS6"/>
  <c r="BS7"/>
  <c r="BT7"/>
  <c r="BS8"/>
  <c r="BT8"/>
  <c r="BS9"/>
  <c r="BT9"/>
  <c r="BS10"/>
  <c r="BT10"/>
  <c r="BS11"/>
  <c r="BT11"/>
  <c r="BS12"/>
  <c r="BT12"/>
  <c r="BS13"/>
  <c r="BT13"/>
  <c r="BW13"/>
  <c r="BS14"/>
  <c r="BT14"/>
  <c r="BS15"/>
  <c r="BT15"/>
  <c r="BS16"/>
  <c r="BT16"/>
  <c r="BS17"/>
  <c r="BT17"/>
  <c r="BS18"/>
  <c r="BT18"/>
  <c r="BS19"/>
  <c r="BT19"/>
  <c r="BS20"/>
  <c r="BT20"/>
  <c r="BS21"/>
  <c r="BT21"/>
  <c r="BW21"/>
  <c r="BS22"/>
  <c r="BT22"/>
  <c r="BW22"/>
  <c r="BS23"/>
  <c r="BT23"/>
  <c r="BS24"/>
  <c r="BT24"/>
  <c r="BS25"/>
  <c r="BT25"/>
  <c r="BS26"/>
  <c r="BT26"/>
  <c r="BS27"/>
  <c r="BT27"/>
  <c r="BS28"/>
  <c r="BT28"/>
  <c r="BS29"/>
  <c r="BT29"/>
  <c r="BS30"/>
  <c r="BT30"/>
  <c r="BS31"/>
  <c r="BT31"/>
  <c r="BS32"/>
  <c r="BT32"/>
  <c r="BS33"/>
  <c r="BT33"/>
  <c r="BS34"/>
  <c r="BT34"/>
  <c r="BS35"/>
  <c r="BT35"/>
  <c r="BS36"/>
  <c r="BT36"/>
  <c r="BS37"/>
  <c r="BT37"/>
  <c r="BS38"/>
  <c r="BT38"/>
  <c r="BS39"/>
  <c r="BT39"/>
  <c r="BS40"/>
  <c r="BT40"/>
  <c r="BS41"/>
  <c r="BT41"/>
  <c r="BS42"/>
  <c r="BT42"/>
  <c r="BS43"/>
  <c r="BT43"/>
  <c r="BS44"/>
  <c r="BT44"/>
  <c r="BS45"/>
  <c r="BT45"/>
  <c r="BW45"/>
  <c r="BS46"/>
  <c r="BT46"/>
  <c r="BS47"/>
  <c r="BT47"/>
  <c r="BS48"/>
  <c r="BT48"/>
  <c r="BS49"/>
  <c r="BT49"/>
  <c r="BS50"/>
  <c r="BT50"/>
  <c r="BS51"/>
  <c r="BT51"/>
  <c r="BW51"/>
  <c r="BS52"/>
  <c r="BT52"/>
  <c r="BW52"/>
  <c r="BS53"/>
  <c r="BT53"/>
  <c r="BS54"/>
  <c r="BT54"/>
  <c r="BS55"/>
  <c r="BT55"/>
  <c r="BS56"/>
  <c r="BT56"/>
  <c r="BS57"/>
  <c r="BT57"/>
  <c r="BS58"/>
  <c r="BT58"/>
  <c r="BS59"/>
  <c r="BT59"/>
  <c r="BS60"/>
  <c r="BT60"/>
  <c r="BS61"/>
  <c r="BT61"/>
  <c r="BS62"/>
  <c r="BS63"/>
  <c r="BT63"/>
  <c r="BS64"/>
  <c r="BT64"/>
  <c r="BS65"/>
  <c r="BT65"/>
  <c r="BS66"/>
  <c r="BT66"/>
  <c r="BS67"/>
  <c r="BT67"/>
  <c r="BS68"/>
  <c r="BT68"/>
  <c r="BS69"/>
  <c r="BT69"/>
  <c r="BS70"/>
  <c r="BT70"/>
  <c r="BW70"/>
  <c r="BS71"/>
  <c r="BT71"/>
  <c r="BS72"/>
  <c r="BT72"/>
  <c r="BS73"/>
  <c r="BT73"/>
  <c r="BS74"/>
  <c r="BT74"/>
  <c r="BS75"/>
  <c r="BT75"/>
  <c r="BS76"/>
  <c r="BT76"/>
  <c r="BS77"/>
  <c r="BT77"/>
  <c r="BS78"/>
  <c r="BT78"/>
  <c r="BS79"/>
  <c r="BT79"/>
  <c r="BS80"/>
  <c r="BT80"/>
  <c r="BW80"/>
  <c r="BS81"/>
  <c r="BT81"/>
  <c r="BS82"/>
  <c r="BT82"/>
  <c r="BW82"/>
  <c r="BS83"/>
  <c r="BT83"/>
  <c r="BS84"/>
  <c r="BT84"/>
  <c r="BS85"/>
  <c r="BT85"/>
  <c r="BS86"/>
  <c r="BT86"/>
  <c r="BS87"/>
  <c r="BT87"/>
  <c r="BS88"/>
  <c r="BT88"/>
  <c r="BS89"/>
  <c r="BT89"/>
  <c r="BW89"/>
  <c r="BS90"/>
  <c r="BT90"/>
  <c r="BS91"/>
  <c r="BT91"/>
  <c r="BW91"/>
  <c r="BS92"/>
  <c r="BT92"/>
  <c r="BS93"/>
  <c r="BT93"/>
  <c r="BS94"/>
  <c r="BT94"/>
  <c r="BS95"/>
  <c r="BT95"/>
  <c r="BS96"/>
  <c r="BT96"/>
  <c r="BS97"/>
  <c r="BT97"/>
  <c r="BS98"/>
  <c r="BT98"/>
  <c r="BS99"/>
  <c r="BT99"/>
  <c r="BS100"/>
  <c r="BT100"/>
  <c r="S56"/>
  <c r="R56" s="1"/>
  <c r="N56"/>
  <c r="AD56"/>
  <c r="AJ56"/>
  <c r="AZ109"/>
  <c r="N121"/>
  <c r="AD121"/>
  <c r="AJ121"/>
  <c r="B142"/>
  <c r="N142" i="27"/>
  <c r="O142"/>
  <c r="V142"/>
  <c r="N143"/>
  <c r="O143"/>
  <c r="V143"/>
  <c r="H141"/>
  <c r="I141" s="1"/>
  <c r="N101"/>
  <c r="O101"/>
  <c r="N102"/>
  <c r="O102"/>
  <c r="N103"/>
  <c r="O103"/>
  <c r="N104"/>
  <c r="O104"/>
  <c r="N105"/>
  <c r="O105"/>
  <c r="N106"/>
  <c r="O106"/>
  <c r="N107"/>
  <c r="O107"/>
  <c r="N108"/>
  <c r="O108"/>
  <c r="N109"/>
  <c r="O109"/>
  <c r="N110"/>
  <c r="O110"/>
  <c r="N111"/>
  <c r="O111"/>
  <c r="N112"/>
  <c r="O112"/>
  <c r="N113"/>
  <c r="O113"/>
  <c r="N114"/>
  <c r="O114"/>
  <c r="N115"/>
  <c r="O115"/>
  <c r="N116"/>
  <c r="O116"/>
  <c r="N117"/>
  <c r="O117"/>
  <c r="N118"/>
  <c r="O118"/>
  <c r="N119"/>
  <c r="O119"/>
  <c r="N120"/>
  <c r="O120"/>
  <c r="N121"/>
  <c r="O121"/>
  <c r="N122"/>
  <c r="O122"/>
  <c r="N123"/>
  <c r="O123"/>
  <c r="N124"/>
  <c r="O124"/>
  <c r="N125"/>
  <c r="O125"/>
  <c r="N126"/>
  <c r="O126"/>
  <c r="N127"/>
  <c r="O127"/>
  <c r="N128"/>
  <c r="O128"/>
  <c r="N129"/>
  <c r="O129"/>
  <c r="N130"/>
  <c r="O130"/>
  <c r="N131"/>
  <c r="O131"/>
  <c r="N132"/>
  <c r="O132"/>
  <c r="N133"/>
  <c r="O133"/>
  <c r="N134"/>
  <c r="O134"/>
  <c r="N135"/>
  <c r="O135"/>
  <c r="N136"/>
  <c r="O136"/>
  <c r="N137"/>
  <c r="O137"/>
  <c r="N138"/>
  <c r="O138"/>
  <c r="N139"/>
  <c r="O139"/>
  <c r="C194" i="10"/>
  <c r="C186"/>
  <c r="DS139" l="1"/>
  <c r="DT139"/>
  <c r="DU139" s="1"/>
  <c r="DV139" s="1"/>
  <c r="CA121"/>
  <c r="CB121"/>
  <c r="CC121" s="1"/>
  <c r="CD121" s="1"/>
  <c r="FD101"/>
  <c r="FE101" s="1"/>
  <c r="FF101" s="1"/>
  <c r="FC101"/>
  <c r="FC143"/>
  <c r="FD143"/>
  <c r="FE143" s="1"/>
  <c r="FF143" s="1"/>
  <c r="FD102"/>
  <c r="FE102" s="1"/>
  <c r="FF102" s="1"/>
  <c r="FC102"/>
  <c r="FD110"/>
  <c r="FE110" s="1"/>
  <c r="FF110" s="1"/>
  <c r="FC110"/>
  <c r="FD119"/>
  <c r="FE119" s="1"/>
  <c r="FF119" s="1"/>
  <c r="FC119"/>
  <c r="FC133"/>
  <c r="FD133"/>
  <c r="FE133" s="1"/>
  <c r="FF133" s="1"/>
  <c r="FD132"/>
  <c r="FE132" s="1"/>
  <c r="FF132" s="1"/>
  <c r="FC132"/>
  <c r="FD105"/>
  <c r="FE105" s="1"/>
  <c r="FF105" s="1"/>
  <c r="FC105"/>
  <c r="FC144"/>
  <c r="FD144"/>
  <c r="FE144" s="1"/>
  <c r="FF144" s="1"/>
  <c r="BV48"/>
  <c r="AE48"/>
  <c r="BU38"/>
  <c r="IG4"/>
  <c r="BX21"/>
  <c r="S121"/>
  <c r="R121" s="1"/>
  <c r="BX45"/>
  <c r="BX89"/>
  <c r="BY89" s="1"/>
  <c r="BZ89" s="1"/>
  <c r="CB89" s="1"/>
  <c r="CC89" s="1"/>
  <c r="CD89" s="1"/>
  <c r="BX80"/>
  <c r="BY80" s="1"/>
  <c r="BZ80" s="1"/>
  <c r="CB80" s="1"/>
  <c r="CC80" s="1"/>
  <c r="CD80" s="1"/>
  <c r="BX51"/>
  <c r="BX22"/>
  <c r="BY22" s="1"/>
  <c r="BZ22" s="1"/>
  <c r="CA22" s="1"/>
  <c r="BX70"/>
  <c r="J107"/>
  <c r="BV107" s="1"/>
  <c r="J123"/>
  <c r="BV123" s="1"/>
  <c r="BX52"/>
  <c r="V56"/>
  <c r="BX13"/>
  <c r="BX82"/>
  <c r="J115"/>
  <c r="BV115" s="1"/>
  <c r="B52" i="27"/>
  <c r="A52"/>
  <c r="B34"/>
  <c r="A34"/>
  <c r="B40"/>
  <c r="A40"/>
  <c r="J140" i="10"/>
  <c r="BV140" s="1"/>
  <c r="J122"/>
  <c r="BV122" s="1"/>
  <c r="J92"/>
  <c r="BV92" s="1"/>
  <c r="J80"/>
  <c r="BV80" s="1"/>
  <c r="J68"/>
  <c r="BV68" s="1"/>
  <c r="J56"/>
  <c r="L56" s="1"/>
  <c r="M56" s="1"/>
  <c r="J126"/>
  <c r="BV126" s="1"/>
  <c r="J181" i="21"/>
  <c r="J113" i="10"/>
  <c r="BV113" s="1"/>
  <c r="BU56"/>
  <c r="J143"/>
  <c r="BV143" s="1"/>
  <c r="J105"/>
  <c r="BV105" s="1"/>
  <c r="J109"/>
  <c r="BV109" s="1"/>
  <c r="J117"/>
  <c r="BV117" s="1"/>
  <c r="J76"/>
  <c r="BV76" s="1"/>
  <c r="J64"/>
  <c r="BV64" s="1"/>
  <c r="J24"/>
  <c r="BV24" s="1"/>
  <c r="BU72"/>
  <c r="BU60"/>
  <c r="J96"/>
  <c r="BV96" s="1"/>
  <c r="J84"/>
  <c r="BV84" s="1"/>
  <c r="J32"/>
  <c r="BV32" s="1"/>
  <c r="BU88"/>
  <c r="BU36"/>
  <c r="BU20"/>
  <c r="J100"/>
  <c r="BV100" s="1"/>
  <c r="J28"/>
  <c r="BV28" s="1"/>
  <c r="J128"/>
  <c r="BV128" s="1"/>
  <c r="BU82"/>
  <c r="BU70"/>
  <c r="J26"/>
  <c r="BV26" s="1"/>
  <c r="BU94"/>
  <c r="BU78"/>
  <c r="BU98"/>
  <c r="BU86"/>
  <c r="BU74"/>
  <c r="BU58"/>
  <c r="J90"/>
  <c r="BV90" s="1"/>
  <c r="J66"/>
  <c r="BV66" s="1"/>
  <c r="J136"/>
  <c r="BV136" s="1"/>
  <c r="BW56"/>
  <c r="BX56" s="1"/>
  <c r="BX91"/>
  <c r="BY91" s="1"/>
  <c r="BZ91" s="1"/>
  <c r="BU54"/>
  <c r="BU52"/>
  <c r="BU47"/>
  <c r="BU15"/>
  <c r="BU13"/>
  <c r="BU11"/>
  <c r="BU9"/>
  <c r="BU7"/>
  <c r="J89"/>
  <c r="BV89" s="1"/>
  <c r="BU61"/>
  <c r="BU59"/>
  <c r="BU57"/>
  <c r="BU55"/>
  <c r="BU53"/>
  <c r="BU51"/>
  <c r="BU49"/>
  <c r="BU48"/>
  <c r="BU45"/>
  <c r="BU44"/>
  <c r="BU43"/>
  <c r="BU41"/>
  <c r="BU40"/>
  <c r="BU39"/>
  <c r="BU37"/>
  <c r="BU35"/>
  <c r="BU33"/>
  <c r="BU31"/>
  <c r="BU29"/>
  <c r="BU27"/>
  <c r="BU25"/>
  <c r="BU23"/>
  <c r="BU21"/>
  <c r="BU19"/>
  <c r="BU17"/>
  <c r="BU16"/>
  <c r="BU12"/>
  <c r="BU8"/>
  <c r="BU4"/>
  <c r="W56"/>
  <c r="T56"/>
  <c r="Y56" s="1"/>
  <c r="Z56" s="1"/>
  <c r="AA56" s="1"/>
  <c r="AB56" s="1"/>
  <c r="J73"/>
  <c r="BV73" s="1"/>
  <c r="J42"/>
  <c r="BV42" s="1"/>
  <c r="J10"/>
  <c r="BV10" s="1"/>
  <c r="J134"/>
  <c r="BV134" s="1"/>
  <c r="J85"/>
  <c r="BV85" s="1"/>
  <c r="J69"/>
  <c r="BV69" s="1"/>
  <c r="J97"/>
  <c r="BV97" s="1"/>
  <c r="J81"/>
  <c r="BV81" s="1"/>
  <c r="J65"/>
  <c r="BV65" s="1"/>
  <c r="J93"/>
  <c r="BV93" s="1"/>
  <c r="J77"/>
  <c r="BV77" s="1"/>
  <c r="J5"/>
  <c r="BV5" s="1"/>
  <c r="J144"/>
  <c r="BV144" s="1"/>
  <c r="J104"/>
  <c r="BV104" s="1"/>
  <c r="J99"/>
  <c r="BV99" s="1"/>
  <c r="J91"/>
  <c r="BV91" s="1"/>
  <c r="J83"/>
  <c r="BV83" s="1"/>
  <c r="J75"/>
  <c r="BV75" s="1"/>
  <c r="J67"/>
  <c r="BV67" s="1"/>
  <c r="J3"/>
  <c r="BV3" s="1"/>
  <c r="J120"/>
  <c r="BV120" s="1"/>
  <c r="J112"/>
  <c r="BV112" s="1"/>
  <c r="J95"/>
  <c r="BV95" s="1"/>
  <c r="J87"/>
  <c r="BV87" s="1"/>
  <c r="J79"/>
  <c r="BV79" s="1"/>
  <c r="J71"/>
  <c r="BV71" s="1"/>
  <c r="J63"/>
  <c r="BV63" s="1"/>
  <c r="J138"/>
  <c r="BV138" s="1"/>
  <c r="J130"/>
  <c r="BV130" s="1"/>
  <c r="J116"/>
  <c r="BV116" s="1"/>
  <c r="J108"/>
  <c r="BV108" s="1"/>
  <c r="J50"/>
  <c r="BV50" s="1"/>
  <c r="J34"/>
  <c r="BV34" s="1"/>
  <c r="J18"/>
  <c r="BV18" s="1"/>
  <c r="P142" i="27"/>
  <c r="S142" s="1"/>
  <c r="G142" i="10" s="1"/>
  <c r="J146"/>
  <c r="BV146" s="1"/>
  <c r="J142"/>
  <c r="BV142" s="1"/>
  <c r="J118"/>
  <c r="BV118" s="1"/>
  <c r="J114"/>
  <c r="BV114" s="1"/>
  <c r="J110"/>
  <c r="BV110" s="1"/>
  <c r="J106"/>
  <c r="BV106" s="1"/>
  <c r="J101"/>
  <c r="BV101" s="1"/>
  <c r="J46"/>
  <c r="BV46" s="1"/>
  <c r="J38"/>
  <c r="BV38" s="1"/>
  <c r="J30"/>
  <c r="BV30" s="1"/>
  <c r="J22"/>
  <c r="BV22" s="1"/>
  <c r="J14"/>
  <c r="BV14" s="1"/>
  <c r="J145"/>
  <c r="BV145" s="1"/>
  <c r="J141"/>
  <c r="BV141" s="1"/>
  <c r="J139"/>
  <c r="BV139" s="1"/>
  <c r="J137"/>
  <c r="BV137" s="1"/>
  <c r="J135"/>
  <c r="BV135" s="1"/>
  <c r="J133"/>
  <c r="BV133" s="1"/>
  <c r="J131"/>
  <c r="BV131" s="1"/>
  <c r="J129"/>
  <c r="BV129" s="1"/>
  <c r="J125"/>
  <c r="BV125" s="1"/>
  <c r="V121"/>
  <c r="J121"/>
  <c r="BV121" s="1"/>
  <c r="P143" i="27"/>
  <c r="BC433" i="10"/>
  <c r="C30" i="21"/>
  <c r="C35"/>
  <c r="C21" i="22"/>
  <c r="F99" s="1"/>
  <c r="Q10" i="10"/>
  <c r="BW10" s="1"/>
  <c r="BX10" s="1"/>
  <c r="BY10" s="1"/>
  <c r="BZ10" s="1"/>
  <c r="CB10" s="1"/>
  <c r="CC10" s="1"/>
  <c r="CD10" s="1"/>
  <c r="L48" i="22"/>
  <c r="E9" s="1"/>
  <c r="E13" s="1"/>
  <c r="E14" s="1"/>
  <c r="F66"/>
  <c r="H41"/>
  <c r="Q24" i="10"/>
  <c r="BW24" s="1"/>
  <c r="BX24" s="1"/>
  <c r="BY24" s="1"/>
  <c r="BZ24" s="1"/>
  <c r="CA24" s="1"/>
  <c r="Q64"/>
  <c r="BW64" s="1"/>
  <c r="BX64" s="1"/>
  <c r="BY64" s="1"/>
  <c r="BZ64" s="1"/>
  <c r="CB64" s="1"/>
  <c r="CC64" s="1"/>
  <c r="CD64" s="1"/>
  <c r="BY70" l="1"/>
  <c r="BZ70" s="1"/>
  <c r="CA70" s="1"/>
  <c r="CE121"/>
  <c r="CF121"/>
  <c r="CG121" s="1"/>
  <c r="CH121" s="1"/>
  <c r="DX139"/>
  <c r="DY139" s="1"/>
  <c r="DZ139" s="1"/>
  <c r="DW139"/>
  <c r="FG144"/>
  <c r="FH144"/>
  <c r="FI144" s="1"/>
  <c r="FJ144" s="1"/>
  <c r="FH105"/>
  <c r="FI105" s="1"/>
  <c r="FJ105" s="1"/>
  <c r="FG105"/>
  <c r="FG133"/>
  <c r="FH133"/>
  <c r="FI133" s="1"/>
  <c r="FJ133" s="1"/>
  <c r="FH110"/>
  <c r="FI110" s="1"/>
  <c r="FJ110" s="1"/>
  <c r="FG110"/>
  <c r="FH101"/>
  <c r="FI101" s="1"/>
  <c r="FJ101" s="1"/>
  <c r="FG101"/>
  <c r="FH119"/>
  <c r="FI119" s="1"/>
  <c r="FJ119" s="1"/>
  <c r="FG119"/>
  <c r="FH132"/>
  <c r="FI132" s="1"/>
  <c r="FJ132" s="1"/>
  <c r="FG132"/>
  <c r="FH102"/>
  <c r="FI102" s="1"/>
  <c r="FJ102" s="1"/>
  <c r="FG102"/>
  <c r="FG143"/>
  <c r="FH143"/>
  <c r="FI143" s="1"/>
  <c r="FJ143" s="1"/>
  <c r="BY51"/>
  <c r="BZ51" s="1"/>
  <c r="CB51" s="1"/>
  <c r="CC51" s="1"/>
  <c r="CD51" s="1"/>
  <c r="CE51" s="1"/>
  <c r="T121"/>
  <c r="Y121" s="1"/>
  <c r="Z121" s="1"/>
  <c r="AA121" s="1"/>
  <c r="AB121" s="1"/>
  <c r="BY13"/>
  <c r="BZ13" s="1"/>
  <c r="CA13" s="1"/>
  <c r="W121"/>
  <c r="BY21"/>
  <c r="BZ21" s="1"/>
  <c r="CB21" s="1"/>
  <c r="CC21" s="1"/>
  <c r="CD21" s="1"/>
  <c r="H99" i="22"/>
  <c r="BY45" i="10"/>
  <c r="BZ45" s="1"/>
  <c r="CA45" s="1"/>
  <c r="BY82"/>
  <c r="BZ82" s="1"/>
  <c r="CA82" s="1"/>
  <c r="BY56"/>
  <c r="BZ56" s="1"/>
  <c r="CB56" s="1"/>
  <c r="CC56" s="1"/>
  <c r="CD56" s="1"/>
  <c r="CF56" s="1"/>
  <c r="CG56" s="1"/>
  <c r="CH56" s="1"/>
  <c r="BY52"/>
  <c r="BZ52" s="1"/>
  <c r="CA52" s="1"/>
  <c r="BV56"/>
  <c r="AE56"/>
  <c r="CB22"/>
  <c r="CC22" s="1"/>
  <c r="CD22" s="1"/>
  <c r="CF22" s="1"/>
  <c r="CG22" s="1"/>
  <c r="CH22" s="1"/>
  <c r="J182" i="21"/>
  <c r="CA89" i="10"/>
  <c r="CB24"/>
  <c r="CC24" s="1"/>
  <c r="CD24" s="1"/>
  <c r="CA10"/>
  <c r="CA64"/>
  <c r="CA91"/>
  <c r="CB91"/>
  <c r="CC91" s="1"/>
  <c r="CD91" s="1"/>
  <c r="CE91" s="1"/>
  <c r="CA80"/>
  <c r="CE64"/>
  <c r="CF64"/>
  <c r="CG64" s="1"/>
  <c r="CH64" s="1"/>
  <c r="CE89"/>
  <c r="CF89"/>
  <c r="CG89" s="1"/>
  <c r="CH89" s="1"/>
  <c r="CF10"/>
  <c r="CG10" s="1"/>
  <c r="CH10" s="1"/>
  <c r="CE10"/>
  <c r="CE80"/>
  <c r="CF80"/>
  <c r="CG80" s="1"/>
  <c r="CH80" s="1"/>
  <c r="C9" i="22"/>
  <c r="C11" s="1"/>
  <c r="E11"/>
  <c r="F101" s="1"/>
  <c r="S143" i="27"/>
  <c r="G143" i="10" s="1"/>
  <c r="L121"/>
  <c r="M121" s="1"/>
  <c r="AE121"/>
  <c r="C37" i="21"/>
  <c r="Q44" i="10"/>
  <c r="BW44" s="1"/>
  <c r="BX44" s="1"/>
  <c r="BY44" s="1"/>
  <c r="BZ44" s="1"/>
  <c r="L49" i="22"/>
  <c r="F9" s="1"/>
  <c r="F13" s="1"/>
  <c r="F14" s="1"/>
  <c r="G14" s="1"/>
  <c r="P36"/>
  <c r="C25"/>
  <c r="D26" s="1"/>
  <c r="C28"/>
  <c r="C27"/>
  <c r="I59"/>
  <c r="F25"/>
  <c r="H59"/>
  <c r="CA51" i="10" l="1"/>
  <c r="CB70"/>
  <c r="CC70" s="1"/>
  <c r="CD70" s="1"/>
  <c r="CF70" s="1"/>
  <c r="CG70" s="1"/>
  <c r="CH70" s="1"/>
  <c r="CI70" s="1"/>
  <c r="EB139"/>
  <c r="EC139" s="1"/>
  <c r="ED139" s="1"/>
  <c r="EA139"/>
  <c r="CJ121"/>
  <c r="CK121" s="1"/>
  <c r="CL121" s="1"/>
  <c r="CI121"/>
  <c r="FK143"/>
  <c r="FL143"/>
  <c r="FM143" s="1"/>
  <c r="FN143" s="1"/>
  <c r="FL102"/>
  <c r="FM102" s="1"/>
  <c r="FN102" s="1"/>
  <c r="FK102"/>
  <c r="FL132"/>
  <c r="FM132" s="1"/>
  <c r="FN132" s="1"/>
  <c r="FK132"/>
  <c r="FK133"/>
  <c r="FL133"/>
  <c r="FM133" s="1"/>
  <c r="FN133" s="1"/>
  <c r="FL105"/>
  <c r="FM105" s="1"/>
  <c r="FN105" s="1"/>
  <c r="FK105"/>
  <c r="FL119"/>
  <c r="FM119" s="1"/>
  <c r="FN119" s="1"/>
  <c r="FK119"/>
  <c r="FK144"/>
  <c r="FL144"/>
  <c r="FM144" s="1"/>
  <c r="FN144" s="1"/>
  <c r="FL101"/>
  <c r="FM101" s="1"/>
  <c r="FN101" s="1"/>
  <c r="FK101"/>
  <c r="FL110"/>
  <c r="FM110" s="1"/>
  <c r="FN110" s="1"/>
  <c r="FK110"/>
  <c r="P40" i="22"/>
  <c r="Q36"/>
  <c r="CB45" i="10"/>
  <c r="CC45" s="1"/>
  <c r="CD45" s="1"/>
  <c r="CF45" s="1"/>
  <c r="CG45" s="1"/>
  <c r="CH45" s="1"/>
  <c r="CJ45" s="1"/>
  <c r="CK45" s="1"/>
  <c r="CL45" s="1"/>
  <c r="CB13"/>
  <c r="CC13" s="1"/>
  <c r="CD13" s="1"/>
  <c r="CE13" s="1"/>
  <c r="CA21"/>
  <c r="H101" i="22"/>
  <c r="CE56" i="10"/>
  <c r="CB82"/>
  <c r="CC82" s="1"/>
  <c r="CD82" s="1"/>
  <c r="CE82" s="1"/>
  <c r="CB52"/>
  <c r="CC52" s="1"/>
  <c r="CD52" s="1"/>
  <c r="CE52" s="1"/>
  <c r="CE22"/>
  <c r="CA56"/>
  <c r="CF91"/>
  <c r="CG91" s="1"/>
  <c r="CH91" s="1"/>
  <c r="CI91" s="1"/>
  <c r="CE24"/>
  <c r="CF24"/>
  <c r="CG24" s="1"/>
  <c r="CH24" s="1"/>
  <c r="CF21"/>
  <c r="CG21" s="1"/>
  <c r="CH21" s="1"/>
  <c r="CJ21" s="1"/>
  <c r="CK21" s="1"/>
  <c r="CE21"/>
  <c r="CA44"/>
  <c r="CB44"/>
  <c r="CC44" s="1"/>
  <c r="CD44" s="1"/>
  <c r="CF51"/>
  <c r="CG51" s="1"/>
  <c r="CH51" s="1"/>
  <c r="CI64"/>
  <c r="CJ64"/>
  <c r="CK64" s="1"/>
  <c r="CL64" s="1"/>
  <c r="CI80"/>
  <c r="CJ80"/>
  <c r="CK80" s="1"/>
  <c r="CL80" s="1"/>
  <c r="CJ10"/>
  <c r="CK10" s="1"/>
  <c r="CL10" s="1"/>
  <c r="CI10"/>
  <c r="CI89"/>
  <c r="CJ89"/>
  <c r="CK89" s="1"/>
  <c r="CL89" s="1"/>
  <c r="CI56"/>
  <c r="CJ56"/>
  <c r="CK56" s="1"/>
  <c r="CL56" s="1"/>
  <c r="CI22"/>
  <c r="CJ22"/>
  <c r="CK22" s="1"/>
  <c r="CL22" s="1"/>
  <c r="C13" i="22"/>
  <c r="C14" s="1"/>
  <c r="D9"/>
  <c r="D11" s="1"/>
  <c r="G100" s="1"/>
  <c r="I100" s="1"/>
  <c r="F11"/>
  <c r="G101" s="1"/>
  <c r="I101" s="1"/>
  <c r="F102"/>
  <c r="D27"/>
  <c r="D28"/>
  <c r="F127" i="10"/>
  <c r="BT127" s="1"/>
  <c r="F28" i="22"/>
  <c r="G95" s="1"/>
  <c r="I95" s="1"/>
  <c r="K26"/>
  <c r="N26" s="1"/>
  <c r="N29" s="1"/>
  <c r="N20"/>
  <c r="N23" s="1"/>
  <c r="I25"/>
  <c r="H28" s="1"/>
  <c r="F96" s="1"/>
  <c r="FI5" i="21"/>
  <c r="BW145" i="10"/>
  <c r="BX145" s="1"/>
  <c r="BY145" s="1"/>
  <c r="BZ145" s="1"/>
  <c r="Q85"/>
  <c r="BW85" s="1"/>
  <c r="BX85" s="1"/>
  <c r="BY85" s="1"/>
  <c r="BZ85" s="1"/>
  <c r="Q30"/>
  <c r="BW30" s="1"/>
  <c r="BX30" s="1"/>
  <c r="BY30" s="1"/>
  <c r="BZ30" s="1"/>
  <c r="Q49"/>
  <c r="BW49" s="1"/>
  <c r="BX49" s="1"/>
  <c r="BY49" s="1"/>
  <c r="BZ49" s="1"/>
  <c r="B45" i="22"/>
  <c r="CJ70" i="10" l="1"/>
  <c r="CK70" s="1"/>
  <c r="CL70" s="1"/>
  <c r="CM70" s="1"/>
  <c r="CE70"/>
  <c r="CB145"/>
  <c r="CC145" s="1"/>
  <c r="CD145" s="1"/>
  <c r="CA145"/>
  <c r="CN121"/>
  <c r="CO121" s="1"/>
  <c r="CP121" s="1"/>
  <c r="CM121"/>
  <c r="EE139"/>
  <c r="EF139"/>
  <c r="EG139" s="1"/>
  <c r="EH139" s="1"/>
  <c r="FP110"/>
  <c r="FQ110" s="1"/>
  <c r="FR110" s="1"/>
  <c r="FO110"/>
  <c r="FP105"/>
  <c r="FQ105" s="1"/>
  <c r="FR105" s="1"/>
  <c r="FO105"/>
  <c r="FO144"/>
  <c r="FP144"/>
  <c r="FQ144" s="1"/>
  <c r="FR144" s="1"/>
  <c r="FP119"/>
  <c r="FQ119" s="1"/>
  <c r="FR119" s="1"/>
  <c r="FO119"/>
  <c r="FO133"/>
  <c r="FP133"/>
  <c r="FQ133" s="1"/>
  <c r="FR133" s="1"/>
  <c r="FP132"/>
  <c r="FQ132" s="1"/>
  <c r="FR132" s="1"/>
  <c r="FO132"/>
  <c r="FP102"/>
  <c r="FQ102" s="1"/>
  <c r="FR102" s="1"/>
  <c r="FO102"/>
  <c r="FO143"/>
  <c r="FP143"/>
  <c r="FQ143" s="1"/>
  <c r="FR143" s="1"/>
  <c r="FP101"/>
  <c r="FQ101" s="1"/>
  <c r="FR101" s="1"/>
  <c r="FO101"/>
  <c r="CF13"/>
  <c r="CG13" s="1"/>
  <c r="CH13" s="1"/>
  <c r="CJ13" s="1"/>
  <c r="CK13" s="1"/>
  <c r="CL13" s="1"/>
  <c r="CN13" s="1"/>
  <c r="CO13" s="1"/>
  <c r="CP13" s="1"/>
  <c r="CE45"/>
  <c r="H102" i="22"/>
  <c r="H96"/>
  <c r="CF82" i="10"/>
  <c r="CG82" s="1"/>
  <c r="CH82" s="1"/>
  <c r="CI82" s="1"/>
  <c r="CF52"/>
  <c r="CG52" s="1"/>
  <c r="CH52" s="1"/>
  <c r="CI52" s="1"/>
  <c r="CJ91"/>
  <c r="CK91" s="1"/>
  <c r="CL91" s="1"/>
  <c r="CN91" s="1"/>
  <c r="CO91" s="1"/>
  <c r="CP91" s="1"/>
  <c r="CI45"/>
  <c r="CJ24"/>
  <c r="CK24" s="1"/>
  <c r="CL24" s="1"/>
  <c r="CN24" s="1"/>
  <c r="CO24" s="1"/>
  <c r="CP24" s="1"/>
  <c r="CI24"/>
  <c r="CI21"/>
  <c r="CL21"/>
  <c r="CN21" s="1"/>
  <c r="CO21" s="1"/>
  <c r="CP21" s="1"/>
  <c r="CA49"/>
  <c r="CB49"/>
  <c r="CC49" s="1"/>
  <c r="CD49" s="1"/>
  <c r="CI51"/>
  <c r="CJ51"/>
  <c r="CK51" s="1"/>
  <c r="CL51" s="1"/>
  <c r="CN51" s="1"/>
  <c r="CO51" s="1"/>
  <c r="CP51" s="1"/>
  <c r="CA30"/>
  <c r="CB30"/>
  <c r="CC30" s="1"/>
  <c r="CD30" s="1"/>
  <c r="CB85"/>
  <c r="CC85" s="1"/>
  <c r="CD85" s="1"/>
  <c r="CA85"/>
  <c r="CF44"/>
  <c r="CG44" s="1"/>
  <c r="CH44" s="1"/>
  <c r="CE44"/>
  <c r="CM89"/>
  <c r="CN89"/>
  <c r="CO89" s="1"/>
  <c r="CP89" s="1"/>
  <c r="CN45"/>
  <c r="CO45" s="1"/>
  <c r="CP45" s="1"/>
  <c r="CM45"/>
  <c r="CM56"/>
  <c r="CN56"/>
  <c r="CO56" s="1"/>
  <c r="CP56" s="1"/>
  <c r="CM80"/>
  <c r="CN80"/>
  <c r="CO80" s="1"/>
  <c r="CP80" s="1"/>
  <c r="CM22"/>
  <c r="CN22"/>
  <c r="CO22" s="1"/>
  <c r="CP22" s="1"/>
  <c r="CN10"/>
  <c r="CO10" s="1"/>
  <c r="CP10" s="1"/>
  <c r="CM10"/>
  <c r="CM64"/>
  <c r="CN64"/>
  <c r="CO64" s="1"/>
  <c r="CP64" s="1"/>
  <c r="D13" i="22"/>
  <c r="D14" s="1"/>
  <c r="B14" s="1"/>
  <c r="J127" i="10"/>
  <c r="BV127" s="1"/>
  <c r="K29" i="22"/>
  <c r="K23"/>
  <c r="O24"/>
  <c r="F98" s="1"/>
  <c r="I28"/>
  <c r="G96" s="1"/>
  <c r="I96" s="1"/>
  <c r="E28"/>
  <c r="G28" s="1"/>
  <c r="FI9" i="21"/>
  <c r="FJ45"/>
  <c r="FK45" s="1"/>
  <c r="FL45"/>
  <c r="FO45"/>
  <c r="FD54"/>
  <c r="FC54"/>
  <c r="EY54"/>
  <c r="FD53"/>
  <c r="FC53"/>
  <c r="EY53"/>
  <c r="FD52"/>
  <c r="FC52"/>
  <c r="EY52"/>
  <c r="FD51"/>
  <c r="FC51"/>
  <c r="EY51"/>
  <c r="FD50"/>
  <c r="FC50"/>
  <c r="EY50"/>
  <c r="FD49"/>
  <c r="FC49"/>
  <c r="EY49"/>
  <c r="FD48"/>
  <c r="FC48"/>
  <c r="EY48"/>
  <c r="FD47"/>
  <c r="FC47"/>
  <c r="EY47"/>
  <c r="FD46"/>
  <c r="FC46"/>
  <c r="EY46"/>
  <c r="FD2"/>
  <c r="FC2"/>
  <c r="EY2"/>
  <c r="FD3"/>
  <c r="FC3"/>
  <c r="EY3"/>
  <c r="FD4"/>
  <c r="FC4"/>
  <c r="EY4"/>
  <c r="FD5"/>
  <c r="FC5"/>
  <c r="EY5"/>
  <c r="FD6"/>
  <c r="FC6"/>
  <c r="EY6"/>
  <c r="FD7"/>
  <c r="FC7"/>
  <c r="EY7"/>
  <c r="FD8"/>
  <c r="FC8"/>
  <c r="EY8"/>
  <c r="FD9"/>
  <c r="FC9"/>
  <c r="EY9"/>
  <c r="FD10"/>
  <c r="FC10"/>
  <c r="EY10"/>
  <c r="FD11"/>
  <c r="FC11"/>
  <c r="EY11"/>
  <c r="FD12"/>
  <c r="FC12"/>
  <c r="EY12"/>
  <c r="FD13"/>
  <c r="FC13"/>
  <c r="EY13"/>
  <c r="FD14"/>
  <c r="FC14"/>
  <c r="EY14"/>
  <c r="FD15"/>
  <c r="FC15"/>
  <c r="EY15"/>
  <c r="FD16"/>
  <c r="FC16"/>
  <c r="EY16"/>
  <c r="FD17"/>
  <c r="FC17"/>
  <c r="EY17"/>
  <c r="FD18"/>
  <c r="FC18"/>
  <c r="EY18"/>
  <c r="FD19"/>
  <c r="FC19"/>
  <c r="EY19"/>
  <c r="FD20"/>
  <c r="FC20"/>
  <c r="EY20"/>
  <c r="FD21"/>
  <c r="FC21"/>
  <c r="EY21"/>
  <c r="FD22"/>
  <c r="FC22"/>
  <c r="EY22"/>
  <c r="FD23"/>
  <c r="FC23"/>
  <c r="EY23"/>
  <c r="FD24"/>
  <c r="FC24"/>
  <c r="EY24"/>
  <c r="FD25"/>
  <c r="FC25"/>
  <c r="EY25"/>
  <c r="FD26"/>
  <c r="FC26"/>
  <c r="EY26"/>
  <c r="FD27"/>
  <c r="FC27"/>
  <c r="EY27"/>
  <c r="FD28"/>
  <c r="FC28"/>
  <c r="EY28"/>
  <c r="FD29"/>
  <c r="FC29"/>
  <c r="EY29"/>
  <c r="FD30"/>
  <c r="FC30"/>
  <c r="EY30"/>
  <c r="FD31"/>
  <c r="FC31"/>
  <c r="EY31"/>
  <c r="FD32"/>
  <c r="FC32"/>
  <c r="EY32"/>
  <c r="FD33"/>
  <c r="FC33"/>
  <c r="EY33"/>
  <c r="FD34"/>
  <c r="FC34"/>
  <c r="EY34"/>
  <c r="FD35"/>
  <c r="FC35"/>
  <c r="EY35"/>
  <c r="FD36"/>
  <c r="FC36"/>
  <c r="EY36"/>
  <c r="FD37"/>
  <c r="FC37"/>
  <c r="EY37"/>
  <c r="FD38"/>
  <c r="FC38"/>
  <c r="EY38"/>
  <c r="FD39"/>
  <c r="FC39"/>
  <c r="EY39"/>
  <c r="FD40"/>
  <c r="FC40"/>
  <c r="EY40"/>
  <c r="FD41"/>
  <c r="FC41"/>
  <c r="EY41"/>
  <c r="FD42"/>
  <c r="FC42"/>
  <c r="EY42"/>
  <c r="FD43"/>
  <c r="FC43"/>
  <c r="EY43"/>
  <c r="FD44"/>
  <c r="FC44"/>
  <c r="EY44"/>
  <c r="FD45"/>
  <c r="FC45"/>
  <c r="EY45"/>
  <c r="EM2"/>
  <c r="EL2"/>
  <c r="EG2"/>
  <c r="EM3"/>
  <c r="EL3"/>
  <c r="EG3"/>
  <c r="EM4"/>
  <c r="EL4"/>
  <c r="EG4"/>
  <c r="EM5"/>
  <c r="EL5"/>
  <c r="EG5"/>
  <c r="EM6"/>
  <c r="EL6"/>
  <c r="EG6"/>
  <c r="EM7"/>
  <c r="EL7"/>
  <c r="EG7"/>
  <c r="EM8"/>
  <c r="EL8"/>
  <c r="EG8"/>
  <c r="EM9"/>
  <c r="EL9"/>
  <c r="EG9"/>
  <c r="EM10"/>
  <c r="EL10"/>
  <c r="EG10"/>
  <c r="EM11"/>
  <c r="EL11"/>
  <c r="EG11"/>
  <c r="EM12"/>
  <c r="EL12"/>
  <c r="EG12"/>
  <c r="CN70" i="10" l="1"/>
  <c r="CO70" s="1"/>
  <c r="CP70" s="1"/>
  <c r="CR70" s="1"/>
  <c r="CS70" s="1"/>
  <c r="CT70" s="1"/>
  <c r="CR121"/>
  <c r="CS121" s="1"/>
  <c r="CT121" s="1"/>
  <c r="CQ121"/>
  <c r="EI139"/>
  <c r="EJ139"/>
  <c r="EK139" s="1"/>
  <c r="EL139" s="1"/>
  <c r="CE145"/>
  <c r="CF145"/>
  <c r="CG145" s="1"/>
  <c r="CH145" s="1"/>
  <c r="FT101"/>
  <c r="FU101" s="1"/>
  <c r="FV101" s="1"/>
  <c r="FS101"/>
  <c r="FT132"/>
  <c r="FU132" s="1"/>
  <c r="FV132" s="1"/>
  <c r="FS132"/>
  <c r="FT119"/>
  <c r="FU119" s="1"/>
  <c r="FV119" s="1"/>
  <c r="FS119"/>
  <c r="FS143"/>
  <c r="FT143"/>
  <c r="FU143" s="1"/>
  <c r="FV143" s="1"/>
  <c r="FT102"/>
  <c r="FU102" s="1"/>
  <c r="FV102" s="1"/>
  <c r="FS102"/>
  <c r="FS133"/>
  <c r="FT133"/>
  <c r="FU133" s="1"/>
  <c r="FV133" s="1"/>
  <c r="FS144"/>
  <c r="FT144"/>
  <c r="FU144" s="1"/>
  <c r="FV144" s="1"/>
  <c r="FT105"/>
  <c r="FU105" s="1"/>
  <c r="FV105" s="1"/>
  <c r="FS105"/>
  <c r="FT110"/>
  <c r="FU110" s="1"/>
  <c r="FV110" s="1"/>
  <c r="FS110"/>
  <c r="CM13"/>
  <c r="CI13"/>
  <c r="H98" i="22"/>
  <c r="CJ82" i="10"/>
  <c r="CK82" s="1"/>
  <c r="CL82" s="1"/>
  <c r="CN82" s="1"/>
  <c r="CO82" s="1"/>
  <c r="CP82" s="1"/>
  <c r="CR82" s="1"/>
  <c r="CS82" s="1"/>
  <c r="CT82" s="1"/>
  <c r="CJ52"/>
  <c r="CK52" s="1"/>
  <c r="CL52" s="1"/>
  <c r="CN52" s="1"/>
  <c r="CO52" s="1"/>
  <c r="CP52" s="1"/>
  <c r="CQ52" s="1"/>
  <c r="CM91"/>
  <c r="CM21"/>
  <c r="CM51"/>
  <c r="CM24"/>
  <c r="CE30"/>
  <c r="CF30"/>
  <c r="CG30" s="1"/>
  <c r="CH30" s="1"/>
  <c r="CE49"/>
  <c r="CF49"/>
  <c r="CG49" s="1"/>
  <c r="CH49" s="1"/>
  <c r="CJ44"/>
  <c r="CK44" s="1"/>
  <c r="CL44" s="1"/>
  <c r="CI44"/>
  <c r="CE85"/>
  <c r="CF85"/>
  <c r="CG85" s="1"/>
  <c r="CH85" s="1"/>
  <c r="CR21"/>
  <c r="CS21" s="1"/>
  <c r="CT21" s="1"/>
  <c r="CQ21"/>
  <c r="CQ80"/>
  <c r="CR80"/>
  <c r="CS80" s="1"/>
  <c r="CT80" s="1"/>
  <c r="CQ22"/>
  <c r="CR22"/>
  <c r="CS22" s="1"/>
  <c r="CT22" s="1"/>
  <c r="CQ24"/>
  <c r="CR24"/>
  <c r="CS24" s="1"/>
  <c r="CT24" s="1"/>
  <c r="CQ91"/>
  <c r="CR91"/>
  <c r="CS91" s="1"/>
  <c r="CT91" s="1"/>
  <c r="CQ51"/>
  <c r="CR51"/>
  <c r="CS51" s="1"/>
  <c r="CT51" s="1"/>
  <c r="CQ64"/>
  <c r="CR64"/>
  <c r="CS64" s="1"/>
  <c r="CT64" s="1"/>
  <c r="CR10"/>
  <c r="CS10" s="1"/>
  <c r="CT10" s="1"/>
  <c r="CQ10"/>
  <c r="CR13"/>
  <c r="CS13" s="1"/>
  <c r="CT13" s="1"/>
  <c r="CQ13"/>
  <c r="CQ56"/>
  <c r="CR56"/>
  <c r="CS56" s="1"/>
  <c r="CT56" s="1"/>
  <c r="CR45"/>
  <c r="CS45" s="1"/>
  <c r="CT45" s="1"/>
  <c r="CQ45"/>
  <c r="CQ89"/>
  <c r="CR89"/>
  <c r="CS89" s="1"/>
  <c r="CT89" s="1"/>
  <c r="L24" i="22"/>
  <c r="F97" s="1"/>
  <c r="J28"/>
  <c r="F95"/>
  <c r="Q117" i="10"/>
  <c r="BW117" s="1"/>
  <c r="BX117" s="1"/>
  <c r="BY117" s="1"/>
  <c r="BZ117" s="1"/>
  <c r="AF212"/>
  <c r="AF211"/>
  <c r="DH5" i="21"/>
  <c r="DT5"/>
  <c r="DS5"/>
  <c r="DO5"/>
  <c r="DR5" s="1"/>
  <c r="Q76" i="10"/>
  <c r="BW76" s="1"/>
  <c r="BX76" s="1"/>
  <c r="BY76" s="1"/>
  <c r="BZ76" s="1"/>
  <c r="CQ70" l="1"/>
  <c r="EM139"/>
  <c r="EN139"/>
  <c r="EO139" s="1"/>
  <c r="EP139" s="1"/>
  <c r="CJ145"/>
  <c r="CK145" s="1"/>
  <c r="CL145" s="1"/>
  <c r="CI145"/>
  <c r="CB117"/>
  <c r="CC117" s="1"/>
  <c r="CD117" s="1"/>
  <c r="CA117"/>
  <c r="CU121"/>
  <c r="CV121"/>
  <c r="CW121" s="1"/>
  <c r="CX121" s="1"/>
  <c r="FW143"/>
  <c r="FX143"/>
  <c r="FY143" s="1"/>
  <c r="FZ143" s="1"/>
  <c r="FX101"/>
  <c r="FY101" s="1"/>
  <c r="FZ101" s="1"/>
  <c r="FW101"/>
  <c r="FX105"/>
  <c r="FY105" s="1"/>
  <c r="FZ105" s="1"/>
  <c r="FW105"/>
  <c r="FW133"/>
  <c r="FX133"/>
  <c r="FY133" s="1"/>
  <c r="FZ133" s="1"/>
  <c r="FX102"/>
  <c r="FY102" s="1"/>
  <c r="FZ102" s="1"/>
  <c r="FW102"/>
  <c r="FX132"/>
  <c r="FY132" s="1"/>
  <c r="FZ132" s="1"/>
  <c r="FW132"/>
  <c r="FX110"/>
  <c r="FY110" s="1"/>
  <c r="FZ110" s="1"/>
  <c r="FW110"/>
  <c r="FW144"/>
  <c r="FX144"/>
  <c r="FY144" s="1"/>
  <c r="FZ144" s="1"/>
  <c r="FX119"/>
  <c r="FY119" s="1"/>
  <c r="FZ119" s="1"/>
  <c r="FW119"/>
  <c r="H95" i="22"/>
  <c r="H97"/>
  <c r="CM82" i="10"/>
  <c r="CR52"/>
  <c r="CS52" s="1"/>
  <c r="CT52" s="1"/>
  <c r="CV52" s="1"/>
  <c r="CW52" s="1"/>
  <c r="CX52" s="1"/>
  <c r="CM52"/>
  <c r="CQ82"/>
  <c r="CB76"/>
  <c r="CC76" s="1"/>
  <c r="CD76" s="1"/>
  <c r="CA76"/>
  <c r="CI85"/>
  <c r="CJ85"/>
  <c r="CK85" s="1"/>
  <c r="CL85" s="1"/>
  <c r="CI30"/>
  <c r="CJ30"/>
  <c r="CK30" s="1"/>
  <c r="CL30" s="1"/>
  <c r="CM44"/>
  <c r="CN44"/>
  <c r="CO44" s="1"/>
  <c r="CP44" s="1"/>
  <c r="CJ49"/>
  <c r="CK49" s="1"/>
  <c r="CL49" s="1"/>
  <c r="CI49"/>
  <c r="CU56"/>
  <c r="CV56"/>
  <c r="CW56" s="1"/>
  <c r="CX56" s="1"/>
  <c r="CV10"/>
  <c r="CW10" s="1"/>
  <c r="CX10" s="1"/>
  <c r="CU10"/>
  <c r="CV21"/>
  <c r="CW21" s="1"/>
  <c r="CX21" s="1"/>
  <c r="CU21"/>
  <c r="CU82"/>
  <c r="CV82"/>
  <c r="CW82" s="1"/>
  <c r="CX82" s="1"/>
  <c r="CU51"/>
  <c r="CV51"/>
  <c r="CW51" s="1"/>
  <c r="CX51" s="1"/>
  <c r="CU89"/>
  <c r="CV89"/>
  <c r="CW89" s="1"/>
  <c r="CX89" s="1"/>
  <c r="CV45"/>
  <c r="CW45" s="1"/>
  <c r="CX45" s="1"/>
  <c r="CU45"/>
  <c r="CV13"/>
  <c r="CW13" s="1"/>
  <c r="CX13" s="1"/>
  <c r="CU13"/>
  <c r="CU64"/>
  <c r="CV64"/>
  <c r="CW64" s="1"/>
  <c r="CX64" s="1"/>
  <c r="CU91"/>
  <c r="CV91"/>
  <c r="CW91" s="1"/>
  <c r="CX91" s="1"/>
  <c r="CU24"/>
  <c r="CV24"/>
  <c r="CW24" s="1"/>
  <c r="CX24" s="1"/>
  <c r="CU22"/>
  <c r="CV22"/>
  <c r="CW22" s="1"/>
  <c r="CX22" s="1"/>
  <c r="CU70"/>
  <c r="CV70"/>
  <c r="CW70" s="1"/>
  <c r="CX70" s="1"/>
  <c r="CU80"/>
  <c r="CV80"/>
  <c r="CW80" s="1"/>
  <c r="CX80" s="1"/>
  <c r="DP5" i="21"/>
  <c r="DQ5" s="1"/>
  <c r="DN5"/>
  <c r="DJ5"/>
  <c r="Q5" i="10"/>
  <c r="BW5" s="1"/>
  <c r="BX5" s="1"/>
  <c r="BY5" s="1"/>
  <c r="BZ5" s="1"/>
  <c r="N5"/>
  <c r="AD5"/>
  <c r="AJ5"/>
  <c r="CY121" l="1"/>
  <c r="CZ121"/>
  <c r="DA121" s="1"/>
  <c r="DB121" s="1"/>
  <c r="EQ139"/>
  <c r="ER139"/>
  <c r="ES139" s="1"/>
  <c r="ET139" s="1"/>
  <c r="CE117"/>
  <c r="CF117"/>
  <c r="CG117" s="1"/>
  <c r="CH117" s="1"/>
  <c r="CN145"/>
  <c r="CO145" s="1"/>
  <c r="CP145" s="1"/>
  <c r="CM145"/>
  <c r="GB132"/>
  <c r="GC132" s="1"/>
  <c r="GD132" s="1"/>
  <c r="GA132"/>
  <c r="GB101"/>
  <c r="GC101" s="1"/>
  <c r="GD101" s="1"/>
  <c r="GA101"/>
  <c r="GA144"/>
  <c r="GB144"/>
  <c r="GC144" s="1"/>
  <c r="GD144" s="1"/>
  <c r="GA143"/>
  <c r="GB143"/>
  <c r="GC143" s="1"/>
  <c r="GD143" s="1"/>
  <c r="GB119"/>
  <c r="GC119" s="1"/>
  <c r="GD119" s="1"/>
  <c r="GA119"/>
  <c r="GB110"/>
  <c r="GC110" s="1"/>
  <c r="GD110" s="1"/>
  <c r="GA110"/>
  <c r="GB102"/>
  <c r="GC102" s="1"/>
  <c r="GD102" s="1"/>
  <c r="GA102"/>
  <c r="GA133"/>
  <c r="GB133"/>
  <c r="GC133" s="1"/>
  <c r="GD133" s="1"/>
  <c r="GB105"/>
  <c r="GC105" s="1"/>
  <c r="GD105" s="1"/>
  <c r="GA105"/>
  <c r="CU52"/>
  <c r="CM49"/>
  <c r="CN49"/>
  <c r="CO49" s="1"/>
  <c r="CP49" s="1"/>
  <c r="CA5"/>
  <c r="CB5"/>
  <c r="CC5" s="1"/>
  <c r="CD5" s="1"/>
  <c r="CM30"/>
  <c r="CN30"/>
  <c r="CO30" s="1"/>
  <c r="CP30" s="1"/>
  <c r="CE76"/>
  <c r="CF76"/>
  <c r="CG76" s="1"/>
  <c r="CH76" s="1"/>
  <c r="CQ44"/>
  <c r="CR44"/>
  <c r="CS44" s="1"/>
  <c r="CT44" s="1"/>
  <c r="CM85"/>
  <c r="CN85"/>
  <c r="CO85" s="1"/>
  <c r="CP85" s="1"/>
  <c r="CY70"/>
  <c r="CZ70"/>
  <c r="DA70" s="1"/>
  <c r="DB70" s="1"/>
  <c r="CY91"/>
  <c r="CZ91"/>
  <c r="DA91" s="1"/>
  <c r="DB91" s="1"/>
  <c r="CZ45"/>
  <c r="DA45" s="1"/>
  <c r="DB45" s="1"/>
  <c r="CY45"/>
  <c r="CY89"/>
  <c r="CZ89"/>
  <c r="DA89" s="1"/>
  <c r="DB89" s="1"/>
  <c r="CY51"/>
  <c r="CZ51"/>
  <c r="DA51" s="1"/>
  <c r="DB51" s="1"/>
  <c r="CZ21"/>
  <c r="DA21" s="1"/>
  <c r="DB21" s="1"/>
  <c r="CY21"/>
  <c r="CY80"/>
  <c r="CZ80"/>
  <c r="DA80" s="1"/>
  <c r="DB80" s="1"/>
  <c r="CY52"/>
  <c r="CZ52"/>
  <c r="DA52" s="1"/>
  <c r="DB52" s="1"/>
  <c r="CY82"/>
  <c r="CZ82"/>
  <c r="DA82" s="1"/>
  <c r="DB82" s="1"/>
  <c r="CY56"/>
  <c r="CZ56"/>
  <c r="DA56" s="1"/>
  <c r="DB56" s="1"/>
  <c r="CY22"/>
  <c r="CZ22"/>
  <c r="DA22" s="1"/>
  <c r="DB22" s="1"/>
  <c r="CY24"/>
  <c r="CZ24"/>
  <c r="DA24" s="1"/>
  <c r="DB24" s="1"/>
  <c r="CY64"/>
  <c r="CZ64"/>
  <c r="DA64" s="1"/>
  <c r="DB64" s="1"/>
  <c r="CZ13"/>
  <c r="DA13" s="1"/>
  <c r="DB13" s="1"/>
  <c r="CY13"/>
  <c r="CZ10"/>
  <c r="DA10" s="1"/>
  <c r="DB10" s="1"/>
  <c r="CY10"/>
  <c r="S5"/>
  <c r="T5" s="1"/>
  <c r="Y5" s="1"/>
  <c r="Z5" s="1"/>
  <c r="AA5" s="1"/>
  <c r="AB5" s="1"/>
  <c r="V5"/>
  <c r="L5"/>
  <c r="M5" s="1"/>
  <c r="AE5"/>
  <c r="Q124"/>
  <c r="BW124" s="1"/>
  <c r="BX124" s="1"/>
  <c r="BY124" s="1"/>
  <c r="BZ124" s="1"/>
  <c r="DX7" i="21"/>
  <c r="DY7"/>
  <c r="DZ7" s="1"/>
  <c r="DX8"/>
  <c r="DY8"/>
  <c r="DX9"/>
  <c r="DY9"/>
  <c r="DZ9" s="1"/>
  <c r="BD256" i="10"/>
  <c r="BC253"/>
  <c r="BE253" s="1"/>
  <c r="BG253"/>
  <c r="DZ8" i="21" l="1"/>
  <c r="CI117" i="10"/>
  <c r="CJ117"/>
  <c r="CK117" s="1"/>
  <c r="CL117" s="1"/>
  <c r="CQ145"/>
  <c r="CR145"/>
  <c r="CS145" s="1"/>
  <c r="CT145" s="1"/>
  <c r="CA124"/>
  <c r="CB124"/>
  <c r="CC124" s="1"/>
  <c r="CD124" s="1"/>
  <c r="DD121"/>
  <c r="DE121" s="1"/>
  <c r="DF121" s="1"/>
  <c r="DC121"/>
  <c r="EU139"/>
  <c r="EV139"/>
  <c r="EW139" s="1"/>
  <c r="EX139" s="1"/>
  <c r="GF105"/>
  <c r="GG105" s="1"/>
  <c r="GH105" s="1"/>
  <c r="GE105"/>
  <c r="GF102"/>
  <c r="GG102" s="1"/>
  <c r="GH102" s="1"/>
  <c r="GE102"/>
  <c r="GF132"/>
  <c r="GG132" s="1"/>
  <c r="GH132" s="1"/>
  <c r="GE132"/>
  <c r="GE133"/>
  <c r="GF133"/>
  <c r="GG133" s="1"/>
  <c r="GH133" s="1"/>
  <c r="GE143"/>
  <c r="GF143"/>
  <c r="GG143" s="1"/>
  <c r="GH143" s="1"/>
  <c r="GF110"/>
  <c r="GG110" s="1"/>
  <c r="GH110" s="1"/>
  <c r="GE110"/>
  <c r="GF119"/>
  <c r="GG119" s="1"/>
  <c r="GH119" s="1"/>
  <c r="GE119"/>
  <c r="GE144"/>
  <c r="GF144"/>
  <c r="GG144" s="1"/>
  <c r="GH144" s="1"/>
  <c r="GF101"/>
  <c r="GG101" s="1"/>
  <c r="GH101" s="1"/>
  <c r="GE101"/>
  <c r="CF5"/>
  <c r="CG5" s="1"/>
  <c r="CH5" s="1"/>
  <c r="CE5"/>
  <c r="CR85"/>
  <c r="CS85" s="1"/>
  <c r="CT85" s="1"/>
  <c r="CQ85"/>
  <c r="CJ76"/>
  <c r="CK76" s="1"/>
  <c r="CL76" s="1"/>
  <c r="CI76"/>
  <c r="CQ30"/>
  <c r="CR30"/>
  <c r="CS30" s="1"/>
  <c r="CT30" s="1"/>
  <c r="CQ49"/>
  <c r="CR49"/>
  <c r="CS49" s="1"/>
  <c r="CT49" s="1"/>
  <c r="CV44"/>
  <c r="CW44" s="1"/>
  <c r="CX44" s="1"/>
  <c r="CU44"/>
  <c r="DC24"/>
  <c r="DD24"/>
  <c r="DE24" s="1"/>
  <c r="DF24" s="1"/>
  <c r="DC52"/>
  <c r="DD52"/>
  <c r="DE52" s="1"/>
  <c r="DF52" s="1"/>
  <c r="DD13"/>
  <c r="DE13" s="1"/>
  <c r="DF13" s="1"/>
  <c r="DC13"/>
  <c r="DC22"/>
  <c r="DD22"/>
  <c r="DE22" s="1"/>
  <c r="DF22" s="1"/>
  <c r="DC56"/>
  <c r="DD56"/>
  <c r="DE56" s="1"/>
  <c r="DF56" s="1"/>
  <c r="DC89"/>
  <c r="DD89"/>
  <c r="DE89" s="1"/>
  <c r="DF89" s="1"/>
  <c r="DC91"/>
  <c r="DD91"/>
  <c r="DE91" s="1"/>
  <c r="DF91" s="1"/>
  <c r="DD10"/>
  <c r="DE10" s="1"/>
  <c r="DF10" s="1"/>
  <c r="DC10"/>
  <c r="DC64"/>
  <c r="DD64"/>
  <c r="DE64" s="1"/>
  <c r="DF64" s="1"/>
  <c r="DC82"/>
  <c r="DD82"/>
  <c r="DE82" s="1"/>
  <c r="DF82" s="1"/>
  <c r="DC80"/>
  <c r="DD80"/>
  <c r="DE80" s="1"/>
  <c r="DF80" s="1"/>
  <c r="DD21"/>
  <c r="DE21" s="1"/>
  <c r="DF21" s="1"/>
  <c r="DC21"/>
  <c r="DC51"/>
  <c r="DD51"/>
  <c r="DE51" s="1"/>
  <c r="DF51" s="1"/>
  <c r="DD45"/>
  <c r="DE45" s="1"/>
  <c r="DF45" s="1"/>
  <c r="DC45"/>
  <c r="DC70"/>
  <c r="DD70"/>
  <c r="DE70" s="1"/>
  <c r="DF70" s="1"/>
  <c r="W5"/>
  <c r="R5"/>
  <c r="BA256"/>
  <c r="AV320"/>
  <c r="BX5" i="21"/>
  <c r="BZ5" s="1"/>
  <c r="CJ5"/>
  <c r="CI5"/>
  <c r="CE5"/>
  <c r="CH5" s="1"/>
  <c r="CP5"/>
  <c r="CR5" s="1"/>
  <c r="DB5"/>
  <c r="DA5"/>
  <c r="CW5"/>
  <c r="AV318" i="10"/>
  <c r="BW79"/>
  <c r="BX79" s="1"/>
  <c r="BY79" s="1"/>
  <c r="BZ79" s="1"/>
  <c r="IF15"/>
  <c r="AV319" l="1"/>
  <c r="AT315" s="1"/>
  <c r="AV375"/>
  <c r="AV376" s="1"/>
  <c r="DG121"/>
  <c r="DH121"/>
  <c r="DI121" s="1"/>
  <c r="DJ121" s="1"/>
  <c r="CE124"/>
  <c r="CF124"/>
  <c r="CG124" s="1"/>
  <c r="CH124" s="1"/>
  <c r="CU145"/>
  <c r="CV145"/>
  <c r="CW145" s="1"/>
  <c r="CX145" s="1"/>
  <c r="EY139"/>
  <c r="EZ139"/>
  <c r="FA139" s="1"/>
  <c r="FB139" s="1"/>
  <c r="CM117"/>
  <c r="CN117"/>
  <c r="CO117" s="1"/>
  <c r="CP117" s="1"/>
  <c r="GJ119"/>
  <c r="GK119" s="1"/>
  <c r="GL119" s="1"/>
  <c r="GI119"/>
  <c r="GJ105"/>
  <c r="GK105" s="1"/>
  <c r="GL105" s="1"/>
  <c r="GI105"/>
  <c r="GI144"/>
  <c r="GJ144"/>
  <c r="GK144" s="1"/>
  <c r="GL144" s="1"/>
  <c r="GI143"/>
  <c r="GJ143"/>
  <c r="GK143" s="1"/>
  <c r="GL143" s="1"/>
  <c r="GJ132"/>
  <c r="GK132" s="1"/>
  <c r="GL132" s="1"/>
  <c r="GI132"/>
  <c r="GJ102"/>
  <c r="GK102" s="1"/>
  <c r="GL102" s="1"/>
  <c r="GI102"/>
  <c r="GJ101"/>
  <c r="GK101" s="1"/>
  <c r="GL101" s="1"/>
  <c r="GI101"/>
  <c r="GJ110"/>
  <c r="GK110" s="1"/>
  <c r="GL110" s="1"/>
  <c r="GI110"/>
  <c r="GI133"/>
  <c r="GJ133"/>
  <c r="GK133" s="1"/>
  <c r="GL133" s="1"/>
  <c r="CN76"/>
  <c r="CO76" s="1"/>
  <c r="CP76" s="1"/>
  <c r="CM76"/>
  <c r="CI5"/>
  <c r="CJ5"/>
  <c r="CK5" s="1"/>
  <c r="CL5" s="1"/>
  <c r="CA79"/>
  <c r="CB79"/>
  <c r="CC79" s="1"/>
  <c r="CD79" s="1"/>
  <c r="CU30"/>
  <c r="CV30"/>
  <c r="CW30" s="1"/>
  <c r="CX30" s="1"/>
  <c r="CU49"/>
  <c r="CV49"/>
  <c r="CW49" s="1"/>
  <c r="CX49" s="1"/>
  <c r="CU85"/>
  <c r="CV85"/>
  <c r="CW85" s="1"/>
  <c r="CX85" s="1"/>
  <c r="CZ44"/>
  <c r="DA44" s="1"/>
  <c r="DB44" s="1"/>
  <c r="CY44"/>
  <c r="DG70"/>
  <c r="DH70"/>
  <c r="DI70" s="1"/>
  <c r="DJ70" s="1"/>
  <c r="DG51"/>
  <c r="DH51"/>
  <c r="DI51" s="1"/>
  <c r="DJ51" s="1"/>
  <c r="DG80"/>
  <c r="DH80"/>
  <c r="DI80" s="1"/>
  <c r="DJ80" s="1"/>
  <c r="DH10"/>
  <c r="DI10" s="1"/>
  <c r="DJ10" s="1"/>
  <c r="DG10"/>
  <c r="DG89"/>
  <c r="DH89"/>
  <c r="DI89" s="1"/>
  <c r="DJ89" s="1"/>
  <c r="DG22"/>
  <c r="DH22"/>
  <c r="DI22" s="1"/>
  <c r="DJ22" s="1"/>
  <c r="DH13"/>
  <c r="DI13" s="1"/>
  <c r="DJ13" s="1"/>
  <c r="DG13"/>
  <c r="DH21"/>
  <c r="DI21" s="1"/>
  <c r="DJ21" s="1"/>
  <c r="DG21"/>
  <c r="DG64"/>
  <c r="DH64"/>
  <c r="DI64" s="1"/>
  <c r="DJ64" s="1"/>
  <c r="DH45"/>
  <c r="DI45" s="1"/>
  <c r="DJ45" s="1"/>
  <c r="DG45"/>
  <c r="DG82"/>
  <c r="DH82"/>
  <c r="DI82" s="1"/>
  <c r="DJ82" s="1"/>
  <c r="DG91"/>
  <c r="DH91"/>
  <c r="DI91" s="1"/>
  <c r="DJ91" s="1"/>
  <c r="DG56"/>
  <c r="DH56"/>
  <c r="DI56" s="1"/>
  <c r="DJ56" s="1"/>
  <c r="DG52"/>
  <c r="DH52"/>
  <c r="DI52" s="1"/>
  <c r="DJ52" s="1"/>
  <c r="DG24"/>
  <c r="DH24"/>
  <c r="DI24" s="1"/>
  <c r="DJ24" s="1"/>
  <c r="CX5" i="21"/>
  <c r="CY5" s="1"/>
  <c r="CF5"/>
  <c r="CG5" s="1"/>
  <c r="CD5"/>
  <c r="CV5"/>
  <c r="CZ5"/>
  <c r="IM12" i="10"/>
  <c r="IG22" s="1"/>
  <c r="IH42" s="1"/>
  <c r="Q83"/>
  <c r="BW83" s="1"/>
  <c r="BX83" s="1"/>
  <c r="BY83" s="1"/>
  <c r="BZ83" s="1"/>
  <c r="BT62"/>
  <c r="Q81"/>
  <c r="BW81" s="1"/>
  <c r="BX81" s="1"/>
  <c r="BY81" s="1"/>
  <c r="BZ81" s="1"/>
  <c r="H137" i="54"/>
  <c r="H138" s="1"/>
  <c r="E138"/>
  <c r="E139" s="1"/>
  <c r="H8"/>
  <c r="Q7" i="10"/>
  <c r="BW7" s="1"/>
  <c r="BX7" s="1"/>
  <c r="BY7" s="1"/>
  <c r="BZ7" s="1"/>
  <c r="BT6"/>
  <c r="BA181"/>
  <c r="AT316" l="1"/>
  <c r="CR117"/>
  <c r="CS117" s="1"/>
  <c r="CT117" s="1"/>
  <c r="CQ117"/>
  <c r="CJ124"/>
  <c r="CK124" s="1"/>
  <c r="CL124" s="1"/>
  <c r="CI124"/>
  <c r="CY145"/>
  <c r="CZ145"/>
  <c r="DA145" s="1"/>
  <c r="DB145" s="1"/>
  <c r="FC139"/>
  <c r="FD139"/>
  <c r="FE139" s="1"/>
  <c r="FF139" s="1"/>
  <c r="DL121"/>
  <c r="DM121" s="1"/>
  <c r="DN121" s="1"/>
  <c r="DK121"/>
  <c r="GM143"/>
  <c r="GN143"/>
  <c r="GO143" s="1"/>
  <c r="GP143" s="1"/>
  <c r="GN105"/>
  <c r="GO105" s="1"/>
  <c r="GP105" s="1"/>
  <c r="GM105"/>
  <c r="GM133"/>
  <c r="GN133"/>
  <c r="GO133" s="1"/>
  <c r="GP133" s="1"/>
  <c r="GN110"/>
  <c r="GO110" s="1"/>
  <c r="GP110" s="1"/>
  <c r="GM110"/>
  <c r="GN101"/>
  <c r="GO101" s="1"/>
  <c r="GP101" s="1"/>
  <c r="GM101"/>
  <c r="GN102"/>
  <c r="GO102" s="1"/>
  <c r="GP102" s="1"/>
  <c r="GM102"/>
  <c r="GN132"/>
  <c r="GO132" s="1"/>
  <c r="GP132" s="1"/>
  <c r="GM132"/>
  <c r="GM144"/>
  <c r="GN144"/>
  <c r="GO144" s="1"/>
  <c r="GP144" s="1"/>
  <c r="GN119"/>
  <c r="GO119" s="1"/>
  <c r="GP119" s="1"/>
  <c r="GM119"/>
  <c r="CA7"/>
  <c r="CB7"/>
  <c r="CC7" s="1"/>
  <c r="CD7" s="1"/>
  <c r="CZ85"/>
  <c r="DA85" s="1"/>
  <c r="DB85" s="1"/>
  <c r="CY85"/>
  <c r="CY30"/>
  <c r="CZ30"/>
  <c r="DA30" s="1"/>
  <c r="DB30" s="1"/>
  <c r="CR76"/>
  <c r="CS76" s="1"/>
  <c r="CT76" s="1"/>
  <c r="CQ76"/>
  <c r="DD44"/>
  <c r="DE44" s="1"/>
  <c r="DF44" s="1"/>
  <c r="DC44"/>
  <c r="CY49"/>
  <c r="CZ49"/>
  <c r="DA49" s="1"/>
  <c r="DB49" s="1"/>
  <c r="CA83"/>
  <c r="CB83"/>
  <c r="CC83" s="1"/>
  <c r="CD83" s="1"/>
  <c r="CN5"/>
  <c r="CO5" s="1"/>
  <c r="CP5" s="1"/>
  <c r="CM5"/>
  <c r="CB81"/>
  <c r="CC81" s="1"/>
  <c r="CD81" s="1"/>
  <c r="CA81"/>
  <c r="CE79"/>
  <c r="CF79"/>
  <c r="CG79" s="1"/>
  <c r="CH79" s="1"/>
  <c r="DK22"/>
  <c r="DL22"/>
  <c r="DM22" s="1"/>
  <c r="DN22" s="1"/>
  <c r="DL10"/>
  <c r="DM10" s="1"/>
  <c r="DN10" s="1"/>
  <c r="DK10"/>
  <c r="DK80"/>
  <c r="DL80"/>
  <c r="DM80" s="1"/>
  <c r="DN80" s="1"/>
  <c r="DK51"/>
  <c r="DL51"/>
  <c r="DM51" s="1"/>
  <c r="DN51" s="1"/>
  <c r="DK24"/>
  <c r="DL24"/>
  <c r="DM24" s="1"/>
  <c r="DN24" s="1"/>
  <c r="DK56"/>
  <c r="DL56"/>
  <c r="DM56" s="1"/>
  <c r="DN56" s="1"/>
  <c r="DL45"/>
  <c r="DM45" s="1"/>
  <c r="DN45" s="1"/>
  <c r="DK45"/>
  <c r="DL13"/>
  <c r="DM13" s="1"/>
  <c r="DN13" s="1"/>
  <c r="DK13"/>
  <c r="DK89"/>
  <c r="DL89"/>
  <c r="DM89" s="1"/>
  <c r="DN89" s="1"/>
  <c r="DK70"/>
  <c r="DL70"/>
  <c r="DM70" s="1"/>
  <c r="DN70" s="1"/>
  <c r="DK52"/>
  <c r="DL52"/>
  <c r="DM52" s="1"/>
  <c r="DN52" s="1"/>
  <c r="DK91"/>
  <c r="DL91"/>
  <c r="DM91" s="1"/>
  <c r="DN91" s="1"/>
  <c r="DK82"/>
  <c r="DL82"/>
  <c r="DM82" s="1"/>
  <c r="DN82" s="1"/>
  <c r="DK64"/>
  <c r="DL64"/>
  <c r="DM64" s="1"/>
  <c r="DN64" s="1"/>
  <c r="DL21"/>
  <c r="DM21" s="1"/>
  <c r="DN21" s="1"/>
  <c r="DK21"/>
  <c r="J6"/>
  <c r="BV6" s="1"/>
  <c r="J62"/>
  <c r="BV62" s="1"/>
  <c r="IH41"/>
  <c r="H139" i="54"/>
  <c r="E140"/>
  <c r="BC430" i="10"/>
  <c r="BC431" s="1"/>
  <c r="AH3" i="21"/>
  <c r="G1"/>
  <c r="EU46" l="1"/>
  <c r="EU47"/>
  <c r="EC11"/>
  <c r="EU48"/>
  <c r="EU51"/>
  <c r="EU50"/>
  <c r="V2"/>
  <c r="EU52"/>
  <c r="CM124" i="10"/>
  <c r="CN124"/>
  <c r="CO124" s="1"/>
  <c r="CP124" s="1"/>
  <c r="DP121"/>
  <c r="DQ121" s="1"/>
  <c r="DR121" s="1"/>
  <c r="DO121"/>
  <c r="CU117"/>
  <c r="CV117"/>
  <c r="CW117" s="1"/>
  <c r="CX117" s="1"/>
  <c r="DD145"/>
  <c r="DE145" s="1"/>
  <c r="DF145" s="1"/>
  <c r="DC145"/>
  <c r="FH139"/>
  <c r="FI139" s="1"/>
  <c r="FJ139" s="1"/>
  <c r="FG139"/>
  <c r="GR101"/>
  <c r="GS101" s="1"/>
  <c r="GT101" s="1"/>
  <c r="GQ101"/>
  <c r="GQ133"/>
  <c r="GR133"/>
  <c r="GS133" s="1"/>
  <c r="GT133" s="1"/>
  <c r="GQ143"/>
  <c r="GR143"/>
  <c r="GS143" s="1"/>
  <c r="GT143" s="1"/>
  <c r="GQ144"/>
  <c r="GR144"/>
  <c r="GS144" s="1"/>
  <c r="GT144" s="1"/>
  <c r="GQ132"/>
  <c r="GR132"/>
  <c r="GS132" s="1"/>
  <c r="GT132" s="1"/>
  <c r="GR119"/>
  <c r="GS119" s="1"/>
  <c r="GT119" s="1"/>
  <c r="GQ119"/>
  <c r="GR102"/>
  <c r="GS102" s="1"/>
  <c r="GT102" s="1"/>
  <c r="GQ102"/>
  <c r="GR110"/>
  <c r="GS110" s="1"/>
  <c r="GT110" s="1"/>
  <c r="GQ110"/>
  <c r="GR105"/>
  <c r="GS105" s="1"/>
  <c r="GT105" s="1"/>
  <c r="GQ105"/>
  <c r="EU2" i="21"/>
  <c r="AX2"/>
  <c r="EU3"/>
  <c r="EU7"/>
  <c r="EU11"/>
  <c r="EU15"/>
  <c r="EU19"/>
  <c r="EU23"/>
  <c r="EU27"/>
  <c r="EU31"/>
  <c r="EU35"/>
  <c r="EU39"/>
  <c r="EU43"/>
  <c r="EU55"/>
  <c r="EU59"/>
  <c r="EU63"/>
  <c r="EU67"/>
  <c r="EU71"/>
  <c r="EU75"/>
  <c r="EU79"/>
  <c r="EU83"/>
  <c r="EU87"/>
  <c r="EU91"/>
  <c r="EU95"/>
  <c r="EU99"/>
  <c r="EU103"/>
  <c r="EU107"/>
  <c r="EU111"/>
  <c r="EU115"/>
  <c r="EU119"/>
  <c r="EU123"/>
  <c r="EU127"/>
  <c r="EU131"/>
  <c r="EU135"/>
  <c r="EU139"/>
  <c r="EU143"/>
  <c r="EU147"/>
  <c r="EU151"/>
  <c r="EU155"/>
  <c r="EU159"/>
  <c r="EU163"/>
  <c r="EU167"/>
  <c r="EU171"/>
  <c r="EU175"/>
  <c r="EU179"/>
  <c r="EU183"/>
  <c r="EU187"/>
  <c r="EU191"/>
  <c r="EU195"/>
  <c r="EU199"/>
  <c r="EU203"/>
  <c r="EU207"/>
  <c r="EU211"/>
  <c r="EU215"/>
  <c r="EU219"/>
  <c r="EU223"/>
  <c r="EU227"/>
  <c r="EU231"/>
  <c r="EU235"/>
  <c r="EU239"/>
  <c r="EU243"/>
  <c r="EU247"/>
  <c r="EU251"/>
  <c r="EU255"/>
  <c r="EU259"/>
  <c r="EU263"/>
  <c r="EU267"/>
  <c r="EU271"/>
  <c r="EU275"/>
  <c r="EU279"/>
  <c r="EU283"/>
  <c r="EU287"/>
  <c r="EU291"/>
  <c r="EU295"/>
  <c r="EU299"/>
  <c r="EU4"/>
  <c r="EU8"/>
  <c r="EU12"/>
  <c r="EU16"/>
  <c r="EU20"/>
  <c r="EU24"/>
  <c r="EU28"/>
  <c r="EU32"/>
  <c r="EU36"/>
  <c r="EU40"/>
  <c r="EU5"/>
  <c r="EU13"/>
  <c r="EU21"/>
  <c r="EU29"/>
  <c r="EU37"/>
  <c r="EU44"/>
  <c r="EU49"/>
  <c r="EU54"/>
  <c r="EU60"/>
  <c r="EU65"/>
  <c r="EU70"/>
  <c r="EU76"/>
  <c r="EU81"/>
  <c r="EU86"/>
  <c r="EU92"/>
  <c r="EU97"/>
  <c r="EU102"/>
  <c r="EU108"/>
  <c r="EU113"/>
  <c r="EU118"/>
  <c r="EU124"/>
  <c r="EU129"/>
  <c r="EU134"/>
  <c r="EU140"/>
  <c r="EU145"/>
  <c r="EU150"/>
  <c r="EU156"/>
  <c r="EU161"/>
  <c r="EU166"/>
  <c r="EU172"/>
  <c r="EU177"/>
  <c r="EU182"/>
  <c r="EU188"/>
  <c r="EU193"/>
  <c r="EU198"/>
  <c r="EU204"/>
  <c r="EU209"/>
  <c r="EU214"/>
  <c r="EU220"/>
  <c r="EU225"/>
  <c r="EU230"/>
  <c r="EU236"/>
  <c r="EU241"/>
  <c r="EU246"/>
  <c r="EU252"/>
  <c r="EU257"/>
  <c r="EU262"/>
  <c r="EU268"/>
  <c r="EU273"/>
  <c r="EU278"/>
  <c r="EU284"/>
  <c r="EU289"/>
  <c r="EU294"/>
  <c r="EU300"/>
  <c r="EU6"/>
  <c r="EU14"/>
  <c r="EU22"/>
  <c r="EU30"/>
  <c r="EU38"/>
  <c r="EU45"/>
  <c r="EU56"/>
  <c r="EU61"/>
  <c r="EU66"/>
  <c r="EU72"/>
  <c r="EU77"/>
  <c r="EU82"/>
  <c r="EU88"/>
  <c r="EU93"/>
  <c r="EU98"/>
  <c r="EU104"/>
  <c r="EU109"/>
  <c r="EU114"/>
  <c r="EU120"/>
  <c r="EU125"/>
  <c r="EU130"/>
  <c r="EU136"/>
  <c r="EU141"/>
  <c r="EU146"/>
  <c r="EU152"/>
  <c r="EU157"/>
  <c r="EU162"/>
  <c r="EU168"/>
  <c r="EU173"/>
  <c r="EU178"/>
  <c r="EU184"/>
  <c r="EU189"/>
  <c r="EU194"/>
  <c r="EU200"/>
  <c r="EU205"/>
  <c r="EU210"/>
  <c r="EU216"/>
  <c r="EU221"/>
  <c r="EU226"/>
  <c r="EU232"/>
  <c r="EU237"/>
  <c r="EU242"/>
  <c r="EU248"/>
  <c r="EU253"/>
  <c r="EU258"/>
  <c r="EU264"/>
  <c r="EU269"/>
  <c r="EU274"/>
  <c r="EU280"/>
  <c r="EU285"/>
  <c r="EU290"/>
  <c r="EU9"/>
  <c r="EU17"/>
  <c r="EU25"/>
  <c r="EU33"/>
  <c r="EU41"/>
  <c r="EU57"/>
  <c r="EU62"/>
  <c r="EU68"/>
  <c r="EU73"/>
  <c r="EU78"/>
  <c r="EU84"/>
  <c r="EU89"/>
  <c r="EU94"/>
  <c r="EU100"/>
  <c r="EU105"/>
  <c r="EU110"/>
  <c r="EU116"/>
  <c r="EU121"/>
  <c r="EU126"/>
  <c r="EU132"/>
  <c r="EU137"/>
  <c r="EU142"/>
  <c r="EU148"/>
  <c r="EU153"/>
  <c r="EU158"/>
  <c r="EU164"/>
  <c r="EU169"/>
  <c r="EU174"/>
  <c r="EU180"/>
  <c r="EU185"/>
  <c r="EU190"/>
  <c r="EU196"/>
  <c r="EU201"/>
  <c r="EU206"/>
  <c r="EU212"/>
  <c r="EU217"/>
  <c r="EU222"/>
  <c r="EU228"/>
  <c r="EU233"/>
  <c r="EU238"/>
  <c r="EU244"/>
  <c r="EU249"/>
  <c r="EU254"/>
  <c r="EU260"/>
  <c r="EU265"/>
  <c r="EU270"/>
  <c r="EU276"/>
  <c r="EU281"/>
  <c r="EU286"/>
  <c r="EU292"/>
  <c r="EU297"/>
  <c r="EU10"/>
  <c r="EU18"/>
  <c r="EU26"/>
  <c r="EU34"/>
  <c r="EU42"/>
  <c r="EU53"/>
  <c r="EU58"/>
  <c r="EU64"/>
  <c r="EU69"/>
  <c r="EU74"/>
  <c r="EU80"/>
  <c r="EU85"/>
  <c r="EU90"/>
  <c r="EU96"/>
  <c r="EU101"/>
  <c r="EU106"/>
  <c r="EU112"/>
  <c r="EU117"/>
  <c r="EU122"/>
  <c r="EU128"/>
  <c r="EU133"/>
  <c r="EU138"/>
  <c r="EU144"/>
  <c r="EU149"/>
  <c r="EU154"/>
  <c r="EU160"/>
  <c r="EU165"/>
  <c r="EU170"/>
  <c r="EU176"/>
  <c r="EU181"/>
  <c r="EU186"/>
  <c r="EU192"/>
  <c r="EU213"/>
  <c r="EU234"/>
  <c r="EU256"/>
  <c r="EU277"/>
  <c r="EU296"/>
  <c r="EU197"/>
  <c r="EU218"/>
  <c r="EU240"/>
  <c r="EU261"/>
  <c r="EU282"/>
  <c r="EU298"/>
  <c r="EU202"/>
  <c r="EU224"/>
  <c r="EU245"/>
  <c r="EU266"/>
  <c r="EU288"/>
  <c r="EU301"/>
  <c r="EU208"/>
  <c r="EU229"/>
  <c r="EU250"/>
  <c r="EU272"/>
  <c r="EU293"/>
  <c r="EC2"/>
  <c r="EC3"/>
  <c r="EC7"/>
  <c r="EC15"/>
  <c r="EC19"/>
  <c r="EC23"/>
  <c r="EC27"/>
  <c r="EC31"/>
  <c r="EC35"/>
  <c r="EC39"/>
  <c r="EC43"/>
  <c r="EC47"/>
  <c r="EC51"/>
  <c r="EC55"/>
  <c r="EC59"/>
  <c r="EC63"/>
  <c r="EC67"/>
  <c r="EC71"/>
  <c r="EC75"/>
  <c r="EC79"/>
  <c r="EC83"/>
  <c r="EC87"/>
  <c r="EC4"/>
  <c r="EC12"/>
  <c r="EC20"/>
  <c r="EC28"/>
  <c r="EC36"/>
  <c r="EC44"/>
  <c r="EC52"/>
  <c r="EC60"/>
  <c r="EC64"/>
  <c r="EC72"/>
  <c r="EC80"/>
  <c r="EC88"/>
  <c r="EC9"/>
  <c r="EC17"/>
  <c r="EC25"/>
  <c r="EC33"/>
  <c r="EC49"/>
  <c r="EC57"/>
  <c r="EC65"/>
  <c r="EC73"/>
  <c r="EC81"/>
  <c r="EC6"/>
  <c r="EC10"/>
  <c r="EC14"/>
  <c r="EC18"/>
  <c r="EC22"/>
  <c r="EC26"/>
  <c r="EC30"/>
  <c r="EC34"/>
  <c r="EC38"/>
  <c r="EC42"/>
  <c r="EC46"/>
  <c r="EC50"/>
  <c r="EC54"/>
  <c r="EC58"/>
  <c r="EC62"/>
  <c r="EC66"/>
  <c r="EC70"/>
  <c r="EC74"/>
  <c r="EC78"/>
  <c r="EC82"/>
  <c r="EC86"/>
  <c r="EC8"/>
  <c r="EC16"/>
  <c r="EC24"/>
  <c r="EC32"/>
  <c r="EC40"/>
  <c r="EC48"/>
  <c r="EC56"/>
  <c r="EC68"/>
  <c r="EC76"/>
  <c r="EC84"/>
  <c r="EC5"/>
  <c r="EC13"/>
  <c r="EC21"/>
  <c r="EC29"/>
  <c r="EC37"/>
  <c r="EC41"/>
  <c r="EC45"/>
  <c r="EC53"/>
  <c r="EC61"/>
  <c r="EC69"/>
  <c r="EC77"/>
  <c r="EC85"/>
  <c r="CR5" i="10"/>
  <c r="CS5" s="1"/>
  <c r="CT5" s="1"/>
  <c r="CQ5"/>
  <c r="CU76"/>
  <c r="CV76"/>
  <c r="CW76" s="1"/>
  <c r="CX76" s="1"/>
  <c r="DC85"/>
  <c r="DD85"/>
  <c r="DE85" s="1"/>
  <c r="DF85" s="1"/>
  <c r="CI79"/>
  <c r="CJ79"/>
  <c r="CK79" s="1"/>
  <c r="CL79" s="1"/>
  <c r="CE83"/>
  <c r="CF83"/>
  <c r="CG83" s="1"/>
  <c r="CH83" s="1"/>
  <c r="DD30"/>
  <c r="DE30" s="1"/>
  <c r="DF30" s="1"/>
  <c r="DC30"/>
  <c r="CE7"/>
  <c r="CF7"/>
  <c r="CG7" s="1"/>
  <c r="CH7" s="1"/>
  <c r="CE81"/>
  <c r="CF81"/>
  <c r="CG81" s="1"/>
  <c r="CH81" s="1"/>
  <c r="DG44"/>
  <c r="DH44"/>
  <c r="DI44" s="1"/>
  <c r="DJ44" s="1"/>
  <c r="DD49"/>
  <c r="DE49" s="1"/>
  <c r="DF49" s="1"/>
  <c r="DC49"/>
  <c r="DO91"/>
  <c r="DP91"/>
  <c r="DQ91" s="1"/>
  <c r="DR91" s="1"/>
  <c r="DP13"/>
  <c r="DQ13" s="1"/>
  <c r="DR13" s="1"/>
  <c r="DO13"/>
  <c r="DO80"/>
  <c r="DP80"/>
  <c r="DQ80" s="1"/>
  <c r="DR80" s="1"/>
  <c r="DO22"/>
  <c r="DP22"/>
  <c r="DQ22" s="1"/>
  <c r="DR22" s="1"/>
  <c r="DO64"/>
  <c r="DP64"/>
  <c r="DQ64" s="1"/>
  <c r="DR64" s="1"/>
  <c r="DO52"/>
  <c r="DP52"/>
  <c r="DQ52" s="1"/>
  <c r="DR52" s="1"/>
  <c r="DP21"/>
  <c r="DQ21" s="1"/>
  <c r="DR21" s="1"/>
  <c r="DO21"/>
  <c r="DO82"/>
  <c r="DP82"/>
  <c r="DQ82" s="1"/>
  <c r="DR82" s="1"/>
  <c r="DO70"/>
  <c r="DP70"/>
  <c r="DQ70" s="1"/>
  <c r="DR70" s="1"/>
  <c r="DO89"/>
  <c r="DP89"/>
  <c r="DQ89" s="1"/>
  <c r="DR89" s="1"/>
  <c r="DP45"/>
  <c r="DQ45" s="1"/>
  <c r="DR45" s="1"/>
  <c r="DO45"/>
  <c r="DO56"/>
  <c r="DP56"/>
  <c r="DQ56" s="1"/>
  <c r="DR56" s="1"/>
  <c r="DO24"/>
  <c r="DP24"/>
  <c r="DQ24" s="1"/>
  <c r="DR24" s="1"/>
  <c r="DO51"/>
  <c r="DP51"/>
  <c r="DQ51" s="1"/>
  <c r="DR51" s="1"/>
  <c r="DP10"/>
  <c r="DQ10" s="1"/>
  <c r="DR10" s="1"/>
  <c r="DO10"/>
  <c r="EZ54" i="21"/>
  <c r="FE54" s="1"/>
  <c r="FF54"/>
  <c r="FF53"/>
  <c r="EZ53"/>
  <c r="FE53" s="1"/>
  <c r="FF52"/>
  <c r="EZ51"/>
  <c r="FE51" s="1"/>
  <c r="FF51"/>
  <c r="EZ52"/>
  <c r="FE52" s="1"/>
  <c r="EZ50"/>
  <c r="FE50" s="1"/>
  <c r="FF50"/>
  <c r="EZ49"/>
  <c r="FF49"/>
  <c r="EZ48"/>
  <c r="FF48"/>
  <c r="FF47"/>
  <c r="EZ47"/>
  <c r="EZ46"/>
  <c r="FF46"/>
  <c r="FF2"/>
  <c r="EZ3"/>
  <c r="FF3"/>
  <c r="EZ2"/>
  <c r="EZ4"/>
  <c r="FF4"/>
  <c r="FF5"/>
  <c r="EZ6"/>
  <c r="FF9"/>
  <c r="EZ10"/>
  <c r="FF13"/>
  <c r="EZ14"/>
  <c r="FF17"/>
  <c r="EZ18"/>
  <c r="FF21"/>
  <c r="FF6"/>
  <c r="EZ7"/>
  <c r="FF10"/>
  <c r="EZ11"/>
  <c r="FF14"/>
  <c r="EZ15"/>
  <c r="FF18"/>
  <c r="EZ19"/>
  <c r="FF7"/>
  <c r="EZ8"/>
  <c r="FF11"/>
  <c r="EZ12"/>
  <c r="FF15"/>
  <c r="EZ16"/>
  <c r="FF19"/>
  <c r="EZ20"/>
  <c r="EZ5"/>
  <c r="FF8"/>
  <c r="EZ9"/>
  <c r="FF12"/>
  <c r="EZ13"/>
  <c r="FF16"/>
  <c r="EZ17"/>
  <c r="FF20"/>
  <c r="EZ21"/>
  <c r="FF22"/>
  <c r="EZ23"/>
  <c r="EZ22"/>
  <c r="FF23"/>
  <c r="FF25"/>
  <c r="EZ24"/>
  <c r="FF24"/>
  <c r="EZ25"/>
  <c r="FF26"/>
  <c r="EZ27"/>
  <c r="FF27"/>
  <c r="EZ26"/>
  <c r="FF28"/>
  <c r="EZ29"/>
  <c r="EZ28"/>
  <c r="FF29"/>
  <c r="FF31"/>
  <c r="EZ30"/>
  <c r="FF30"/>
  <c r="EZ31"/>
  <c r="EZ32"/>
  <c r="FF32"/>
  <c r="EZ33"/>
  <c r="FF33"/>
  <c r="FF34"/>
  <c r="EZ34"/>
  <c r="FF35"/>
  <c r="EZ35"/>
  <c r="FF36"/>
  <c r="EZ37"/>
  <c r="FF37"/>
  <c r="EZ36"/>
  <c r="EZ38"/>
  <c r="FF38"/>
  <c r="FF39"/>
  <c r="EZ39"/>
  <c r="FF40"/>
  <c r="EZ40"/>
  <c r="EZ41"/>
  <c r="FF41"/>
  <c r="EZ42"/>
  <c r="FF42"/>
  <c r="FF43"/>
  <c r="EZ43"/>
  <c r="FF44"/>
  <c r="EZ44"/>
  <c r="FF45"/>
  <c r="EZ45"/>
  <c r="EI2"/>
  <c r="EO2"/>
  <c r="EI3"/>
  <c r="EO3"/>
  <c r="EI4"/>
  <c r="EO4"/>
  <c r="EI6"/>
  <c r="EO6"/>
  <c r="EI5"/>
  <c r="EO5"/>
  <c r="EI7"/>
  <c r="EO7"/>
  <c r="EI8"/>
  <c r="EO8"/>
  <c r="EI9"/>
  <c r="EO9"/>
  <c r="EI10"/>
  <c r="EO10"/>
  <c r="EI11"/>
  <c r="EO11"/>
  <c r="EI12"/>
  <c r="EN12" s="1"/>
  <c r="EO12"/>
  <c r="H140" i="54"/>
  <c r="E141"/>
  <c r="FF64" i="21"/>
  <c r="FF65"/>
  <c r="FF66"/>
  <c r="FF67"/>
  <c r="BC434" i="10"/>
  <c r="AT4" i="21"/>
  <c r="AW4" s="1"/>
  <c r="AT5"/>
  <c r="AW5" s="1"/>
  <c r="AT6"/>
  <c r="AW6" s="1"/>
  <c r="AT7"/>
  <c r="AW7" s="1"/>
  <c r="AT3"/>
  <c r="AW3" s="1"/>
  <c r="C655"/>
  <c r="C656"/>
  <c r="C657"/>
  <c r="C658"/>
  <c r="C659"/>
  <c r="C651"/>
  <c r="C652"/>
  <c r="C653"/>
  <c r="C654"/>
  <c r="E18"/>
  <c r="E14"/>
  <c r="BQ4"/>
  <c r="BP4"/>
  <c r="BO4"/>
  <c r="BK4"/>
  <c r="BN4" s="1"/>
  <c r="BD4"/>
  <c r="BF4" s="1"/>
  <c r="BQ3"/>
  <c r="BP3"/>
  <c r="BO3"/>
  <c r="BK3"/>
  <c r="BL3" s="1"/>
  <c r="BM3" s="1"/>
  <c r="BF3"/>
  <c r="BB3"/>
  <c r="AE173" i="10" s="1"/>
  <c r="BQ2" i="21"/>
  <c r="BP2"/>
  <c r="BO2"/>
  <c r="BK2"/>
  <c r="BL2" s="1"/>
  <c r="BM2" s="1"/>
  <c r="BF2"/>
  <c r="BV3"/>
  <c r="AQ3"/>
  <c r="AQ6" s="1"/>
  <c r="I17" s="1"/>
  <c r="AK2"/>
  <c r="AN2" s="1"/>
  <c r="AH6"/>
  <c r="AA2"/>
  <c r="AD2" s="1"/>
  <c r="X3"/>
  <c r="X6" s="1"/>
  <c r="DH145" i="10" l="1"/>
  <c r="DI145" s="1"/>
  <c r="DJ145" s="1"/>
  <c r="DG145"/>
  <c r="DS121"/>
  <c r="DT121"/>
  <c r="DU121" s="1"/>
  <c r="DV121" s="1"/>
  <c r="FK139"/>
  <c r="FL139"/>
  <c r="FM139" s="1"/>
  <c r="FN139" s="1"/>
  <c r="CQ124"/>
  <c r="CR124"/>
  <c r="CS124" s="1"/>
  <c r="CT124" s="1"/>
  <c r="CZ117"/>
  <c r="DA117" s="1"/>
  <c r="DB117" s="1"/>
  <c r="CY117"/>
  <c r="GV105"/>
  <c r="GW105" s="1"/>
  <c r="GX105" s="1"/>
  <c r="GU105"/>
  <c r="GV102"/>
  <c r="GW102" s="1"/>
  <c r="GX102" s="1"/>
  <c r="GU102"/>
  <c r="GV119"/>
  <c r="GW119" s="1"/>
  <c r="GX119" s="1"/>
  <c r="GU119"/>
  <c r="GU143"/>
  <c r="GV143"/>
  <c r="GW143" s="1"/>
  <c r="GX143" s="1"/>
  <c r="GU133"/>
  <c r="GV133"/>
  <c r="GW133" s="1"/>
  <c r="GX133" s="1"/>
  <c r="GU144"/>
  <c r="GV144"/>
  <c r="GW144" s="1"/>
  <c r="GX144" s="1"/>
  <c r="GV101"/>
  <c r="GW101" s="1"/>
  <c r="GX101" s="1"/>
  <c r="GU101"/>
  <c r="GU132"/>
  <c r="GV132"/>
  <c r="GW132" s="1"/>
  <c r="GX132" s="1"/>
  <c r="GV110"/>
  <c r="GW110" s="1"/>
  <c r="GX110" s="1"/>
  <c r="GU110"/>
  <c r="N11" i="21"/>
  <c r="ET23"/>
  <c r="N10" s="1"/>
  <c r="EB46"/>
  <c r="N9" s="1"/>
  <c r="CM79" i="10"/>
  <c r="CN79"/>
  <c r="CO79" s="1"/>
  <c r="CP79" s="1"/>
  <c r="DH85"/>
  <c r="DI85" s="1"/>
  <c r="DJ85" s="1"/>
  <c r="DG85"/>
  <c r="CI81"/>
  <c r="CJ81"/>
  <c r="CK81" s="1"/>
  <c r="CL81" s="1"/>
  <c r="DG30"/>
  <c r="DH30"/>
  <c r="DI30" s="1"/>
  <c r="DJ30" s="1"/>
  <c r="CV5"/>
  <c r="CW5" s="1"/>
  <c r="CX5" s="1"/>
  <c r="CU5"/>
  <c r="CI7"/>
  <c r="CJ7"/>
  <c r="CK7" s="1"/>
  <c r="CL7" s="1"/>
  <c r="CI83"/>
  <c r="CJ83"/>
  <c r="CK83" s="1"/>
  <c r="CL83" s="1"/>
  <c r="CY76"/>
  <c r="CZ76"/>
  <c r="DA76" s="1"/>
  <c r="DB76" s="1"/>
  <c r="DG49"/>
  <c r="DH49"/>
  <c r="DI49" s="1"/>
  <c r="DJ49" s="1"/>
  <c r="DL44"/>
  <c r="DM44" s="1"/>
  <c r="DN44" s="1"/>
  <c r="DK44"/>
  <c r="DS22"/>
  <c r="DT22"/>
  <c r="DU22" s="1"/>
  <c r="DV22" s="1"/>
  <c r="DT13"/>
  <c r="DU13" s="1"/>
  <c r="DV13" s="1"/>
  <c r="DS13"/>
  <c r="DS91"/>
  <c r="DT91"/>
  <c r="DU91" s="1"/>
  <c r="DV91" s="1"/>
  <c r="DS51"/>
  <c r="DT51"/>
  <c r="DU51" s="1"/>
  <c r="DV51" s="1"/>
  <c r="DS52"/>
  <c r="DT52"/>
  <c r="DU52" s="1"/>
  <c r="DV52" s="1"/>
  <c r="DT10"/>
  <c r="DU10" s="1"/>
  <c r="DV10" s="1"/>
  <c r="DS10"/>
  <c r="DS24"/>
  <c r="DT24"/>
  <c r="DU24" s="1"/>
  <c r="DV24" s="1"/>
  <c r="DS56"/>
  <c r="DT56"/>
  <c r="DU56" s="1"/>
  <c r="DV56" s="1"/>
  <c r="DT45"/>
  <c r="DU45" s="1"/>
  <c r="DV45" s="1"/>
  <c r="DS45"/>
  <c r="DS89"/>
  <c r="DT89"/>
  <c r="DU89" s="1"/>
  <c r="DV89" s="1"/>
  <c r="DS70"/>
  <c r="DT70"/>
  <c r="DU70" s="1"/>
  <c r="DV70" s="1"/>
  <c r="DS82"/>
  <c r="DT82"/>
  <c r="DU82" s="1"/>
  <c r="DV82" s="1"/>
  <c r="DT21"/>
  <c r="DU21" s="1"/>
  <c r="DV21" s="1"/>
  <c r="DS21"/>
  <c r="DS64"/>
  <c r="DT64"/>
  <c r="DU64" s="1"/>
  <c r="DV64" s="1"/>
  <c r="DS80"/>
  <c r="DT80"/>
  <c r="DU80" s="1"/>
  <c r="DV80" s="1"/>
  <c r="H141" i="54"/>
  <c r="E142"/>
  <c r="BB25" i="21"/>
  <c r="BB23"/>
  <c r="BB17"/>
  <c r="BB26"/>
  <c r="BB20"/>
  <c r="BB16"/>
  <c r="J17"/>
  <c r="M17" s="1"/>
  <c r="E61"/>
  <c r="AE176" i="10"/>
  <c r="AE177"/>
  <c r="AE175"/>
  <c r="BN2" i="21"/>
  <c r="BA19"/>
  <c r="BA16"/>
  <c r="BA15"/>
  <c r="BA26"/>
  <c r="BA22"/>
  <c r="BA18"/>
  <c r="BA23"/>
  <c r="BA25"/>
  <c r="BA21"/>
  <c r="BA17"/>
  <c r="BA24"/>
  <c r="BA20"/>
  <c r="BN3"/>
  <c r="BJ2"/>
  <c r="BJ3"/>
  <c r="BJ4"/>
  <c r="BB12"/>
  <c r="BB22"/>
  <c r="BL4"/>
  <c r="BM4" s="1"/>
  <c r="AQ12"/>
  <c r="E43" s="1"/>
  <c r="AH12"/>
  <c r="E42" s="1"/>
  <c r="X12"/>
  <c r="E41" s="1"/>
  <c r="U20"/>
  <c r="U4"/>
  <c r="U5"/>
  <c r="U6"/>
  <c r="U7"/>
  <c r="U8"/>
  <c r="U9"/>
  <c r="U10"/>
  <c r="U11"/>
  <c r="U12"/>
  <c r="U13"/>
  <c r="U14"/>
  <c r="U15"/>
  <c r="U16"/>
  <c r="U17"/>
  <c r="U18"/>
  <c r="U19"/>
  <c r="DX121" i="10" l="1"/>
  <c r="DY121" s="1"/>
  <c r="DZ121" s="1"/>
  <c r="DW121"/>
  <c r="FP139"/>
  <c r="FQ139" s="1"/>
  <c r="FR139" s="1"/>
  <c r="FO139"/>
  <c r="DD117"/>
  <c r="DE117" s="1"/>
  <c r="DF117" s="1"/>
  <c r="DC117"/>
  <c r="CV124"/>
  <c r="CW124" s="1"/>
  <c r="CX124" s="1"/>
  <c r="CU124"/>
  <c r="DK145"/>
  <c r="DL145"/>
  <c r="DM145" s="1"/>
  <c r="DN145" s="1"/>
  <c r="GZ110"/>
  <c r="HA110" s="1"/>
  <c r="HB110" s="1"/>
  <c r="GY110"/>
  <c r="GZ102"/>
  <c r="HA102" s="1"/>
  <c r="HB102" s="1"/>
  <c r="GY102"/>
  <c r="GZ105"/>
  <c r="HA105" s="1"/>
  <c r="HB105" s="1"/>
  <c r="GY105"/>
  <c r="GY133"/>
  <c r="GZ133"/>
  <c r="HA133" s="1"/>
  <c r="HB133" s="1"/>
  <c r="GZ119"/>
  <c r="HA119" s="1"/>
  <c r="HB119" s="1"/>
  <c r="GY119"/>
  <c r="GY132"/>
  <c r="GZ132"/>
  <c r="HA132" s="1"/>
  <c r="HB132" s="1"/>
  <c r="GZ101"/>
  <c r="HA101" s="1"/>
  <c r="HB101" s="1"/>
  <c r="GY101"/>
  <c r="GY144"/>
  <c r="GZ144"/>
  <c r="HA144" s="1"/>
  <c r="HB144" s="1"/>
  <c r="GY143"/>
  <c r="GZ143"/>
  <c r="HA143" s="1"/>
  <c r="HB143" s="1"/>
  <c r="DK49"/>
  <c r="DL49"/>
  <c r="DM49" s="1"/>
  <c r="DN49" s="1"/>
  <c r="DL85"/>
  <c r="DM85" s="1"/>
  <c r="DN85" s="1"/>
  <c r="DK85"/>
  <c r="CM83"/>
  <c r="CN83"/>
  <c r="CO83" s="1"/>
  <c r="CP83" s="1"/>
  <c r="CM81"/>
  <c r="CN81"/>
  <c r="CO81" s="1"/>
  <c r="CP81" s="1"/>
  <c r="CQ79"/>
  <c r="CR79"/>
  <c r="CS79" s="1"/>
  <c r="CT79" s="1"/>
  <c r="DD76"/>
  <c r="DE76" s="1"/>
  <c r="DF76" s="1"/>
  <c r="DC76"/>
  <c r="CY5"/>
  <c r="CZ5"/>
  <c r="DA5" s="1"/>
  <c r="DB5" s="1"/>
  <c r="DP44"/>
  <c r="DQ44" s="1"/>
  <c r="DR44" s="1"/>
  <c r="DO44"/>
  <c r="CN7"/>
  <c r="CO7" s="1"/>
  <c r="CP7" s="1"/>
  <c r="CM7"/>
  <c r="DK30"/>
  <c r="DL30"/>
  <c r="DM30" s="1"/>
  <c r="DN30" s="1"/>
  <c r="DX21"/>
  <c r="DY21" s="1"/>
  <c r="DZ21" s="1"/>
  <c r="DW21"/>
  <c r="DW89"/>
  <c r="DX89"/>
  <c r="DY89" s="1"/>
  <c r="DZ89" s="1"/>
  <c r="DW22"/>
  <c r="DX22"/>
  <c r="DY22" s="1"/>
  <c r="DZ22" s="1"/>
  <c r="DW70"/>
  <c r="DX70"/>
  <c r="DY70" s="1"/>
  <c r="DZ70" s="1"/>
  <c r="DX45"/>
  <c r="DY45" s="1"/>
  <c r="DZ45" s="1"/>
  <c r="DW45"/>
  <c r="DW24"/>
  <c r="DX24"/>
  <c r="DY24" s="1"/>
  <c r="DZ24" s="1"/>
  <c r="DW51"/>
  <c r="DX51"/>
  <c r="DY51" s="1"/>
  <c r="DZ51" s="1"/>
  <c r="DW91"/>
  <c r="DX91"/>
  <c r="DY91" s="1"/>
  <c r="DZ91" s="1"/>
  <c r="DW80"/>
  <c r="DX80"/>
  <c r="DY80" s="1"/>
  <c r="DZ80" s="1"/>
  <c r="DW64"/>
  <c r="DX64"/>
  <c r="DY64" s="1"/>
  <c r="DZ64" s="1"/>
  <c r="DW82"/>
  <c r="DX82"/>
  <c r="DY82" s="1"/>
  <c r="DZ82" s="1"/>
  <c r="DW56"/>
  <c r="DX56"/>
  <c r="DY56" s="1"/>
  <c r="DZ56" s="1"/>
  <c r="DX10"/>
  <c r="DY10" s="1"/>
  <c r="DZ10" s="1"/>
  <c r="DW10"/>
  <c r="DW52"/>
  <c r="DX52"/>
  <c r="DY52" s="1"/>
  <c r="DZ52" s="1"/>
  <c r="DX13"/>
  <c r="DY13" s="1"/>
  <c r="DZ13" s="1"/>
  <c r="DW13"/>
  <c r="L17" i="21"/>
  <c r="H142" i="54"/>
  <c r="E143"/>
  <c r="BB15" i="21"/>
  <c r="BB24"/>
  <c r="BB19"/>
  <c r="BB18"/>
  <c r="BB21"/>
  <c r="G42"/>
  <c r="F652" s="1"/>
  <c r="D652"/>
  <c r="G43"/>
  <c r="F653" s="1"/>
  <c r="D653"/>
  <c r="G41"/>
  <c r="F651" s="1"/>
  <c r="D651"/>
  <c r="BB6"/>
  <c r="BB9"/>
  <c r="F18" s="1"/>
  <c r="BA27"/>
  <c r="DG117" i="10" l="1"/>
  <c r="DH117"/>
  <c r="DI117" s="1"/>
  <c r="DJ117" s="1"/>
  <c r="FS139"/>
  <c r="FT139"/>
  <c r="FU139" s="1"/>
  <c r="FV139" s="1"/>
  <c r="CY124"/>
  <c r="CZ124"/>
  <c r="DA124" s="1"/>
  <c r="DB124" s="1"/>
  <c r="EB121"/>
  <c r="EC121" s="1"/>
  <c r="ED121" s="1"/>
  <c r="EA121"/>
  <c r="DO145"/>
  <c r="DP145"/>
  <c r="DQ145" s="1"/>
  <c r="DR145" s="1"/>
  <c r="HD101"/>
  <c r="HE101" s="1"/>
  <c r="HF101" s="1"/>
  <c r="HC101"/>
  <c r="HC132"/>
  <c r="HD132"/>
  <c r="HE132" s="1"/>
  <c r="HF132" s="1"/>
  <c r="HD119"/>
  <c r="HE119" s="1"/>
  <c r="HF119" s="1"/>
  <c r="HC119"/>
  <c r="HD110"/>
  <c r="HE110" s="1"/>
  <c r="HF110" s="1"/>
  <c r="HC110"/>
  <c r="HC133"/>
  <c r="HD133"/>
  <c r="HE133" s="1"/>
  <c r="HF133" s="1"/>
  <c r="HD105"/>
  <c r="HE105" s="1"/>
  <c r="HF105" s="1"/>
  <c r="HC105"/>
  <c r="HC143"/>
  <c r="HD143"/>
  <c r="HE143" s="1"/>
  <c r="HF143" s="1"/>
  <c r="HC144"/>
  <c r="HD144"/>
  <c r="HE144" s="1"/>
  <c r="HF144" s="1"/>
  <c r="HD102"/>
  <c r="HE102" s="1"/>
  <c r="HF102" s="1"/>
  <c r="HC102"/>
  <c r="DO30"/>
  <c r="DP30"/>
  <c r="DQ30" s="1"/>
  <c r="DR30" s="1"/>
  <c r="CQ81"/>
  <c r="CR81"/>
  <c r="CS81" s="1"/>
  <c r="CT81" s="1"/>
  <c r="DO49"/>
  <c r="DP49"/>
  <c r="DQ49" s="1"/>
  <c r="DR49" s="1"/>
  <c r="DT44"/>
  <c r="DU44" s="1"/>
  <c r="DV44" s="1"/>
  <c r="DS44"/>
  <c r="DG76"/>
  <c r="DH76"/>
  <c r="DI76" s="1"/>
  <c r="DJ76" s="1"/>
  <c r="DP85"/>
  <c r="DQ85" s="1"/>
  <c r="DR85" s="1"/>
  <c r="DO85"/>
  <c r="DD5"/>
  <c r="DE5" s="1"/>
  <c r="DF5" s="1"/>
  <c r="DC5"/>
  <c r="CU79"/>
  <c r="CV79"/>
  <c r="CW79" s="1"/>
  <c r="CX79" s="1"/>
  <c r="CQ83"/>
  <c r="CR83"/>
  <c r="CS83" s="1"/>
  <c r="CT83" s="1"/>
  <c r="CQ7"/>
  <c r="CR7"/>
  <c r="CS7" s="1"/>
  <c r="CT7" s="1"/>
  <c r="EB10"/>
  <c r="EC10" s="1"/>
  <c r="ED10" s="1"/>
  <c r="EA10"/>
  <c r="EA82"/>
  <c r="EB82"/>
  <c r="EC82" s="1"/>
  <c r="ED82" s="1"/>
  <c r="EA80"/>
  <c r="EB80"/>
  <c r="EC80" s="1"/>
  <c r="ED80" s="1"/>
  <c r="EA91"/>
  <c r="EB91"/>
  <c r="EC91" s="1"/>
  <c r="ED91" s="1"/>
  <c r="EB21"/>
  <c r="EC21" s="1"/>
  <c r="ED21" s="1"/>
  <c r="EA21"/>
  <c r="EB13"/>
  <c r="EC13" s="1"/>
  <c r="ED13" s="1"/>
  <c r="EA13"/>
  <c r="EA70"/>
  <c r="EB70"/>
  <c r="EC70" s="1"/>
  <c r="ED70" s="1"/>
  <c r="EA22"/>
  <c r="EB22"/>
  <c r="EC22" s="1"/>
  <c r="ED22" s="1"/>
  <c r="EA89"/>
  <c r="EB89"/>
  <c r="EC89" s="1"/>
  <c r="ED89" s="1"/>
  <c r="EA52"/>
  <c r="EB52"/>
  <c r="EC52" s="1"/>
  <c r="ED52" s="1"/>
  <c r="EA56"/>
  <c r="EB56"/>
  <c r="EC56" s="1"/>
  <c r="ED56" s="1"/>
  <c r="EA64"/>
  <c r="EB64"/>
  <c r="EC64" s="1"/>
  <c r="ED64" s="1"/>
  <c r="EA51"/>
  <c r="EB51"/>
  <c r="EC51" s="1"/>
  <c r="ED51" s="1"/>
  <c r="EA24"/>
  <c r="EB24"/>
  <c r="EC24" s="1"/>
  <c r="ED24" s="1"/>
  <c r="EB45"/>
  <c r="EC45" s="1"/>
  <c r="ED45" s="1"/>
  <c r="EA45"/>
  <c r="H143" i="54"/>
  <c r="E144"/>
  <c r="F43" i="21"/>
  <c r="E653" s="1"/>
  <c r="H42"/>
  <c r="F42"/>
  <c r="E652" s="1"/>
  <c r="H41"/>
  <c r="F41"/>
  <c r="E651" s="1"/>
  <c r="H43"/>
  <c r="BB30"/>
  <c r="E44" s="1"/>
  <c r="I15"/>
  <c r="J15" s="1"/>
  <c r="E59" s="1"/>
  <c r="Q86" i="10"/>
  <c r="BW86" s="1"/>
  <c r="BX86" s="1"/>
  <c r="BY86" s="1"/>
  <c r="BZ86" s="1"/>
  <c r="DL117" l="1"/>
  <c r="DM117" s="1"/>
  <c r="DN117" s="1"/>
  <c r="DK117"/>
  <c r="EE121"/>
  <c r="EF121"/>
  <c r="EG121" s="1"/>
  <c r="EH121" s="1"/>
  <c r="DD124"/>
  <c r="DE124" s="1"/>
  <c r="DF124" s="1"/>
  <c r="DC124"/>
  <c r="DS145"/>
  <c r="DT145"/>
  <c r="DU145" s="1"/>
  <c r="DV145" s="1"/>
  <c r="FX139"/>
  <c r="FY139" s="1"/>
  <c r="FZ139" s="1"/>
  <c r="FW139"/>
  <c r="HG143"/>
  <c r="HH143"/>
  <c r="HI143" s="1"/>
  <c r="HJ143" s="1"/>
  <c r="HH105"/>
  <c r="HI105" s="1"/>
  <c r="HJ105" s="1"/>
  <c r="HG105"/>
  <c r="HG132"/>
  <c r="HH132"/>
  <c r="HI132" s="1"/>
  <c r="HJ132" s="1"/>
  <c r="HG133"/>
  <c r="HH133"/>
  <c r="HI133" s="1"/>
  <c r="HJ133" s="1"/>
  <c r="HH119"/>
  <c r="HI119" s="1"/>
  <c r="HJ119" s="1"/>
  <c r="HG119"/>
  <c r="HH101"/>
  <c r="HI101" s="1"/>
  <c r="HJ101" s="1"/>
  <c r="HG101"/>
  <c r="HH102"/>
  <c r="HI102" s="1"/>
  <c r="HJ102" s="1"/>
  <c r="HG102"/>
  <c r="HG144"/>
  <c r="HH144"/>
  <c r="HI144" s="1"/>
  <c r="HJ144" s="1"/>
  <c r="HH110"/>
  <c r="HI110" s="1"/>
  <c r="HJ110" s="1"/>
  <c r="HG110"/>
  <c r="J29" i="54"/>
  <c r="CU7" i="10"/>
  <c r="CV7"/>
  <c r="CW7" s="1"/>
  <c r="CX7" s="1"/>
  <c r="CY79"/>
  <c r="CZ79"/>
  <c r="DA79" s="1"/>
  <c r="DB79" s="1"/>
  <c r="DS85"/>
  <c r="DT85"/>
  <c r="DU85" s="1"/>
  <c r="DV85" s="1"/>
  <c r="DT49"/>
  <c r="DU49" s="1"/>
  <c r="DV49" s="1"/>
  <c r="DS49"/>
  <c r="CA86"/>
  <c r="CB86"/>
  <c r="CC86" s="1"/>
  <c r="CD86" s="1"/>
  <c r="DX44"/>
  <c r="DY44" s="1"/>
  <c r="DZ44" s="1"/>
  <c r="DW44"/>
  <c r="DS30"/>
  <c r="DT30"/>
  <c r="DU30" s="1"/>
  <c r="DV30" s="1"/>
  <c r="CV83"/>
  <c r="CW83" s="1"/>
  <c r="CX83" s="1"/>
  <c r="CU83"/>
  <c r="DK76"/>
  <c r="DL76"/>
  <c r="DM76" s="1"/>
  <c r="DN76" s="1"/>
  <c r="CU81"/>
  <c r="CV81"/>
  <c r="CW81" s="1"/>
  <c r="CX81" s="1"/>
  <c r="DH5"/>
  <c r="DI5" s="1"/>
  <c r="DJ5" s="1"/>
  <c r="DG5"/>
  <c r="EF45"/>
  <c r="EG45" s="1"/>
  <c r="EH45" s="1"/>
  <c r="EE45"/>
  <c r="EE52"/>
  <c r="EF52"/>
  <c r="EG52" s="1"/>
  <c r="EH52" s="1"/>
  <c r="EE24"/>
  <c r="EF24"/>
  <c r="EG24" s="1"/>
  <c r="EH24" s="1"/>
  <c r="EE51"/>
  <c r="EF51"/>
  <c r="EG51" s="1"/>
  <c r="EH51" s="1"/>
  <c r="EE56"/>
  <c r="EF56"/>
  <c r="EG56" s="1"/>
  <c r="EH56" s="1"/>
  <c r="EE89"/>
  <c r="EF89"/>
  <c r="EG89" s="1"/>
  <c r="EH89" s="1"/>
  <c r="EF21"/>
  <c r="EG21" s="1"/>
  <c r="EH21" s="1"/>
  <c r="EE21"/>
  <c r="EE82"/>
  <c r="EF82"/>
  <c r="EG82" s="1"/>
  <c r="EH82" s="1"/>
  <c r="EE64"/>
  <c r="EF64"/>
  <c r="EG64" s="1"/>
  <c r="EH64" s="1"/>
  <c r="EE22"/>
  <c r="EF22"/>
  <c r="EG22" s="1"/>
  <c r="EH22" s="1"/>
  <c r="EE70"/>
  <c r="EF70"/>
  <c r="EG70" s="1"/>
  <c r="EH70" s="1"/>
  <c r="EF13"/>
  <c r="EG13" s="1"/>
  <c r="EH13" s="1"/>
  <c r="EE13"/>
  <c r="EE91"/>
  <c r="EF91"/>
  <c r="EG91" s="1"/>
  <c r="EH91" s="1"/>
  <c r="EE80"/>
  <c r="EF80"/>
  <c r="EG80" s="1"/>
  <c r="EH80" s="1"/>
  <c r="EF10"/>
  <c r="EG10" s="1"/>
  <c r="EH10" s="1"/>
  <c r="EE10"/>
  <c r="F143" i="54"/>
  <c r="F139"/>
  <c r="F138"/>
  <c r="F140"/>
  <c r="F141"/>
  <c r="F142"/>
  <c r="H144"/>
  <c r="E145"/>
  <c r="F144" s="1"/>
  <c r="J31"/>
  <c r="J32"/>
  <c r="G44" i="21"/>
  <c r="F44" s="1"/>
  <c r="E654" s="1"/>
  <c r="D654"/>
  <c r="M15"/>
  <c r="L15"/>
  <c r="Q103" i="10"/>
  <c r="BW103" s="1"/>
  <c r="BX103" s="1"/>
  <c r="BY103" s="1"/>
  <c r="BZ103" s="1"/>
  <c r="Q128"/>
  <c r="BW128" s="1"/>
  <c r="BX128" s="1"/>
  <c r="BY128" s="1"/>
  <c r="BZ128" s="1"/>
  <c r="DH6" i="21"/>
  <c r="DJ6" s="1"/>
  <c r="DT6"/>
  <c r="DS6"/>
  <c r="DO6"/>
  <c r="DR6" s="1"/>
  <c r="EJ121" i="10" l="1"/>
  <c r="EK121" s="1"/>
  <c r="EL121" s="1"/>
  <c r="EI121"/>
  <c r="DG124"/>
  <c r="DH124"/>
  <c r="DI124" s="1"/>
  <c r="DJ124" s="1"/>
  <c r="CB128"/>
  <c r="CC128" s="1"/>
  <c r="CD128" s="1"/>
  <c r="CA128"/>
  <c r="GA139"/>
  <c r="GB139"/>
  <c r="GC139" s="1"/>
  <c r="GD139" s="1"/>
  <c r="CB103"/>
  <c r="CC103" s="1"/>
  <c r="CD103" s="1"/>
  <c r="CA103"/>
  <c r="DX145"/>
  <c r="DY145" s="1"/>
  <c r="DZ145" s="1"/>
  <c r="DW145"/>
  <c r="DO117"/>
  <c r="DP117"/>
  <c r="DQ117" s="1"/>
  <c r="DR117" s="1"/>
  <c r="HK144"/>
  <c r="HL144"/>
  <c r="HM144" s="1"/>
  <c r="HN144" s="1"/>
  <c r="HL102"/>
  <c r="HM102" s="1"/>
  <c r="HN102" s="1"/>
  <c r="HK102"/>
  <c r="HL105"/>
  <c r="HM105" s="1"/>
  <c r="HN105" s="1"/>
  <c r="HK105"/>
  <c r="HL101"/>
  <c r="HM101" s="1"/>
  <c r="HN101" s="1"/>
  <c r="HK101"/>
  <c r="HK132"/>
  <c r="HL132"/>
  <c r="HM132" s="1"/>
  <c r="HN132" s="1"/>
  <c r="HL110"/>
  <c r="HM110" s="1"/>
  <c r="HN110" s="1"/>
  <c r="HK110"/>
  <c r="HL119"/>
  <c r="HM119" s="1"/>
  <c r="HN119" s="1"/>
  <c r="HK119"/>
  <c r="HK133"/>
  <c r="HL133"/>
  <c r="HM133" s="1"/>
  <c r="HN133" s="1"/>
  <c r="HK143"/>
  <c r="HL143"/>
  <c r="HM143" s="1"/>
  <c r="HN143" s="1"/>
  <c r="DL5"/>
  <c r="DM5" s="1"/>
  <c r="DN5" s="1"/>
  <c r="DK5"/>
  <c r="DC79"/>
  <c r="DD79"/>
  <c r="DE79" s="1"/>
  <c r="DF79" s="1"/>
  <c r="CY81"/>
  <c r="CZ81"/>
  <c r="DA81" s="1"/>
  <c r="DB81" s="1"/>
  <c r="CY83"/>
  <c r="CZ83"/>
  <c r="DA83" s="1"/>
  <c r="DB83" s="1"/>
  <c r="EB44"/>
  <c r="EC44" s="1"/>
  <c r="ED44" s="1"/>
  <c r="EA44"/>
  <c r="DW49"/>
  <c r="DX49"/>
  <c r="DY49" s="1"/>
  <c r="DZ49" s="1"/>
  <c r="DO76"/>
  <c r="DP76"/>
  <c r="DQ76" s="1"/>
  <c r="DR76" s="1"/>
  <c r="DW30"/>
  <c r="DX30"/>
  <c r="DY30" s="1"/>
  <c r="DZ30" s="1"/>
  <c r="CE86"/>
  <c r="CF86"/>
  <c r="CG86" s="1"/>
  <c r="CH86" s="1"/>
  <c r="DX85"/>
  <c r="DY85" s="1"/>
  <c r="DZ85" s="1"/>
  <c r="DW85"/>
  <c r="CZ7"/>
  <c r="DA7" s="1"/>
  <c r="DB7" s="1"/>
  <c r="CY7"/>
  <c r="EI80"/>
  <c r="EJ80"/>
  <c r="EK80" s="1"/>
  <c r="EL80" s="1"/>
  <c r="EI70"/>
  <c r="EJ70"/>
  <c r="EK70" s="1"/>
  <c r="EL70" s="1"/>
  <c r="EI64"/>
  <c r="EJ64"/>
  <c r="EK64" s="1"/>
  <c r="EL64" s="1"/>
  <c r="EJ21"/>
  <c r="EK21" s="1"/>
  <c r="EL21" s="1"/>
  <c r="EI21"/>
  <c r="EI56"/>
  <c r="EJ56"/>
  <c r="EK56" s="1"/>
  <c r="EL56" s="1"/>
  <c r="EI51"/>
  <c r="EJ51"/>
  <c r="EK51" s="1"/>
  <c r="EL51" s="1"/>
  <c r="EI52"/>
  <c r="EJ52"/>
  <c r="EK52" s="1"/>
  <c r="EL52" s="1"/>
  <c r="EJ45"/>
  <c r="EK45" s="1"/>
  <c r="EL45" s="1"/>
  <c r="EI45"/>
  <c r="EJ10"/>
  <c r="EK10" s="1"/>
  <c r="EL10" s="1"/>
  <c r="EI10"/>
  <c r="EI91"/>
  <c r="EJ91"/>
  <c r="EK91" s="1"/>
  <c r="EL91" s="1"/>
  <c r="EJ13"/>
  <c r="EK13" s="1"/>
  <c r="EL13" s="1"/>
  <c r="EI13"/>
  <c r="EI22"/>
  <c r="EJ22"/>
  <c r="EK22" s="1"/>
  <c r="EL22" s="1"/>
  <c r="EI82"/>
  <c r="EJ82"/>
  <c r="EK82" s="1"/>
  <c r="EL82" s="1"/>
  <c r="EI89"/>
  <c r="EJ89"/>
  <c r="EK89" s="1"/>
  <c r="EL89" s="1"/>
  <c r="EI24"/>
  <c r="EJ24"/>
  <c r="EK24" s="1"/>
  <c r="EL24" s="1"/>
  <c r="H145" i="54"/>
  <c r="H146" s="1"/>
  <c r="H147" s="1"/>
  <c r="H148" s="1"/>
  <c r="H149" s="1"/>
  <c r="H150" s="1"/>
  <c r="H151" s="1"/>
  <c r="E146"/>
  <c r="F145" s="1"/>
  <c r="H44" i="21"/>
  <c r="F654"/>
  <c r="DN6"/>
  <c r="DP6"/>
  <c r="DQ6" s="1"/>
  <c r="V3" i="27"/>
  <c r="V4"/>
  <c r="V5"/>
  <c r="V6"/>
  <c r="V7"/>
  <c r="V8"/>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BW90" i="10"/>
  <c r="BX90" s="1"/>
  <c r="BY90" s="1"/>
  <c r="BZ90" s="1"/>
  <c r="Q42"/>
  <c r="BW42" s="1"/>
  <c r="BX42" s="1"/>
  <c r="BY42" s="1"/>
  <c r="BZ42" s="1"/>
  <c r="DK124" l="1"/>
  <c r="DL124"/>
  <c r="DM124" s="1"/>
  <c r="DN124" s="1"/>
  <c r="DT117"/>
  <c r="DU117" s="1"/>
  <c r="DV117" s="1"/>
  <c r="DS117"/>
  <c r="CF128"/>
  <c r="CG128" s="1"/>
  <c r="CH128" s="1"/>
  <c r="CE128"/>
  <c r="EB145"/>
  <c r="EC145" s="1"/>
  <c r="ED145" s="1"/>
  <c r="EA145"/>
  <c r="CF103"/>
  <c r="CG103" s="1"/>
  <c r="CH103" s="1"/>
  <c r="CE103"/>
  <c r="GE139"/>
  <c r="GF139"/>
  <c r="GG139" s="1"/>
  <c r="GH139" s="1"/>
  <c r="EN121"/>
  <c r="EO121" s="1"/>
  <c r="EP121" s="1"/>
  <c r="EM121"/>
  <c r="HO133"/>
  <c r="HP133"/>
  <c r="HQ133" s="1"/>
  <c r="HR133" s="1"/>
  <c r="HP119"/>
  <c r="HQ119" s="1"/>
  <c r="HR119" s="1"/>
  <c r="HO119"/>
  <c r="HP105"/>
  <c r="HQ105" s="1"/>
  <c r="HR105" s="1"/>
  <c r="HO105"/>
  <c r="HO132"/>
  <c r="HP132"/>
  <c r="HQ132" s="1"/>
  <c r="HR132" s="1"/>
  <c r="HP101"/>
  <c r="HQ101" s="1"/>
  <c r="HR101" s="1"/>
  <c r="HO101"/>
  <c r="HP102"/>
  <c r="HQ102" s="1"/>
  <c r="HR102" s="1"/>
  <c r="HO102"/>
  <c r="HO144"/>
  <c r="HP144"/>
  <c r="HQ144" s="1"/>
  <c r="HR144" s="1"/>
  <c r="HO143"/>
  <c r="HP143"/>
  <c r="HQ143" s="1"/>
  <c r="HR143" s="1"/>
  <c r="HP110"/>
  <c r="HQ110" s="1"/>
  <c r="HR110" s="1"/>
  <c r="HO110"/>
  <c r="CI86"/>
  <c r="CJ86"/>
  <c r="CK86" s="1"/>
  <c r="CL86" s="1"/>
  <c r="DS76"/>
  <c r="DT76"/>
  <c r="DU76" s="1"/>
  <c r="DV76" s="1"/>
  <c r="EA49"/>
  <c r="EB49"/>
  <c r="EC49" s="1"/>
  <c r="ED49" s="1"/>
  <c r="DD83"/>
  <c r="DE83" s="1"/>
  <c r="DF83" s="1"/>
  <c r="DC83"/>
  <c r="CB42"/>
  <c r="CC42" s="1"/>
  <c r="CD42" s="1"/>
  <c r="CA42"/>
  <c r="EA30"/>
  <c r="EB30"/>
  <c r="EC30" s="1"/>
  <c r="ED30" s="1"/>
  <c r="DO5"/>
  <c r="DP5"/>
  <c r="DQ5" s="1"/>
  <c r="DR5" s="1"/>
  <c r="CA90"/>
  <c r="CB90"/>
  <c r="CC90" s="1"/>
  <c r="CD90" s="1"/>
  <c r="EB85"/>
  <c r="EC85" s="1"/>
  <c r="ED85" s="1"/>
  <c r="EA85"/>
  <c r="EF44"/>
  <c r="EG44" s="1"/>
  <c r="EH44" s="1"/>
  <c r="EE44"/>
  <c r="DH79"/>
  <c r="DI79" s="1"/>
  <c r="DJ79" s="1"/>
  <c r="DG79"/>
  <c r="DD7"/>
  <c r="DE7" s="1"/>
  <c r="DF7" s="1"/>
  <c r="DC7"/>
  <c r="DC81"/>
  <c r="DD81"/>
  <c r="DE81" s="1"/>
  <c r="DF81" s="1"/>
  <c r="EN10"/>
  <c r="EO10" s="1"/>
  <c r="EP10" s="1"/>
  <c r="EM10"/>
  <c r="EN21"/>
  <c r="EO21" s="1"/>
  <c r="EP21" s="1"/>
  <c r="EM21"/>
  <c r="EM80"/>
  <c r="EN80"/>
  <c r="EO80" s="1"/>
  <c r="EP80" s="1"/>
  <c r="EM89"/>
  <c r="EN89"/>
  <c r="EO89" s="1"/>
  <c r="EP89" s="1"/>
  <c r="EM22"/>
  <c r="EN22"/>
  <c r="EO22" s="1"/>
  <c r="EP22" s="1"/>
  <c r="EN13"/>
  <c r="EO13" s="1"/>
  <c r="EP13" s="1"/>
  <c r="EM13"/>
  <c r="EN45"/>
  <c r="EO45" s="1"/>
  <c r="EP45" s="1"/>
  <c r="EM45"/>
  <c r="EM24"/>
  <c r="EN24"/>
  <c r="EO24" s="1"/>
  <c r="EP24" s="1"/>
  <c r="EM82"/>
  <c r="EN82"/>
  <c r="EO82" s="1"/>
  <c r="EP82" s="1"/>
  <c r="EM91"/>
  <c r="EN91"/>
  <c r="EO91" s="1"/>
  <c r="EP91" s="1"/>
  <c r="EM52"/>
  <c r="EN52"/>
  <c r="EO52" s="1"/>
  <c r="EP52" s="1"/>
  <c r="EM51"/>
  <c r="EN51"/>
  <c r="EO51" s="1"/>
  <c r="EP51" s="1"/>
  <c r="EM56"/>
  <c r="EN56"/>
  <c r="EO56" s="1"/>
  <c r="EP56" s="1"/>
  <c r="EM64"/>
  <c r="EN64"/>
  <c r="EO64" s="1"/>
  <c r="EP64" s="1"/>
  <c r="EM70"/>
  <c r="EN70"/>
  <c r="EO70" s="1"/>
  <c r="EP70" s="1"/>
  <c r="E147" i="54"/>
  <c r="F146" s="1"/>
  <c r="AJ93" i="10"/>
  <c r="Q47"/>
  <c r="BW47" s="1"/>
  <c r="BX47" s="1"/>
  <c r="BY47" s="1"/>
  <c r="BZ47" s="1"/>
  <c r="BD79"/>
  <c r="DO124" l="1"/>
  <c r="DP124"/>
  <c r="DQ124" s="1"/>
  <c r="DR124" s="1"/>
  <c r="GI139"/>
  <c r="GJ139"/>
  <c r="GK139" s="1"/>
  <c r="GL139" s="1"/>
  <c r="ER121"/>
  <c r="ES121" s="1"/>
  <c r="ET121" s="1"/>
  <c r="EQ121"/>
  <c r="EE145"/>
  <c r="EF145"/>
  <c r="EG145" s="1"/>
  <c r="EH145" s="1"/>
  <c r="CI103"/>
  <c r="CJ103"/>
  <c r="CK103" s="1"/>
  <c r="CL103" s="1"/>
  <c r="CI128"/>
  <c r="CJ128"/>
  <c r="CK128" s="1"/>
  <c r="CL128" s="1"/>
  <c r="DX117"/>
  <c r="DY117" s="1"/>
  <c r="DZ117" s="1"/>
  <c r="DW117"/>
  <c r="HT101"/>
  <c r="HU101" s="1"/>
  <c r="HV101" s="1"/>
  <c r="HS101"/>
  <c r="HT119"/>
  <c r="HU119" s="1"/>
  <c r="HV119" s="1"/>
  <c r="HS119"/>
  <c r="HS143"/>
  <c r="HT143"/>
  <c r="HU143" s="1"/>
  <c r="HV143" s="1"/>
  <c r="HS132"/>
  <c r="HT132"/>
  <c r="HU132" s="1"/>
  <c r="HV132" s="1"/>
  <c r="HT110"/>
  <c r="HU110" s="1"/>
  <c r="HV110" s="1"/>
  <c r="HS110"/>
  <c r="HS144"/>
  <c r="HT144"/>
  <c r="HU144" s="1"/>
  <c r="HV144" s="1"/>
  <c r="HT102"/>
  <c r="HU102" s="1"/>
  <c r="HV102" s="1"/>
  <c r="HS102"/>
  <c r="HT105"/>
  <c r="HU105" s="1"/>
  <c r="HV105" s="1"/>
  <c r="HS105"/>
  <c r="HS133"/>
  <c r="HT133"/>
  <c r="HU133" s="1"/>
  <c r="HV133" s="1"/>
  <c r="DH81"/>
  <c r="DI81" s="1"/>
  <c r="DJ81" s="1"/>
  <c r="DG81"/>
  <c r="CE42"/>
  <c r="CF42"/>
  <c r="CG42" s="1"/>
  <c r="CH42" s="1"/>
  <c r="DH83"/>
  <c r="DI83" s="1"/>
  <c r="DJ83" s="1"/>
  <c r="DG83"/>
  <c r="DX76"/>
  <c r="DY76" s="1"/>
  <c r="DZ76" s="1"/>
  <c r="DW76"/>
  <c r="DK79"/>
  <c r="DL79"/>
  <c r="DM79" s="1"/>
  <c r="DN79" s="1"/>
  <c r="EE85"/>
  <c r="EF85"/>
  <c r="EG85" s="1"/>
  <c r="EH85" s="1"/>
  <c r="EE49"/>
  <c r="EF49"/>
  <c r="EG49" s="1"/>
  <c r="EH49" s="1"/>
  <c r="CA47"/>
  <c r="CB47"/>
  <c r="CC47" s="1"/>
  <c r="CD47" s="1"/>
  <c r="CE90"/>
  <c r="CF90"/>
  <c r="CG90" s="1"/>
  <c r="CH90" s="1"/>
  <c r="CM86"/>
  <c r="CN86"/>
  <c r="CO86" s="1"/>
  <c r="CP86" s="1"/>
  <c r="DH7"/>
  <c r="DI7" s="1"/>
  <c r="DJ7" s="1"/>
  <c r="DG7"/>
  <c r="EI44"/>
  <c r="EJ44"/>
  <c r="EK44" s="1"/>
  <c r="EL44" s="1"/>
  <c r="DS5"/>
  <c r="DT5"/>
  <c r="DU5" s="1"/>
  <c r="DV5" s="1"/>
  <c r="EE30"/>
  <c r="EF30"/>
  <c r="EG30" s="1"/>
  <c r="EH30" s="1"/>
  <c r="EQ70"/>
  <c r="ER70"/>
  <c r="ES70" s="1"/>
  <c r="ET70" s="1"/>
  <c r="EQ56"/>
  <c r="ER56"/>
  <c r="ES56" s="1"/>
  <c r="ET56" s="1"/>
  <c r="ER13"/>
  <c r="ES13" s="1"/>
  <c r="ET13" s="1"/>
  <c r="EQ13"/>
  <c r="EQ22"/>
  <c r="ER22"/>
  <c r="ES22" s="1"/>
  <c r="ET22" s="1"/>
  <c r="EQ89"/>
  <c r="ER89"/>
  <c r="ES89" s="1"/>
  <c r="ET89" s="1"/>
  <c r="EQ80"/>
  <c r="ER80"/>
  <c r="ES80" s="1"/>
  <c r="ET80" s="1"/>
  <c r="ER21"/>
  <c r="ES21" s="1"/>
  <c r="ET21" s="1"/>
  <c r="EQ21"/>
  <c r="EQ52"/>
  <c r="ER52"/>
  <c r="ES52" s="1"/>
  <c r="ET52" s="1"/>
  <c r="EQ24"/>
  <c r="ER24"/>
  <c r="ES24" s="1"/>
  <c r="ET24" s="1"/>
  <c r="EQ64"/>
  <c r="ER64"/>
  <c r="ES64" s="1"/>
  <c r="ET64" s="1"/>
  <c r="EQ51"/>
  <c r="ER51"/>
  <c r="ES51" s="1"/>
  <c r="ET51" s="1"/>
  <c r="EQ91"/>
  <c r="ER91"/>
  <c r="ES91" s="1"/>
  <c r="ET91" s="1"/>
  <c r="EQ82"/>
  <c r="ER82"/>
  <c r="ES82" s="1"/>
  <c r="ET82" s="1"/>
  <c r="ER45"/>
  <c r="ES45" s="1"/>
  <c r="ET45" s="1"/>
  <c r="EQ45"/>
  <c r="ER10"/>
  <c r="ES10" s="1"/>
  <c r="ET10" s="1"/>
  <c r="EQ10"/>
  <c r="E148" i="54"/>
  <c r="F147" s="1"/>
  <c r="F137" i="22"/>
  <c r="F136"/>
  <c r="F135"/>
  <c r="R83"/>
  <c r="R84"/>
  <c r="R85"/>
  <c r="R86"/>
  <c r="R82"/>
  <c r="Q83"/>
  <c r="Q84"/>
  <c r="Q85"/>
  <c r="Q86"/>
  <c r="Q87"/>
  <c r="Q82"/>
  <c r="P95"/>
  <c r="P96"/>
  <c r="P97"/>
  <c r="P98"/>
  <c r="M90"/>
  <c r="N90"/>
  <c r="M82"/>
  <c r="N82"/>
  <c r="M83"/>
  <c r="N83"/>
  <c r="M84"/>
  <c r="N84"/>
  <c r="M85"/>
  <c r="N85"/>
  <c r="M86"/>
  <c r="N86"/>
  <c r="M87"/>
  <c r="N87"/>
  <c r="M88"/>
  <c r="N88"/>
  <c r="M89"/>
  <c r="N89"/>
  <c r="L82"/>
  <c r="L83"/>
  <c r="L84"/>
  <c r="L85"/>
  <c r="L86"/>
  <c r="L87"/>
  <c r="L88"/>
  <c r="L89"/>
  <c r="L90"/>
  <c r="L81"/>
  <c r="E116" i="21"/>
  <c r="DB6"/>
  <c r="DA6"/>
  <c r="CW6"/>
  <c r="CZ6" s="1"/>
  <c r="CR6"/>
  <c r="CJ6"/>
  <c r="CI6"/>
  <c r="CE6"/>
  <c r="CH6" s="1"/>
  <c r="BZ6"/>
  <c r="D712"/>
  <c r="D711"/>
  <c r="D710"/>
  <c r="GM139" i="10" l="1"/>
  <c r="GN139"/>
  <c r="GO139" s="1"/>
  <c r="GP139" s="1"/>
  <c r="EB117"/>
  <c r="EC117" s="1"/>
  <c r="ED117" s="1"/>
  <c r="EA117"/>
  <c r="CN103"/>
  <c r="CO103" s="1"/>
  <c r="CP103" s="1"/>
  <c r="CM103"/>
  <c r="CM128"/>
  <c r="CN128"/>
  <c r="CO128" s="1"/>
  <c r="CP128" s="1"/>
  <c r="EV121"/>
  <c r="EW121" s="1"/>
  <c r="EX121" s="1"/>
  <c r="EU121"/>
  <c r="DT124"/>
  <c r="DU124" s="1"/>
  <c r="DV124" s="1"/>
  <c r="DS124"/>
  <c r="EJ145"/>
  <c r="EK145" s="1"/>
  <c r="EL145" s="1"/>
  <c r="EI145"/>
  <c r="HW133"/>
  <c r="HX133"/>
  <c r="HY133" s="1"/>
  <c r="HZ133" s="1"/>
  <c r="HW143"/>
  <c r="HX143"/>
  <c r="HY143" s="1"/>
  <c r="HZ143" s="1"/>
  <c r="HX119"/>
  <c r="HY119" s="1"/>
  <c r="HZ119" s="1"/>
  <c r="HW119"/>
  <c r="HX110"/>
  <c r="HY110" s="1"/>
  <c r="HZ110" s="1"/>
  <c r="HW110"/>
  <c r="HX105"/>
  <c r="HY105" s="1"/>
  <c r="HZ105" s="1"/>
  <c r="HW105"/>
  <c r="HX102"/>
  <c r="HY102" s="1"/>
  <c r="HZ102" s="1"/>
  <c r="HW102"/>
  <c r="HW144"/>
  <c r="HX144"/>
  <c r="HY144" s="1"/>
  <c r="HZ144" s="1"/>
  <c r="HW132"/>
  <c r="HX132"/>
  <c r="HY132" s="1"/>
  <c r="HZ132" s="1"/>
  <c r="HX101"/>
  <c r="HY101" s="1"/>
  <c r="HZ101" s="1"/>
  <c r="HW101"/>
  <c r="DK7"/>
  <c r="DL7"/>
  <c r="DM7" s="1"/>
  <c r="DN7" s="1"/>
  <c r="EJ30"/>
  <c r="EK30" s="1"/>
  <c r="EL30" s="1"/>
  <c r="EI30"/>
  <c r="DX5"/>
  <c r="DY5" s="1"/>
  <c r="DZ5" s="1"/>
  <c r="DW5"/>
  <c r="CF47"/>
  <c r="CG47" s="1"/>
  <c r="CH47" s="1"/>
  <c r="CE47"/>
  <c r="EI49"/>
  <c r="EJ49"/>
  <c r="EK49" s="1"/>
  <c r="EL49" s="1"/>
  <c r="DO79"/>
  <c r="DP79"/>
  <c r="DQ79" s="1"/>
  <c r="DR79" s="1"/>
  <c r="EN44"/>
  <c r="EO44" s="1"/>
  <c r="EP44" s="1"/>
  <c r="EM44"/>
  <c r="EI85"/>
  <c r="EJ85"/>
  <c r="EK85" s="1"/>
  <c r="EL85" s="1"/>
  <c r="DK83"/>
  <c r="DL83"/>
  <c r="DM83" s="1"/>
  <c r="DN83" s="1"/>
  <c r="DK81"/>
  <c r="DL81"/>
  <c r="DM81" s="1"/>
  <c r="DN81" s="1"/>
  <c r="CQ86"/>
  <c r="CR86"/>
  <c r="CS86" s="1"/>
  <c r="CT86" s="1"/>
  <c r="CJ90"/>
  <c r="CK90" s="1"/>
  <c r="CL90" s="1"/>
  <c r="CI90"/>
  <c r="CJ42"/>
  <c r="CK42" s="1"/>
  <c r="CL42" s="1"/>
  <c r="CI42"/>
  <c r="EA76"/>
  <c r="EB76"/>
  <c r="EC76" s="1"/>
  <c r="ED76" s="1"/>
  <c r="EU82"/>
  <c r="EV82"/>
  <c r="EW82" s="1"/>
  <c r="EX82" s="1"/>
  <c r="EV10"/>
  <c r="EW10" s="1"/>
  <c r="EX10" s="1"/>
  <c r="EU10"/>
  <c r="EV45"/>
  <c r="EW45" s="1"/>
  <c r="EX45" s="1"/>
  <c r="EU45"/>
  <c r="EU91"/>
  <c r="EV91"/>
  <c r="EW91" s="1"/>
  <c r="EX91" s="1"/>
  <c r="EU51"/>
  <c r="EV51"/>
  <c r="EW51" s="1"/>
  <c r="EX51" s="1"/>
  <c r="EU64"/>
  <c r="EV64"/>
  <c r="EW64" s="1"/>
  <c r="EX64" s="1"/>
  <c r="EU24"/>
  <c r="EV24"/>
  <c r="EW24" s="1"/>
  <c r="EX24" s="1"/>
  <c r="EU52"/>
  <c r="EV52"/>
  <c r="EW52" s="1"/>
  <c r="EX52" s="1"/>
  <c r="EU56"/>
  <c r="EV56"/>
  <c r="EW56" s="1"/>
  <c r="EX56" s="1"/>
  <c r="EU70"/>
  <c r="EV70"/>
  <c r="EW70" s="1"/>
  <c r="EX70" s="1"/>
  <c r="EV21"/>
  <c r="EW21" s="1"/>
  <c r="EX21" s="1"/>
  <c r="EU21"/>
  <c r="EU80"/>
  <c r="EV80"/>
  <c r="EW80" s="1"/>
  <c r="EX80" s="1"/>
  <c r="EU89"/>
  <c r="EV89"/>
  <c r="EW89" s="1"/>
  <c r="EX89" s="1"/>
  <c r="EU22"/>
  <c r="EV22"/>
  <c r="EW22" s="1"/>
  <c r="EX22" s="1"/>
  <c r="EV13"/>
  <c r="EW13" s="1"/>
  <c r="EX13" s="1"/>
  <c r="EU13"/>
  <c r="E149" i="54"/>
  <c r="F148" s="1"/>
  <c r="CV6" i="21"/>
  <c r="CX6"/>
  <c r="CY6" s="1"/>
  <c r="CD6"/>
  <c r="CF6"/>
  <c r="CG6" s="1"/>
  <c r="D714"/>
  <c r="N49" i="10"/>
  <c r="AD49"/>
  <c r="AJ49"/>
  <c r="AW254"/>
  <c r="Q77"/>
  <c r="BW77" s="1"/>
  <c r="BX77" s="1"/>
  <c r="BY77" s="1"/>
  <c r="BZ77" s="1"/>
  <c r="BW93"/>
  <c r="BX93" s="1"/>
  <c r="BY93" s="1"/>
  <c r="BZ93" s="1"/>
  <c r="B35" i="22"/>
  <c r="F91" s="1"/>
  <c r="X245" i="10"/>
  <c r="X211"/>
  <c r="X214" s="1"/>
  <c r="BA170"/>
  <c r="AW251"/>
  <c r="Q84"/>
  <c r="BW84" s="1"/>
  <c r="BX84" s="1"/>
  <c r="BY84" s="1"/>
  <c r="BZ84" s="1"/>
  <c r="BW34"/>
  <c r="BX34" s="1"/>
  <c r="BY34" s="1"/>
  <c r="BZ34" s="1"/>
  <c r="N76"/>
  <c r="AD76"/>
  <c r="AJ76"/>
  <c r="N75" i="27"/>
  <c r="O75"/>
  <c r="H75"/>
  <c r="I75" s="1"/>
  <c r="N34"/>
  <c r="O34"/>
  <c r="N34" i="10"/>
  <c r="AD34"/>
  <c r="AJ34"/>
  <c r="I66" i="22"/>
  <c r="H70"/>
  <c r="I77"/>
  <c r="F65"/>
  <c r="F71"/>
  <c r="F73"/>
  <c r="EM145" i="10" l="1"/>
  <c r="EN145"/>
  <c r="EO145" s="1"/>
  <c r="EP145" s="1"/>
  <c r="EY121"/>
  <c r="EZ121"/>
  <c r="FA121" s="1"/>
  <c r="FB121" s="1"/>
  <c r="CQ103"/>
  <c r="CR103"/>
  <c r="CS103" s="1"/>
  <c r="CT103" s="1"/>
  <c r="CR128"/>
  <c r="CS128" s="1"/>
  <c r="CT128" s="1"/>
  <c r="CQ128"/>
  <c r="GQ139"/>
  <c r="GR139"/>
  <c r="GS139" s="1"/>
  <c r="GT139" s="1"/>
  <c r="DX124"/>
  <c r="DY124" s="1"/>
  <c r="DZ124" s="1"/>
  <c r="DW124"/>
  <c r="EE117"/>
  <c r="EF117"/>
  <c r="EG117" s="1"/>
  <c r="EH117" s="1"/>
  <c r="IB102"/>
  <c r="IA102"/>
  <c r="IB105"/>
  <c r="IA105"/>
  <c r="IB119"/>
  <c r="IA119"/>
  <c r="IA143"/>
  <c r="IB143"/>
  <c r="IB101"/>
  <c r="IA101"/>
  <c r="IA132"/>
  <c r="IB132"/>
  <c r="IA144"/>
  <c r="IB144"/>
  <c r="IB110"/>
  <c r="IA110"/>
  <c r="IA133"/>
  <c r="IB133"/>
  <c r="H91" i="22"/>
  <c r="ER44" i="10"/>
  <c r="ES44" s="1"/>
  <c r="ET44" s="1"/>
  <c r="EQ44"/>
  <c r="EE76"/>
  <c r="EF76"/>
  <c r="EG76" s="1"/>
  <c r="EH76" s="1"/>
  <c r="CU86"/>
  <c r="CV86"/>
  <c r="CW86" s="1"/>
  <c r="CX86" s="1"/>
  <c r="DO83"/>
  <c r="DP83"/>
  <c r="DQ83" s="1"/>
  <c r="DR83" s="1"/>
  <c r="CA34"/>
  <c r="CB34"/>
  <c r="CC34" s="1"/>
  <c r="CD34" s="1"/>
  <c r="EB5"/>
  <c r="EC5" s="1"/>
  <c r="ED5" s="1"/>
  <c r="EA5"/>
  <c r="CN42"/>
  <c r="CO42" s="1"/>
  <c r="CP42" s="1"/>
  <c r="CM42"/>
  <c r="DS79"/>
  <c r="DT79"/>
  <c r="DU79" s="1"/>
  <c r="DV79" s="1"/>
  <c r="CB93"/>
  <c r="CC93" s="1"/>
  <c r="CD93" s="1"/>
  <c r="CA93"/>
  <c r="DP81"/>
  <c r="DQ81" s="1"/>
  <c r="DR81" s="1"/>
  <c r="DO81"/>
  <c r="EM85"/>
  <c r="EN85"/>
  <c r="EO85" s="1"/>
  <c r="EP85" s="1"/>
  <c r="CJ47"/>
  <c r="CK47" s="1"/>
  <c r="CL47" s="1"/>
  <c r="CI47"/>
  <c r="EN30"/>
  <c r="EO30" s="1"/>
  <c r="EP30" s="1"/>
  <c r="EM30"/>
  <c r="DO7"/>
  <c r="DP7"/>
  <c r="DQ7" s="1"/>
  <c r="DR7" s="1"/>
  <c r="CB84"/>
  <c r="CC84" s="1"/>
  <c r="CD84" s="1"/>
  <c r="CA84"/>
  <c r="CB77"/>
  <c r="CC77" s="1"/>
  <c r="CD77" s="1"/>
  <c r="CA77"/>
  <c r="CN90"/>
  <c r="CO90" s="1"/>
  <c r="CP90" s="1"/>
  <c r="CM90"/>
  <c r="EM49"/>
  <c r="EN49"/>
  <c r="EO49" s="1"/>
  <c r="EP49" s="1"/>
  <c r="EZ21"/>
  <c r="FA21" s="1"/>
  <c r="FB21" s="1"/>
  <c r="EY21"/>
  <c r="EY70"/>
  <c r="EZ70"/>
  <c r="FA70" s="1"/>
  <c r="FB70" s="1"/>
  <c r="EY56"/>
  <c r="EZ56"/>
  <c r="FA56" s="1"/>
  <c r="FB56" s="1"/>
  <c r="EZ45"/>
  <c r="FA45" s="1"/>
  <c r="FB45" s="1"/>
  <c r="EY45"/>
  <c r="EZ10"/>
  <c r="FA10" s="1"/>
  <c r="FB10" s="1"/>
  <c r="EY10"/>
  <c r="EZ13"/>
  <c r="FA13" s="1"/>
  <c r="FB13" s="1"/>
  <c r="EY13"/>
  <c r="EY22"/>
  <c r="EZ22"/>
  <c r="FA22" s="1"/>
  <c r="FB22" s="1"/>
  <c r="EY89"/>
  <c r="EZ89"/>
  <c r="FA89" s="1"/>
  <c r="FB89" s="1"/>
  <c r="EY80"/>
  <c r="EZ80"/>
  <c r="FA80" s="1"/>
  <c r="FB80" s="1"/>
  <c r="EY24"/>
  <c r="EZ24"/>
  <c r="FA24" s="1"/>
  <c r="FB24" s="1"/>
  <c r="EY51"/>
  <c r="EZ51"/>
  <c r="FA51" s="1"/>
  <c r="FB51" s="1"/>
  <c r="EY91"/>
  <c r="EZ91"/>
  <c r="FA91" s="1"/>
  <c r="FB91" s="1"/>
  <c r="EY52"/>
  <c r="EZ52"/>
  <c r="FA52" s="1"/>
  <c r="FB52" s="1"/>
  <c r="EY82"/>
  <c r="EZ82"/>
  <c r="FA82" s="1"/>
  <c r="FB82" s="1"/>
  <c r="EY64"/>
  <c r="EZ64"/>
  <c r="FA64" s="1"/>
  <c r="FB64" s="1"/>
  <c r="E150" i="54"/>
  <c r="S76" i="10"/>
  <c r="R76" s="1"/>
  <c r="S49"/>
  <c r="W49" s="1"/>
  <c r="S34"/>
  <c r="W34" s="1"/>
  <c r="V49"/>
  <c r="V76"/>
  <c r="X248"/>
  <c r="P75" i="27"/>
  <c r="S75" s="1"/>
  <c r="G75" i="10" s="1"/>
  <c r="A75" i="27"/>
  <c r="U75" s="1"/>
  <c r="B75"/>
  <c r="P34"/>
  <c r="V34" i="10"/>
  <c r="U34" i="27"/>
  <c r="H66" i="22"/>
  <c r="H73"/>
  <c r="H71"/>
  <c r="H76"/>
  <c r="I73"/>
  <c r="H72"/>
  <c r="I71"/>
  <c r="H67"/>
  <c r="I75"/>
  <c r="H74"/>
  <c r="CU128" i="10" l="1"/>
  <c r="CV128"/>
  <c r="CW128" s="1"/>
  <c r="CX128" s="1"/>
  <c r="GV139"/>
  <c r="GW139" s="1"/>
  <c r="GX139" s="1"/>
  <c r="GU139"/>
  <c r="FC121"/>
  <c r="FD121"/>
  <c r="FE121" s="1"/>
  <c r="FF121" s="1"/>
  <c r="CU103"/>
  <c r="CV103"/>
  <c r="CW103" s="1"/>
  <c r="CX103" s="1"/>
  <c r="ER145"/>
  <c r="ES145" s="1"/>
  <c r="ET145" s="1"/>
  <c r="EQ145"/>
  <c r="EJ117"/>
  <c r="EK117" s="1"/>
  <c r="EL117" s="1"/>
  <c r="EI117"/>
  <c r="EB124"/>
  <c r="EC124" s="1"/>
  <c r="ED124" s="1"/>
  <c r="EA124"/>
  <c r="DS83"/>
  <c r="DT83"/>
  <c r="DU83" s="1"/>
  <c r="DV83" s="1"/>
  <c r="CQ90"/>
  <c r="CR90"/>
  <c r="CS90" s="1"/>
  <c r="CT90" s="1"/>
  <c r="CF77"/>
  <c r="CG77" s="1"/>
  <c r="CH77" s="1"/>
  <c r="CE77"/>
  <c r="CM47"/>
  <c r="CN47"/>
  <c r="CO47" s="1"/>
  <c r="CP47" s="1"/>
  <c r="CQ42"/>
  <c r="CR42"/>
  <c r="CS42" s="1"/>
  <c r="CT42" s="1"/>
  <c r="CZ86"/>
  <c r="DA86" s="1"/>
  <c r="DB86" s="1"/>
  <c r="CY86"/>
  <c r="EJ76"/>
  <c r="EK76" s="1"/>
  <c r="EL76" s="1"/>
  <c r="EI76"/>
  <c r="DS7"/>
  <c r="DT7"/>
  <c r="DU7" s="1"/>
  <c r="DV7" s="1"/>
  <c r="DW79"/>
  <c r="DX79"/>
  <c r="DY79" s="1"/>
  <c r="DZ79" s="1"/>
  <c r="CE34"/>
  <c r="CF34"/>
  <c r="CG34" s="1"/>
  <c r="CH34" s="1"/>
  <c r="ER49"/>
  <c r="ES49" s="1"/>
  <c r="ET49" s="1"/>
  <c r="EQ49"/>
  <c r="EQ85"/>
  <c r="ER85"/>
  <c r="ES85" s="1"/>
  <c r="ET85" s="1"/>
  <c r="DS81"/>
  <c r="DT81"/>
  <c r="DU81" s="1"/>
  <c r="DV81" s="1"/>
  <c r="CE84"/>
  <c r="CF84"/>
  <c r="CG84" s="1"/>
  <c r="CH84" s="1"/>
  <c r="EQ30"/>
  <c r="ER30"/>
  <c r="ES30" s="1"/>
  <c r="ET30" s="1"/>
  <c r="CF93"/>
  <c r="CG93" s="1"/>
  <c r="CH93" s="1"/>
  <c r="CE93"/>
  <c r="EE5"/>
  <c r="EF5"/>
  <c r="EG5" s="1"/>
  <c r="EH5" s="1"/>
  <c r="EV44"/>
  <c r="EW44" s="1"/>
  <c r="EX44" s="1"/>
  <c r="EU44"/>
  <c r="FC82"/>
  <c r="FD82"/>
  <c r="FE82" s="1"/>
  <c r="FF82" s="1"/>
  <c r="FC91"/>
  <c r="FD91"/>
  <c r="FE91" s="1"/>
  <c r="FF91" s="1"/>
  <c r="FC22"/>
  <c r="FD22"/>
  <c r="FE22" s="1"/>
  <c r="FF22" s="1"/>
  <c r="FD10"/>
  <c r="FE10" s="1"/>
  <c r="FF10" s="1"/>
  <c r="FC10"/>
  <c r="FD45"/>
  <c r="FE45" s="1"/>
  <c r="FF45" s="1"/>
  <c r="FC45"/>
  <c r="FC70"/>
  <c r="FD70"/>
  <c r="FE70" s="1"/>
  <c r="FF70" s="1"/>
  <c r="FC51"/>
  <c r="FD51"/>
  <c r="FE51" s="1"/>
  <c r="FF51" s="1"/>
  <c r="FC24"/>
  <c r="FD24"/>
  <c r="FE24" s="1"/>
  <c r="FF24" s="1"/>
  <c r="FC80"/>
  <c r="FD80"/>
  <c r="FE80" s="1"/>
  <c r="FF80" s="1"/>
  <c r="FD13"/>
  <c r="FE13" s="1"/>
  <c r="FF13" s="1"/>
  <c r="FC13"/>
  <c r="FD21"/>
  <c r="FE21" s="1"/>
  <c r="FF21" s="1"/>
  <c r="FC21"/>
  <c r="FC64"/>
  <c r="FD64"/>
  <c r="FE64" s="1"/>
  <c r="FF64" s="1"/>
  <c r="FC52"/>
  <c r="FD52"/>
  <c r="FE52" s="1"/>
  <c r="FF52" s="1"/>
  <c r="FC56"/>
  <c r="FD56"/>
  <c r="FE56" s="1"/>
  <c r="FF56" s="1"/>
  <c r="FC89"/>
  <c r="FD89"/>
  <c r="FE89" s="1"/>
  <c r="FF89" s="1"/>
  <c r="W76"/>
  <c r="E151" i="54"/>
  <c r="F149"/>
  <c r="T49" i="10"/>
  <c r="Y49" s="1"/>
  <c r="Z49" s="1"/>
  <c r="AA49" s="1"/>
  <c r="AB49" s="1"/>
  <c r="R49"/>
  <c r="T76"/>
  <c r="Y76" s="1"/>
  <c r="Z76" s="1"/>
  <c r="AA76" s="1"/>
  <c r="AB76" s="1"/>
  <c r="T34"/>
  <c r="Y34" s="1"/>
  <c r="Z34" s="1"/>
  <c r="AA34" s="1"/>
  <c r="AB34" s="1"/>
  <c r="AE34"/>
  <c r="L34"/>
  <c r="M34" s="1"/>
  <c r="R34"/>
  <c r="AE49"/>
  <c r="L49"/>
  <c r="M49" s="1"/>
  <c r="L76"/>
  <c r="M76" s="1"/>
  <c r="AE76"/>
  <c r="S34" i="27"/>
  <c r="G34" i="10" s="1"/>
  <c r="BA211"/>
  <c r="BA210"/>
  <c r="BA209"/>
  <c r="BA208"/>
  <c r="BA207"/>
  <c r="BA206"/>
  <c r="AT205"/>
  <c r="BA205"/>
  <c r="BA204"/>
  <c r="AZ201"/>
  <c r="AX201"/>
  <c r="AX200"/>
  <c r="AT199"/>
  <c r="AX199"/>
  <c r="AZ198"/>
  <c r="BB201" s="1"/>
  <c r="BC201" s="1"/>
  <c r="AX198"/>
  <c r="BC197"/>
  <c r="AX197"/>
  <c r="AT196"/>
  <c r="AX196"/>
  <c r="AZ195"/>
  <c r="AX195"/>
  <c r="AX194"/>
  <c r="AT193"/>
  <c r="AT192" s="1"/>
  <c r="AV193"/>
  <c r="AX193" s="1"/>
  <c r="AZ192"/>
  <c r="AV192"/>
  <c r="AW187"/>
  <c r="AZ187" s="1"/>
  <c r="BA187" s="1"/>
  <c r="AW186"/>
  <c r="AW185"/>
  <c r="AZ185" s="1"/>
  <c r="BA185" s="1"/>
  <c r="AW184"/>
  <c r="G65" i="22"/>
  <c r="DH7" i="21"/>
  <c r="DH17"/>
  <c r="DT7"/>
  <c r="DS7"/>
  <c r="DO7"/>
  <c r="DR7" s="1"/>
  <c r="B25"/>
  <c r="C648"/>
  <c r="D662" s="1"/>
  <c r="EL18"/>
  <c r="EL19"/>
  <c r="EL20"/>
  <c r="EL21"/>
  <c r="EL22"/>
  <c r="EL23"/>
  <c r="EL24"/>
  <c r="EL25"/>
  <c r="EL26"/>
  <c r="EL27"/>
  <c r="EL28"/>
  <c r="EL29"/>
  <c r="EL30"/>
  <c r="EL31"/>
  <c r="EL32"/>
  <c r="EL33"/>
  <c r="EL34"/>
  <c r="EL35"/>
  <c r="EL36"/>
  <c r="EL37"/>
  <c r="EL38"/>
  <c r="EG18"/>
  <c r="EM18"/>
  <c r="O72" i="22"/>
  <c r="C223" i="10"/>
  <c r="C224"/>
  <c r="C222"/>
  <c r="C221"/>
  <c r="M59" i="22"/>
  <c r="C220" i="10"/>
  <c r="C219"/>
  <c r="C218"/>
  <c r="C216"/>
  <c r="E236"/>
  <c r="F236" s="1"/>
  <c r="E237"/>
  <c r="F237" s="1"/>
  <c r="E238"/>
  <c r="F238" s="1"/>
  <c r="E239"/>
  <c r="F239" s="1"/>
  <c r="E240"/>
  <c r="F240" s="1"/>
  <c r="E241"/>
  <c r="F241" s="1"/>
  <c r="N141" i="27"/>
  <c r="O141"/>
  <c r="A143"/>
  <c r="U143" s="1"/>
  <c r="Q23" i="10"/>
  <c r="BW23" s="1"/>
  <c r="BX23" s="1"/>
  <c r="BY23" s="1"/>
  <c r="BZ23" s="1"/>
  <c r="N23"/>
  <c r="AD23"/>
  <c r="AJ23"/>
  <c r="C203"/>
  <c r="C204"/>
  <c r="C205"/>
  <c r="C206"/>
  <c r="C207"/>
  <c r="C208"/>
  <c r="C209"/>
  <c r="C210"/>
  <c r="C211"/>
  <c r="C202"/>
  <c r="AJ3"/>
  <c r="AJ4"/>
  <c r="AJ6"/>
  <c r="AJ7"/>
  <c r="AJ8"/>
  <c r="AJ9"/>
  <c r="AJ10"/>
  <c r="AJ11"/>
  <c r="AJ12"/>
  <c r="AJ13"/>
  <c r="AJ14"/>
  <c r="AJ15"/>
  <c r="AJ16"/>
  <c r="AJ17"/>
  <c r="AJ18"/>
  <c r="AJ19"/>
  <c r="AJ20"/>
  <c r="AJ21"/>
  <c r="AJ22"/>
  <c r="AJ24"/>
  <c r="AJ25"/>
  <c r="AJ26"/>
  <c r="AJ27"/>
  <c r="AJ28"/>
  <c r="AJ29"/>
  <c r="AJ30"/>
  <c r="AJ31"/>
  <c r="AJ32"/>
  <c r="AJ33"/>
  <c r="AJ35"/>
  <c r="AJ36"/>
  <c r="AJ37"/>
  <c r="AJ38"/>
  <c r="AJ39"/>
  <c r="AJ40"/>
  <c r="AJ41"/>
  <c r="AJ42"/>
  <c r="AJ43"/>
  <c r="AJ44"/>
  <c r="AJ45"/>
  <c r="AJ46"/>
  <c r="AJ47"/>
  <c r="AJ48"/>
  <c r="AJ50"/>
  <c r="AJ51"/>
  <c r="AJ52"/>
  <c r="AJ53"/>
  <c r="AJ54"/>
  <c r="AJ55"/>
  <c r="AJ57"/>
  <c r="AJ58"/>
  <c r="AJ59"/>
  <c r="AJ60"/>
  <c r="AJ61"/>
  <c r="AJ62"/>
  <c r="AJ63"/>
  <c r="AJ64"/>
  <c r="AJ65"/>
  <c r="AJ66"/>
  <c r="AJ67"/>
  <c r="AJ68"/>
  <c r="AJ69"/>
  <c r="AJ70"/>
  <c r="AJ71"/>
  <c r="AJ72"/>
  <c r="AJ73"/>
  <c r="AJ74"/>
  <c r="AJ75"/>
  <c r="AJ77"/>
  <c r="AJ78"/>
  <c r="AJ79"/>
  <c r="AJ80"/>
  <c r="AJ81"/>
  <c r="AJ82"/>
  <c r="AJ83"/>
  <c r="AJ84"/>
  <c r="AJ85"/>
  <c r="AJ86"/>
  <c r="AJ87"/>
  <c r="AJ88"/>
  <c r="AJ89"/>
  <c r="AJ90"/>
  <c r="AJ91"/>
  <c r="AJ92"/>
  <c r="AJ94"/>
  <c r="AJ95"/>
  <c r="AJ96"/>
  <c r="AJ97"/>
  <c r="AJ98"/>
  <c r="AJ99"/>
  <c r="AJ100"/>
  <c r="AJ101"/>
  <c r="AJ103"/>
  <c r="AJ104"/>
  <c r="AJ105"/>
  <c r="AJ106"/>
  <c r="AJ107"/>
  <c r="AJ108"/>
  <c r="AJ109"/>
  <c r="AJ110"/>
  <c r="AJ111"/>
  <c r="AJ112"/>
  <c r="AJ113"/>
  <c r="AJ114"/>
  <c r="AJ115"/>
  <c r="AJ116"/>
  <c r="AJ117"/>
  <c r="AJ118"/>
  <c r="AJ119"/>
  <c r="AJ120"/>
  <c r="AJ122"/>
  <c r="AJ123"/>
  <c r="AJ124"/>
  <c r="AJ125"/>
  <c r="AJ126"/>
  <c r="AJ127"/>
  <c r="AJ128"/>
  <c r="AJ129"/>
  <c r="AJ130"/>
  <c r="AJ131"/>
  <c r="AJ132"/>
  <c r="AJ133"/>
  <c r="AJ134"/>
  <c r="AJ135"/>
  <c r="AJ136"/>
  <c r="AJ137"/>
  <c r="AJ138"/>
  <c r="AJ139"/>
  <c r="AJ140"/>
  <c r="AJ141"/>
  <c r="AJ142"/>
  <c r="AJ143"/>
  <c r="AJ144"/>
  <c r="AJ145"/>
  <c r="AJ146"/>
  <c r="AJ2"/>
  <c r="EM117" l="1"/>
  <c r="EN117"/>
  <c r="EO117" s="1"/>
  <c r="EP117" s="1"/>
  <c r="GY139"/>
  <c r="GZ139"/>
  <c r="HA139" s="1"/>
  <c r="HB139" s="1"/>
  <c r="FH121"/>
  <c r="FI121" s="1"/>
  <c r="FJ121" s="1"/>
  <c r="FG121"/>
  <c r="EE124"/>
  <c r="EF124"/>
  <c r="EG124" s="1"/>
  <c r="EH124" s="1"/>
  <c r="EU145"/>
  <c r="EV145"/>
  <c r="EW145" s="1"/>
  <c r="EX145" s="1"/>
  <c r="CZ128"/>
  <c r="DA128" s="1"/>
  <c r="DB128" s="1"/>
  <c r="CY128"/>
  <c r="CZ103"/>
  <c r="DA103" s="1"/>
  <c r="DB103" s="1"/>
  <c r="CY103"/>
  <c r="EJ5"/>
  <c r="EK5" s="1"/>
  <c r="EL5" s="1"/>
  <c r="EI5"/>
  <c r="EU30"/>
  <c r="EV30"/>
  <c r="EW30" s="1"/>
  <c r="EX30" s="1"/>
  <c r="CU42"/>
  <c r="CV42"/>
  <c r="CW42" s="1"/>
  <c r="CX42" s="1"/>
  <c r="EM76"/>
  <c r="EN76"/>
  <c r="EO76" s="1"/>
  <c r="EP76" s="1"/>
  <c r="EU85"/>
  <c r="EV85"/>
  <c r="EW85" s="1"/>
  <c r="EX85" s="1"/>
  <c r="CI34"/>
  <c r="CJ34"/>
  <c r="CK34" s="1"/>
  <c r="CL34" s="1"/>
  <c r="DW7"/>
  <c r="DX7"/>
  <c r="DY7" s="1"/>
  <c r="DZ7" s="1"/>
  <c r="CI77"/>
  <c r="CJ77"/>
  <c r="CK77" s="1"/>
  <c r="CL77" s="1"/>
  <c r="CB23"/>
  <c r="CC23" s="1"/>
  <c r="CD23" s="1"/>
  <c r="CA23"/>
  <c r="CI93"/>
  <c r="CJ93"/>
  <c r="CK93" s="1"/>
  <c r="CL93" s="1"/>
  <c r="CI84"/>
  <c r="CJ84"/>
  <c r="CK84" s="1"/>
  <c r="CL84" s="1"/>
  <c r="EU49"/>
  <c r="EV49"/>
  <c r="EW49" s="1"/>
  <c r="EX49" s="1"/>
  <c r="DC86"/>
  <c r="DD86"/>
  <c r="DE86" s="1"/>
  <c r="DF86" s="1"/>
  <c r="CQ47"/>
  <c r="CR47"/>
  <c r="CS47" s="1"/>
  <c r="CT47" s="1"/>
  <c r="CU90"/>
  <c r="CV90"/>
  <c r="CW90" s="1"/>
  <c r="CX90" s="1"/>
  <c r="DW83"/>
  <c r="DX83"/>
  <c r="DY83" s="1"/>
  <c r="DZ83" s="1"/>
  <c r="EY44"/>
  <c r="EZ44"/>
  <c r="FA44" s="1"/>
  <c r="FB44" s="1"/>
  <c r="DX81"/>
  <c r="DY81" s="1"/>
  <c r="DZ81" s="1"/>
  <c r="DW81"/>
  <c r="EA79"/>
  <c r="EB79"/>
  <c r="EC79" s="1"/>
  <c r="ED79" s="1"/>
  <c r="FG24"/>
  <c r="FH24"/>
  <c r="FI24" s="1"/>
  <c r="FJ24" s="1"/>
  <c r="FG51"/>
  <c r="FH51"/>
  <c r="FI51" s="1"/>
  <c r="FJ51" s="1"/>
  <c r="FH10"/>
  <c r="FI10" s="1"/>
  <c r="FJ10" s="1"/>
  <c r="FG10"/>
  <c r="FG22"/>
  <c r="FH22"/>
  <c r="FI22" s="1"/>
  <c r="FJ22" s="1"/>
  <c r="FG52"/>
  <c r="FH52"/>
  <c r="FI52" s="1"/>
  <c r="FJ52" s="1"/>
  <c r="FG70"/>
  <c r="FH70"/>
  <c r="FI70" s="1"/>
  <c r="FJ70" s="1"/>
  <c r="FG91"/>
  <c r="FH91"/>
  <c r="FI91" s="1"/>
  <c r="FJ91" s="1"/>
  <c r="FG82"/>
  <c r="FH82"/>
  <c r="FI82" s="1"/>
  <c r="FJ82" s="1"/>
  <c r="FG89"/>
  <c r="FH89"/>
  <c r="FI89" s="1"/>
  <c r="FJ89" s="1"/>
  <c r="FG56"/>
  <c r="FH56"/>
  <c r="FI56" s="1"/>
  <c r="FJ56" s="1"/>
  <c r="FG64"/>
  <c r="FH64"/>
  <c r="FI64" s="1"/>
  <c r="FJ64" s="1"/>
  <c r="FH21"/>
  <c r="FI21" s="1"/>
  <c r="FJ21" s="1"/>
  <c r="FG21"/>
  <c r="FH13"/>
  <c r="FI13" s="1"/>
  <c r="FJ13" s="1"/>
  <c r="FG13"/>
  <c r="FG80"/>
  <c r="FH80"/>
  <c r="FI80" s="1"/>
  <c r="FJ80" s="1"/>
  <c r="FH45"/>
  <c r="FI45" s="1"/>
  <c r="FJ45" s="1"/>
  <c r="FG45"/>
  <c r="F150" i="54"/>
  <c r="E152"/>
  <c r="F151" s="1"/>
  <c r="AY186" i="10"/>
  <c r="AX186" s="1"/>
  <c r="AZ186"/>
  <c r="BA186" s="1"/>
  <c r="AY184"/>
  <c r="AZ184"/>
  <c r="BA184" s="1"/>
  <c r="DP7" i="21"/>
  <c r="DQ7" s="1"/>
  <c r="BB198" i="10"/>
  <c r="BC198" s="1"/>
  <c r="AY185"/>
  <c r="BB199"/>
  <c r="BC199" s="1"/>
  <c r="BB200"/>
  <c r="BC200" s="1"/>
  <c r="AY187"/>
  <c r="F242"/>
  <c r="DN7" i="21"/>
  <c r="S23" i="10"/>
  <c r="T23" s="1"/>
  <c r="Y23" s="1"/>
  <c r="A141" i="27"/>
  <c r="B141"/>
  <c r="B143"/>
  <c r="P141"/>
  <c r="B142"/>
  <c r="A142"/>
  <c r="U142" s="1"/>
  <c r="V23" i="10"/>
  <c r="L23"/>
  <c r="M23" s="1"/>
  <c r="AE23"/>
  <c r="C217"/>
  <c r="C213"/>
  <c r="D220" s="1"/>
  <c r="G4" i="21"/>
  <c r="G5"/>
  <c r="I1"/>
  <c r="O73" i="22"/>
  <c r="O70"/>
  <c r="O69"/>
  <c r="O75" s="1"/>
  <c r="CP7" i="21"/>
  <c r="CR7" s="1"/>
  <c r="DB7"/>
  <c r="DA7"/>
  <c r="CW7"/>
  <c r="CZ7" s="1"/>
  <c r="BX7"/>
  <c r="CJ7"/>
  <c r="CI7"/>
  <c r="CE7"/>
  <c r="CH7" s="1"/>
  <c r="EY145" i="10" l="1"/>
  <c r="EZ145"/>
  <c r="FA145" s="1"/>
  <c r="FB145" s="1"/>
  <c r="ER117"/>
  <c r="ES117" s="1"/>
  <c r="ET117" s="1"/>
  <c r="EQ117"/>
  <c r="FL121"/>
  <c r="FM121" s="1"/>
  <c r="FN121" s="1"/>
  <c r="FK121"/>
  <c r="DC103"/>
  <c r="DD103"/>
  <c r="DE103" s="1"/>
  <c r="DF103" s="1"/>
  <c r="HD139"/>
  <c r="HE139" s="1"/>
  <c r="HF139" s="1"/>
  <c r="HC139"/>
  <c r="DD128"/>
  <c r="DE128" s="1"/>
  <c r="DF128" s="1"/>
  <c r="DC128"/>
  <c r="EI124"/>
  <c r="EJ124"/>
  <c r="EK124" s="1"/>
  <c r="EL124" s="1"/>
  <c r="EB81"/>
  <c r="EC81" s="1"/>
  <c r="ED81" s="1"/>
  <c r="EA81"/>
  <c r="FD44"/>
  <c r="FE44" s="1"/>
  <c r="FF44" s="1"/>
  <c r="FC44"/>
  <c r="DH86"/>
  <c r="DI86" s="1"/>
  <c r="DJ86" s="1"/>
  <c r="DG86"/>
  <c r="CE23"/>
  <c r="CF23"/>
  <c r="CG23" s="1"/>
  <c r="CH23" s="1"/>
  <c r="EY30"/>
  <c r="EZ30"/>
  <c r="FA30" s="1"/>
  <c r="FB30" s="1"/>
  <c r="EF79"/>
  <c r="EG79" s="1"/>
  <c r="EH79" s="1"/>
  <c r="EE79"/>
  <c r="CZ90"/>
  <c r="DA90" s="1"/>
  <c r="DB90" s="1"/>
  <c r="CY90"/>
  <c r="CM84"/>
  <c r="CN84"/>
  <c r="CO84" s="1"/>
  <c r="CP84" s="1"/>
  <c r="EA7"/>
  <c r="EB7"/>
  <c r="EC7" s="1"/>
  <c r="ED7" s="1"/>
  <c r="EY85"/>
  <c r="EZ85"/>
  <c r="FA85" s="1"/>
  <c r="FB85" s="1"/>
  <c r="EQ76"/>
  <c r="ER76"/>
  <c r="ES76" s="1"/>
  <c r="ET76" s="1"/>
  <c r="CZ42"/>
  <c r="DA42" s="1"/>
  <c r="DB42" s="1"/>
  <c r="CY42"/>
  <c r="EN5"/>
  <c r="EO5" s="1"/>
  <c r="EP5" s="1"/>
  <c r="EM5"/>
  <c r="EA83"/>
  <c r="EB83"/>
  <c r="EC83" s="1"/>
  <c r="ED83" s="1"/>
  <c r="CV47"/>
  <c r="CW47" s="1"/>
  <c r="CX47" s="1"/>
  <c r="CU47"/>
  <c r="EY49"/>
  <c r="EZ49"/>
  <c r="FA49" s="1"/>
  <c r="FB49" s="1"/>
  <c r="CN93"/>
  <c r="CO93" s="1"/>
  <c r="CP93" s="1"/>
  <c r="CM93"/>
  <c r="CM77"/>
  <c r="CN77"/>
  <c r="CO77" s="1"/>
  <c r="CP77" s="1"/>
  <c r="CM34"/>
  <c r="CN34"/>
  <c r="CO34" s="1"/>
  <c r="CP34" s="1"/>
  <c r="FK80"/>
  <c r="FL80"/>
  <c r="FM80" s="1"/>
  <c r="FN80" s="1"/>
  <c r="FK70"/>
  <c r="FL70"/>
  <c r="FM70" s="1"/>
  <c r="FN70" s="1"/>
  <c r="FL13"/>
  <c r="FM13" s="1"/>
  <c r="FN13" s="1"/>
  <c r="FK13"/>
  <c r="FL21"/>
  <c r="FM21" s="1"/>
  <c r="FN21" s="1"/>
  <c r="FK21"/>
  <c r="FK56"/>
  <c r="FL56"/>
  <c r="FM56" s="1"/>
  <c r="FN56" s="1"/>
  <c r="FK82"/>
  <c r="FL82"/>
  <c r="FM82" s="1"/>
  <c r="FN82" s="1"/>
  <c r="FK91"/>
  <c r="FL91"/>
  <c r="FM91" s="1"/>
  <c r="FN91" s="1"/>
  <c r="FK24"/>
  <c r="FL24"/>
  <c r="FM24" s="1"/>
  <c r="FN24" s="1"/>
  <c r="FL45"/>
  <c r="FM45" s="1"/>
  <c r="FN45" s="1"/>
  <c r="FK45"/>
  <c r="FK64"/>
  <c r="FL64"/>
  <c r="FM64" s="1"/>
  <c r="FN64" s="1"/>
  <c r="FK89"/>
  <c r="FL89"/>
  <c r="FM89" s="1"/>
  <c r="FN89" s="1"/>
  <c r="FK52"/>
  <c r="FL52"/>
  <c r="FM52" s="1"/>
  <c r="FN52" s="1"/>
  <c r="FK22"/>
  <c r="FL22"/>
  <c r="FM22" s="1"/>
  <c r="FN22" s="1"/>
  <c r="FL10"/>
  <c r="FM10" s="1"/>
  <c r="FN10" s="1"/>
  <c r="FK10"/>
  <c r="FK51"/>
  <c r="FL51"/>
  <c r="FM51" s="1"/>
  <c r="FN51" s="1"/>
  <c r="E153" i="54"/>
  <c r="F152" s="1"/>
  <c r="BZ7" i="21"/>
  <c r="Z23" i="10"/>
  <c r="AA23" s="1"/>
  <c r="AB23" s="1"/>
  <c r="AX187"/>
  <c r="AX185"/>
  <c r="AX184"/>
  <c r="R23"/>
  <c r="W23"/>
  <c r="D223"/>
  <c r="D224"/>
  <c r="D217"/>
  <c r="D221"/>
  <c r="D222"/>
  <c r="D219"/>
  <c r="D218"/>
  <c r="D216"/>
  <c r="S141" i="27"/>
  <c r="G141" i="10" s="1"/>
  <c r="D203"/>
  <c r="D207"/>
  <c r="D211"/>
  <c r="D204"/>
  <c r="D208"/>
  <c r="D202"/>
  <c r="D205"/>
  <c r="D209"/>
  <c r="D206"/>
  <c r="D210"/>
  <c r="CV7" i="21"/>
  <c r="CX7"/>
  <c r="CY7" s="1"/>
  <c r="CF7"/>
  <c r="CG7" s="1"/>
  <c r="CD7"/>
  <c r="BW97" i="10"/>
  <c r="BX97" s="1"/>
  <c r="BY97" s="1"/>
  <c r="BZ97" s="1"/>
  <c r="B58" i="22"/>
  <c r="P94"/>
  <c r="EM124" i="10" l="1"/>
  <c r="EN124"/>
  <c r="EO124" s="1"/>
  <c r="EP124" s="1"/>
  <c r="HG139"/>
  <c r="HH139"/>
  <c r="HI139" s="1"/>
  <c r="HJ139" s="1"/>
  <c r="FC145"/>
  <c r="FD145"/>
  <c r="FE145" s="1"/>
  <c r="FF145" s="1"/>
  <c r="DH103"/>
  <c r="DI103" s="1"/>
  <c r="DJ103" s="1"/>
  <c r="DG103"/>
  <c r="DG128"/>
  <c r="DH128"/>
  <c r="DI128" s="1"/>
  <c r="DJ128" s="1"/>
  <c r="EU117"/>
  <c r="EV117"/>
  <c r="EW117" s="1"/>
  <c r="EX117" s="1"/>
  <c r="FP121"/>
  <c r="FQ121" s="1"/>
  <c r="FR121" s="1"/>
  <c r="FO121"/>
  <c r="EE7"/>
  <c r="EF7"/>
  <c r="EG7" s="1"/>
  <c r="EH7" s="1"/>
  <c r="CR34"/>
  <c r="CS34" s="1"/>
  <c r="CT34" s="1"/>
  <c r="CQ34"/>
  <c r="CB97"/>
  <c r="CC97" s="1"/>
  <c r="CD97" s="1"/>
  <c r="CA97"/>
  <c r="DD42"/>
  <c r="DE42" s="1"/>
  <c r="DF42" s="1"/>
  <c r="DC42"/>
  <c r="FC30"/>
  <c r="FD30"/>
  <c r="FE30" s="1"/>
  <c r="FF30" s="1"/>
  <c r="CQ93"/>
  <c r="CR93"/>
  <c r="CS93" s="1"/>
  <c r="CT93" s="1"/>
  <c r="CY47"/>
  <c r="CZ47"/>
  <c r="DA47" s="1"/>
  <c r="DB47" s="1"/>
  <c r="FC85"/>
  <c r="FD85"/>
  <c r="FE85" s="1"/>
  <c r="FF85" s="1"/>
  <c r="DC90"/>
  <c r="DD90"/>
  <c r="DE90" s="1"/>
  <c r="DF90" s="1"/>
  <c r="FG44"/>
  <c r="FH44"/>
  <c r="FI44" s="1"/>
  <c r="FJ44" s="1"/>
  <c r="EF81"/>
  <c r="EG81" s="1"/>
  <c r="EH81" s="1"/>
  <c r="EE81"/>
  <c r="CQ77"/>
  <c r="CR77"/>
  <c r="CS77" s="1"/>
  <c r="CT77" s="1"/>
  <c r="FD49"/>
  <c r="FE49" s="1"/>
  <c r="FF49" s="1"/>
  <c r="FC49"/>
  <c r="ER5"/>
  <c r="ES5" s="1"/>
  <c r="ET5" s="1"/>
  <c r="EQ5"/>
  <c r="CQ84"/>
  <c r="CR84"/>
  <c r="CS84" s="1"/>
  <c r="CT84" s="1"/>
  <c r="CI23"/>
  <c r="CJ23"/>
  <c r="CK23" s="1"/>
  <c r="CL23" s="1"/>
  <c r="EE83"/>
  <c r="EF83"/>
  <c r="EG83" s="1"/>
  <c r="EH83" s="1"/>
  <c r="EU76"/>
  <c r="EV76"/>
  <c r="EW76" s="1"/>
  <c r="EX76" s="1"/>
  <c r="EJ79"/>
  <c r="EK79" s="1"/>
  <c r="EL79" s="1"/>
  <c r="EI79"/>
  <c r="DL86"/>
  <c r="DM86" s="1"/>
  <c r="DN86" s="1"/>
  <c r="DK86"/>
  <c r="FP10"/>
  <c r="FQ10" s="1"/>
  <c r="FR10" s="1"/>
  <c r="FO10"/>
  <c r="FO56"/>
  <c r="FP56"/>
  <c r="FQ56" s="1"/>
  <c r="FR56" s="1"/>
  <c r="FO22"/>
  <c r="FP22"/>
  <c r="FQ22" s="1"/>
  <c r="FR22" s="1"/>
  <c r="FO52"/>
  <c r="FP52"/>
  <c r="FQ52" s="1"/>
  <c r="FR52" s="1"/>
  <c r="FO89"/>
  <c r="FP89"/>
  <c r="FQ89" s="1"/>
  <c r="FR89" s="1"/>
  <c r="FO64"/>
  <c r="FP64"/>
  <c r="FQ64" s="1"/>
  <c r="FR64" s="1"/>
  <c r="FP45"/>
  <c r="FQ45" s="1"/>
  <c r="FR45" s="1"/>
  <c r="FO45"/>
  <c r="FO80"/>
  <c r="FP80"/>
  <c r="FQ80" s="1"/>
  <c r="FR80" s="1"/>
  <c r="FO51"/>
  <c r="FP51"/>
  <c r="FQ51" s="1"/>
  <c r="FR51" s="1"/>
  <c r="FO24"/>
  <c r="FP24"/>
  <c r="FQ24" s="1"/>
  <c r="FR24" s="1"/>
  <c r="FO91"/>
  <c r="FP91"/>
  <c r="FQ91" s="1"/>
  <c r="FR91" s="1"/>
  <c r="FO82"/>
  <c r="FP82"/>
  <c r="FQ82" s="1"/>
  <c r="FR82" s="1"/>
  <c r="FP21"/>
  <c r="FQ21" s="1"/>
  <c r="FR21" s="1"/>
  <c r="FO21"/>
  <c r="FP13"/>
  <c r="FQ13" s="1"/>
  <c r="FR13" s="1"/>
  <c r="FO13"/>
  <c r="FO70"/>
  <c r="FP70"/>
  <c r="FQ70" s="1"/>
  <c r="FR70" s="1"/>
  <c r="D213"/>
  <c r="E154" i="54"/>
  <c r="F153" s="1"/>
  <c r="Q94" i="22" a="1"/>
  <c r="Q94" s="1"/>
  <c r="EQ124" i="10" l="1"/>
  <c r="ER124"/>
  <c r="ES124" s="1"/>
  <c r="ET124" s="1"/>
  <c r="EZ117"/>
  <c r="FA117" s="1"/>
  <c r="FB117" s="1"/>
  <c r="EY117"/>
  <c r="FG145"/>
  <c r="FH145"/>
  <c r="FI145" s="1"/>
  <c r="FJ145" s="1"/>
  <c r="DL128"/>
  <c r="DM128" s="1"/>
  <c r="DN128" s="1"/>
  <c r="DK128"/>
  <c r="DL103"/>
  <c r="DM103" s="1"/>
  <c r="DN103" s="1"/>
  <c r="DK103"/>
  <c r="HK139"/>
  <c r="HL139"/>
  <c r="HM139" s="1"/>
  <c r="HN139" s="1"/>
  <c r="FT121"/>
  <c r="FU121" s="1"/>
  <c r="FV121" s="1"/>
  <c r="FS121"/>
  <c r="CU34"/>
  <c r="CV34"/>
  <c r="CW34" s="1"/>
  <c r="CX34" s="1"/>
  <c r="EM79"/>
  <c r="EN79"/>
  <c r="EO79" s="1"/>
  <c r="EP79" s="1"/>
  <c r="FH49"/>
  <c r="FI49" s="1"/>
  <c r="FJ49" s="1"/>
  <c r="FG49"/>
  <c r="EY76"/>
  <c r="EZ76"/>
  <c r="FA76" s="1"/>
  <c r="FB76" s="1"/>
  <c r="CM23"/>
  <c r="CN23"/>
  <c r="CO23" s="1"/>
  <c r="CP23" s="1"/>
  <c r="CV77"/>
  <c r="CW77" s="1"/>
  <c r="CX77" s="1"/>
  <c r="CU77"/>
  <c r="DH90"/>
  <c r="DI90" s="1"/>
  <c r="DJ90" s="1"/>
  <c r="DG90"/>
  <c r="CU93"/>
  <c r="CV93"/>
  <c r="CW93" s="1"/>
  <c r="CX93" s="1"/>
  <c r="DG42"/>
  <c r="DH42"/>
  <c r="DI42" s="1"/>
  <c r="DJ42" s="1"/>
  <c r="EI83"/>
  <c r="EJ83"/>
  <c r="EK83" s="1"/>
  <c r="EL83" s="1"/>
  <c r="CV84"/>
  <c r="CW84" s="1"/>
  <c r="CX84" s="1"/>
  <c r="CU84"/>
  <c r="FL44"/>
  <c r="FM44" s="1"/>
  <c r="FN44" s="1"/>
  <c r="FK44"/>
  <c r="FG85"/>
  <c r="FH85"/>
  <c r="FI85" s="1"/>
  <c r="FJ85" s="1"/>
  <c r="DC47"/>
  <c r="DD47"/>
  <c r="DE47" s="1"/>
  <c r="DF47" s="1"/>
  <c r="CE97"/>
  <c r="CF97"/>
  <c r="CG97" s="1"/>
  <c r="CH97" s="1"/>
  <c r="EJ7"/>
  <c r="EK7" s="1"/>
  <c r="EL7" s="1"/>
  <c r="EI7"/>
  <c r="DO86"/>
  <c r="DP86"/>
  <c r="DQ86" s="1"/>
  <c r="DR86" s="1"/>
  <c r="EV5"/>
  <c r="EW5" s="1"/>
  <c r="EX5" s="1"/>
  <c r="EU5"/>
  <c r="EJ81"/>
  <c r="EK81" s="1"/>
  <c r="EL81" s="1"/>
  <c r="EI81"/>
  <c r="FH30"/>
  <c r="FI30" s="1"/>
  <c r="FJ30" s="1"/>
  <c r="FG30"/>
  <c r="FS24"/>
  <c r="FT24"/>
  <c r="FU24" s="1"/>
  <c r="FV24" s="1"/>
  <c r="FS80"/>
  <c r="FT80"/>
  <c r="FU80" s="1"/>
  <c r="FV80" s="1"/>
  <c r="FT45"/>
  <c r="FU45" s="1"/>
  <c r="FV45" s="1"/>
  <c r="FS45"/>
  <c r="FT10"/>
  <c r="FU10" s="1"/>
  <c r="FV10" s="1"/>
  <c r="FS10"/>
  <c r="FS70"/>
  <c r="FT70"/>
  <c r="FU70" s="1"/>
  <c r="FV70" s="1"/>
  <c r="FT13"/>
  <c r="FU13" s="1"/>
  <c r="FV13" s="1"/>
  <c r="FS13"/>
  <c r="FT21"/>
  <c r="FU21" s="1"/>
  <c r="FV21" s="1"/>
  <c r="FS21"/>
  <c r="FS91"/>
  <c r="FT91"/>
  <c r="FU91" s="1"/>
  <c r="FV91" s="1"/>
  <c r="FS51"/>
  <c r="FT51"/>
  <c r="FU51" s="1"/>
  <c r="FV51" s="1"/>
  <c r="FS64"/>
  <c r="FT64"/>
  <c r="FU64" s="1"/>
  <c r="FV64" s="1"/>
  <c r="FS56"/>
  <c r="FT56"/>
  <c r="FU56" s="1"/>
  <c r="FV56" s="1"/>
  <c r="FS82"/>
  <c r="FT82"/>
  <c r="FU82" s="1"/>
  <c r="FV82" s="1"/>
  <c r="FS89"/>
  <c r="FT89"/>
  <c r="FU89" s="1"/>
  <c r="FV89" s="1"/>
  <c r="FS52"/>
  <c r="FT52"/>
  <c r="FU52" s="1"/>
  <c r="FV52" s="1"/>
  <c r="FS22"/>
  <c r="FT22"/>
  <c r="FU22" s="1"/>
  <c r="FV22" s="1"/>
  <c r="E155" i="54"/>
  <c r="F154" s="1"/>
  <c r="R94" i="22"/>
  <c r="S90" s="1"/>
  <c r="X242" i="10"/>
  <c r="E136" i="22"/>
  <c r="E137"/>
  <c r="E135"/>
  <c r="FC117" i="10" l="1"/>
  <c r="FD117"/>
  <c r="FE117" s="1"/>
  <c r="FF117" s="1"/>
  <c r="FK145"/>
  <c r="FL145"/>
  <c r="FM145" s="1"/>
  <c r="FN145" s="1"/>
  <c r="EV124"/>
  <c r="EW124" s="1"/>
  <c r="EX124" s="1"/>
  <c r="EU124"/>
  <c r="FW121"/>
  <c r="FX121"/>
  <c r="FY121" s="1"/>
  <c r="FZ121" s="1"/>
  <c r="DP103"/>
  <c r="DQ103" s="1"/>
  <c r="DR103" s="1"/>
  <c r="DO103"/>
  <c r="HP139"/>
  <c r="HQ139" s="1"/>
  <c r="HR139" s="1"/>
  <c r="HO139"/>
  <c r="DO128"/>
  <c r="DP128"/>
  <c r="DQ128" s="1"/>
  <c r="DR128" s="1"/>
  <c r="DL42"/>
  <c r="DM42" s="1"/>
  <c r="DN42" s="1"/>
  <c r="DK42"/>
  <c r="FC76"/>
  <c r="FD76"/>
  <c r="FE76" s="1"/>
  <c r="FF76" s="1"/>
  <c r="FK30"/>
  <c r="FL30"/>
  <c r="FM30" s="1"/>
  <c r="FN30" s="1"/>
  <c r="EZ5"/>
  <c r="FA5" s="1"/>
  <c r="FB5" s="1"/>
  <c r="EY5"/>
  <c r="EN7"/>
  <c r="EO7" s="1"/>
  <c r="EP7" s="1"/>
  <c r="EM7"/>
  <c r="DH47"/>
  <c r="DI47" s="1"/>
  <c r="DJ47" s="1"/>
  <c r="DG47"/>
  <c r="CZ84"/>
  <c r="DA84" s="1"/>
  <c r="DB84" s="1"/>
  <c r="CY84"/>
  <c r="CY77"/>
  <c r="CZ77"/>
  <c r="DA77" s="1"/>
  <c r="DB77" s="1"/>
  <c r="FK49"/>
  <c r="FL49"/>
  <c r="FM49" s="1"/>
  <c r="FN49" s="1"/>
  <c r="DS86"/>
  <c r="DT86"/>
  <c r="DU86" s="1"/>
  <c r="DV86" s="1"/>
  <c r="FO44"/>
  <c r="FP44"/>
  <c r="FQ44" s="1"/>
  <c r="FR44" s="1"/>
  <c r="EN83"/>
  <c r="EO83" s="1"/>
  <c r="EP83" s="1"/>
  <c r="EM83"/>
  <c r="CY93"/>
  <c r="CZ93"/>
  <c r="DA93" s="1"/>
  <c r="DB93" s="1"/>
  <c r="CR23"/>
  <c r="CS23" s="1"/>
  <c r="CT23" s="1"/>
  <c r="CQ23"/>
  <c r="EQ79"/>
  <c r="ER79"/>
  <c r="ES79" s="1"/>
  <c r="ET79" s="1"/>
  <c r="CY34"/>
  <c r="CZ34"/>
  <c r="DA34" s="1"/>
  <c r="DB34" s="1"/>
  <c r="EN81"/>
  <c r="EO81" s="1"/>
  <c r="EP81" s="1"/>
  <c r="EM81"/>
  <c r="CI97"/>
  <c r="CJ97"/>
  <c r="CK97" s="1"/>
  <c r="CL97" s="1"/>
  <c r="FK85"/>
  <c r="FL85"/>
  <c r="FM85" s="1"/>
  <c r="FN85" s="1"/>
  <c r="DK90"/>
  <c r="DL90"/>
  <c r="DM90" s="1"/>
  <c r="DN90" s="1"/>
  <c r="FW80"/>
  <c r="FX80"/>
  <c r="FY80" s="1"/>
  <c r="FZ80" s="1"/>
  <c r="FW89"/>
  <c r="FX89"/>
  <c r="FY89" s="1"/>
  <c r="FZ89" s="1"/>
  <c r="FW82"/>
  <c r="FX82"/>
  <c r="FY82" s="1"/>
  <c r="FZ82" s="1"/>
  <c r="FW91"/>
  <c r="FX91"/>
  <c r="FY91" s="1"/>
  <c r="FZ91" s="1"/>
  <c r="FX13"/>
  <c r="FY13" s="1"/>
  <c r="FZ13" s="1"/>
  <c r="FW13"/>
  <c r="FX10"/>
  <c r="FY10" s="1"/>
  <c r="FZ10" s="1"/>
  <c r="FW10"/>
  <c r="FW24"/>
  <c r="FX24"/>
  <c r="FY24" s="1"/>
  <c r="FZ24" s="1"/>
  <c r="FW56"/>
  <c r="FX56"/>
  <c r="FY56" s="1"/>
  <c r="FZ56" s="1"/>
  <c r="FW64"/>
  <c r="FX64"/>
  <c r="FY64" s="1"/>
  <c r="FZ64" s="1"/>
  <c r="FW51"/>
  <c r="FX51"/>
  <c r="FY51" s="1"/>
  <c r="FZ51" s="1"/>
  <c r="FW22"/>
  <c r="FX22"/>
  <c r="FY22" s="1"/>
  <c r="FZ22" s="1"/>
  <c r="FW52"/>
  <c r="FX52"/>
  <c r="FY52" s="1"/>
  <c r="FZ52" s="1"/>
  <c r="FX21"/>
  <c r="FY21" s="1"/>
  <c r="FZ21" s="1"/>
  <c r="FW21"/>
  <c r="FW70"/>
  <c r="FX70"/>
  <c r="FY70" s="1"/>
  <c r="FZ70" s="1"/>
  <c r="FX45"/>
  <c r="FY45" s="1"/>
  <c r="FZ45" s="1"/>
  <c r="FW45"/>
  <c r="E156" i="54"/>
  <c r="F155" s="1"/>
  <c r="X208" i="10"/>
  <c r="G83" i="22"/>
  <c r="I83" s="1"/>
  <c r="P75"/>
  <c r="F92"/>
  <c r="DY10" i="21"/>
  <c r="DY11"/>
  <c r="DY12"/>
  <c r="DY13"/>
  <c r="DY14"/>
  <c r="DY15"/>
  <c r="DY16"/>
  <c r="DY17"/>
  <c r="DY18"/>
  <c r="DY19"/>
  <c r="DY20"/>
  <c r="DY21"/>
  <c r="DY22"/>
  <c r="DY23"/>
  <c r="DY24"/>
  <c r="DY25"/>
  <c r="DY26"/>
  <c r="DY27"/>
  <c r="DY28"/>
  <c r="DY29"/>
  <c r="DY30"/>
  <c r="DY31"/>
  <c r="DY32"/>
  <c r="DY33"/>
  <c r="DY34"/>
  <c r="DY35"/>
  <c r="DY36"/>
  <c r="Q129" i="10"/>
  <c r="BW129" s="1"/>
  <c r="BX129" s="1"/>
  <c r="BY129" s="1"/>
  <c r="BZ129" s="1"/>
  <c r="DS128" l="1"/>
  <c r="DT128"/>
  <c r="DU128" s="1"/>
  <c r="DV128" s="1"/>
  <c r="GA121"/>
  <c r="GB121"/>
  <c r="GC121" s="1"/>
  <c r="GD121" s="1"/>
  <c r="CA129"/>
  <c r="CB129"/>
  <c r="CC129" s="1"/>
  <c r="CD129" s="1"/>
  <c r="DT103"/>
  <c r="DU103" s="1"/>
  <c r="DV103" s="1"/>
  <c r="DS103"/>
  <c r="EZ124"/>
  <c r="FA124" s="1"/>
  <c r="FB124" s="1"/>
  <c r="EY124"/>
  <c r="HT139"/>
  <c r="HU139" s="1"/>
  <c r="HV139" s="1"/>
  <c r="HS139"/>
  <c r="FO145"/>
  <c r="FP145"/>
  <c r="FQ145" s="1"/>
  <c r="FR145" s="1"/>
  <c r="FG117"/>
  <c r="FH117"/>
  <c r="FI117" s="1"/>
  <c r="FJ117" s="1"/>
  <c r="H92" i="22"/>
  <c r="DK47" i="10"/>
  <c r="DL47"/>
  <c r="DM47" s="1"/>
  <c r="DN47" s="1"/>
  <c r="FD5"/>
  <c r="FE5" s="1"/>
  <c r="FF5" s="1"/>
  <c r="FC5"/>
  <c r="FP85"/>
  <c r="FQ85" s="1"/>
  <c r="FR85" s="1"/>
  <c r="FO85"/>
  <c r="DC34"/>
  <c r="DD34"/>
  <c r="DE34" s="1"/>
  <c r="DF34" s="1"/>
  <c r="DW86"/>
  <c r="DX86"/>
  <c r="DY86" s="1"/>
  <c r="DZ86" s="1"/>
  <c r="DD77"/>
  <c r="DE77" s="1"/>
  <c r="DF77" s="1"/>
  <c r="DC77"/>
  <c r="FP30"/>
  <c r="FQ30" s="1"/>
  <c r="FR30" s="1"/>
  <c r="FO30"/>
  <c r="DP90"/>
  <c r="DQ90" s="1"/>
  <c r="DR90" s="1"/>
  <c r="DO90"/>
  <c r="EQ81"/>
  <c r="ER81"/>
  <c r="ES81" s="1"/>
  <c r="ET81" s="1"/>
  <c r="CU23"/>
  <c r="CV23"/>
  <c r="CW23" s="1"/>
  <c r="CX23" s="1"/>
  <c r="ER83"/>
  <c r="ES83" s="1"/>
  <c r="ET83" s="1"/>
  <c r="EQ83"/>
  <c r="DC84"/>
  <c r="DD84"/>
  <c r="DE84" s="1"/>
  <c r="DF84" s="1"/>
  <c r="ER7"/>
  <c r="ES7" s="1"/>
  <c r="ET7" s="1"/>
  <c r="EQ7"/>
  <c r="DO42"/>
  <c r="DP42"/>
  <c r="DQ42" s="1"/>
  <c r="DR42" s="1"/>
  <c r="CM97"/>
  <c r="CN97"/>
  <c r="CO97" s="1"/>
  <c r="CP97" s="1"/>
  <c r="EU79"/>
  <c r="EV79"/>
  <c r="EW79" s="1"/>
  <c r="EX79" s="1"/>
  <c r="DD93"/>
  <c r="DE93" s="1"/>
  <c r="DF93" s="1"/>
  <c r="DC93"/>
  <c r="FT44"/>
  <c r="FU44" s="1"/>
  <c r="FV44" s="1"/>
  <c r="FS44"/>
  <c r="FP49"/>
  <c r="FQ49" s="1"/>
  <c r="FR49" s="1"/>
  <c r="FO49"/>
  <c r="FG76"/>
  <c r="FH76"/>
  <c r="FI76" s="1"/>
  <c r="FJ76" s="1"/>
  <c r="GA70"/>
  <c r="GB70"/>
  <c r="GC70" s="1"/>
  <c r="GD70" s="1"/>
  <c r="GA22"/>
  <c r="GB22"/>
  <c r="GC22" s="1"/>
  <c r="GD22" s="1"/>
  <c r="GA91"/>
  <c r="GB91"/>
  <c r="GC91" s="1"/>
  <c r="GD91" s="1"/>
  <c r="GA80"/>
  <c r="GB80"/>
  <c r="GC80" s="1"/>
  <c r="GD80" s="1"/>
  <c r="GB10"/>
  <c r="GC10" s="1"/>
  <c r="GD10" s="1"/>
  <c r="GA10"/>
  <c r="GB45"/>
  <c r="GC45" s="1"/>
  <c r="GD45" s="1"/>
  <c r="GA45"/>
  <c r="GB21"/>
  <c r="GC21" s="1"/>
  <c r="GD21" s="1"/>
  <c r="GA21"/>
  <c r="GA52"/>
  <c r="GB52"/>
  <c r="GC52" s="1"/>
  <c r="GD52" s="1"/>
  <c r="GA51"/>
  <c r="GB51"/>
  <c r="GC51" s="1"/>
  <c r="GD51" s="1"/>
  <c r="GA64"/>
  <c r="GB64"/>
  <c r="GC64" s="1"/>
  <c r="GD64" s="1"/>
  <c r="GA56"/>
  <c r="GB56"/>
  <c r="GC56" s="1"/>
  <c r="GD56" s="1"/>
  <c r="GA24"/>
  <c r="GB24"/>
  <c r="GC24" s="1"/>
  <c r="GD24" s="1"/>
  <c r="GB13"/>
  <c r="GC13" s="1"/>
  <c r="GD13" s="1"/>
  <c r="GA13"/>
  <c r="GA82"/>
  <c r="GB82"/>
  <c r="GC82" s="1"/>
  <c r="GD82" s="1"/>
  <c r="GA89"/>
  <c r="GB89"/>
  <c r="GC89" s="1"/>
  <c r="GD89" s="1"/>
  <c r="E157" i="54"/>
  <c r="F156" s="1"/>
  <c r="Q75" i="22"/>
  <c r="O78" s="1"/>
  <c r="K141"/>
  <c r="F108" s="1"/>
  <c r="L141"/>
  <c r="G108" s="1"/>
  <c r="I108" s="1"/>
  <c r="L138"/>
  <c r="FK117" i="10" l="1"/>
  <c r="FL117"/>
  <c r="FM117" s="1"/>
  <c r="FN117" s="1"/>
  <c r="DW128"/>
  <c r="DX128"/>
  <c r="DY128" s="1"/>
  <c r="DZ128" s="1"/>
  <c r="CF129"/>
  <c r="CG129" s="1"/>
  <c r="CH129" s="1"/>
  <c r="CE129"/>
  <c r="HW139"/>
  <c r="HX139"/>
  <c r="HY139" s="1"/>
  <c r="HZ139" s="1"/>
  <c r="FD124"/>
  <c r="FE124" s="1"/>
  <c r="FF124" s="1"/>
  <c r="FC124"/>
  <c r="DW103"/>
  <c r="DX103"/>
  <c r="DY103" s="1"/>
  <c r="DZ103" s="1"/>
  <c r="FS145"/>
  <c r="FT145"/>
  <c r="FU145" s="1"/>
  <c r="FV145" s="1"/>
  <c r="GE121"/>
  <c r="GF121"/>
  <c r="GG121" s="1"/>
  <c r="GH121" s="1"/>
  <c r="H112" i="22"/>
  <c r="H108"/>
  <c r="CQ97" i="10"/>
  <c r="CR97"/>
  <c r="CS97" s="1"/>
  <c r="CT97" s="1"/>
  <c r="FH5"/>
  <c r="FI5" s="1"/>
  <c r="FJ5" s="1"/>
  <c r="FG5"/>
  <c r="FS49"/>
  <c r="FT49"/>
  <c r="FU49" s="1"/>
  <c r="FV49" s="1"/>
  <c r="DH93"/>
  <c r="DI93" s="1"/>
  <c r="DJ93" s="1"/>
  <c r="DG93"/>
  <c r="DS42"/>
  <c r="DT42"/>
  <c r="DU42" s="1"/>
  <c r="DV42" s="1"/>
  <c r="DG84"/>
  <c r="DH84"/>
  <c r="DI84" s="1"/>
  <c r="DJ84" s="1"/>
  <c r="CZ23"/>
  <c r="DA23" s="1"/>
  <c r="DB23" s="1"/>
  <c r="CY23"/>
  <c r="DG77"/>
  <c r="DH77"/>
  <c r="DI77" s="1"/>
  <c r="DJ77" s="1"/>
  <c r="FK76"/>
  <c r="FL76"/>
  <c r="FM76" s="1"/>
  <c r="FN76" s="1"/>
  <c r="EY79"/>
  <c r="EZ79"/>
  <c r="FA79" s="1"/>
  <c r="FB79" s="1"/>
  <c r="EB86"/>
  <c r="EC86" s="1"/>
  <c r="ED86" s="1"/>
  <c r="EA86"/>
  <c r="FX44"/>
  <c r="FY44" s="1"/>
  <c r="FZ44" s="1"/>
  <c r="FW44"/>
  <c r="DT90"/>
  <c r="DU90" s="1"/>
  <c r="DV90" s="1"/>
  <c r="DS90"/>
  <c r="FT30"/>
  <c r="FU30" s="1"/>
  <c r="FV30" s="1"/>
  <c r="FS30"/>
  <c r="FS85"/>
  <c r="FT85"/>
  <c r="FU85" s="1"/>
  <c r="FV85" s="1"/>
  <c r="EU7"/>
  <c r="EV7"/>
  <c r="EW7" s="1"/>
  <c r="EX7" s="1"/>
  <c r="EU83"/>
  <c r="EV83"/>
  <c r="EW83" s="1"/>
  <c r="EX83" s="1"/>
  <c r="EU81"/>
  <c r="EV81"/>
  <c r="EW81" s="1"/>
  <c r="EX81" s="1"/>
  <c r="DG34"/>
  <c r="DH34"/>
  <c r="DI34" s="1"/>
  <c r="DJ34" s="1"/>
  <c r="DO47"/>
  <c r="DP47"/>
  <c r="DQ47" s="1"/>
  <c r="DR47" s="1"/>
  <c r="GE24"/>
  <c r="GF24"/>
  <c r="GG24" s="1"/>
  <c r="GH24" s="1"/>
  <c r="GE51"/>
  <c r="GF51"/>
  <c r="GG51" s="1"/>
  <c r="GH51" s="1"/>
  <c r="GF45"/>
  <c r="GG45" s="1"/>
  <c r="GH45" s="1"/>
  <c r="GE45"/>
  <c r="GE91"/>
  <c r="GF91"/>
  <c r="GG91" s="1"/>
  <c r="GH91" s="1"/>
  <c r="GE22"/>
  <c r="GF22"/>
  <c r="GG22" s="1"/>
  <c r="GH22" s="1"/>
  <c r="GF13"/>
  <c r="GG13" s="1"/>
  <c r="GH13" s="1"/>
  <c r="GE13"/>
  <c r="GE56"/>
  <c r="GF56"/>
  <c r="GG56" s="1"/>
  <c r="GH56" s="1"/>
  <c r="GF10"/>
  <c r="GG10" s="1"/>
  <c r="GH10" s="1"/>
  <c r="GE10"/>
  <c r="GE70"/>
  <c r="GF70"/>
  <c r="GG70" s="1"/>
  <c r="GH70" s="1"/>
  <c r="GE89"/>
  <c r="GF89"/>
  <c r="GG89" s="1"/>
  <c r="GH89" s="1"/>
  <c r="GE82"/>
  <c r="GF82"/>
  <c r="GG82" s="1"/>
  <c r="GH82" s="1"/>
  <c r="GE64"/>
  <c r="GF64"/>
  <c r="GG64" s="1"/>
  <c r="GH64" s="1"/>
  <c r="GE52"/>
  <c r="GF52"/>
  <c r="GG52" s="1"/>
  <c r="GH52" s="1"/>
  <c r="GF21"/>
  <c r="GG21" s="1"/>
  <c r="GH21" s="1"/>
  <c r="GE21"/>
  <c r="GE80"/>
  <c r="GF80"/>
  <c r="GG80" s="1"/>
  <c r="GH80" s="1"/>
  <c r="E158" i="54"/>
  <c r="F157" s="1"/>
  <c r="P78" i="22"/>
  <c r="Q78" s="1"/>
  <c r="M137"/>
  <c r="M141"/>
  <c r="EB103" i="10" l="1"/>
  <c r="EC103" s="1"/>
  <c r="ED103" s="1"/>
  <c r="EA103"/>
  <c r="CI129"/>
  <c r="CJ129"/>
  <c r="CK129" s="1"/>
  <c r="CL129" s="1"/>
  <c r="FW145"/>
  <c r="FX145"/>
  <c r="FY145" s="1"/>
  <c r="FZ145" s="1"/>
  <c r="EB128"/>
  <c r="EC128" s="1"/>
  <c r="ED128" s="1"/>
  <c r="EA128"/>
  <c r="GJ121"/>
  <c r="GK121" s="1"/>
  <c r="GL121" s="1"/>
  <c r="GI121"/>
  <c r="FH124"/>
  <c r="FI124" s="1"/>
  <c r="FJ124" s="1"/>
  <c r="FG124"/>
  <c r="FP117"/>
  <c r="FQ117" s="1"/>
  <c r="FR117" s="1"/>
  <c r="FO117"/>
  <c r="IB139"/>
  <c r="IA139"/>
  <c r="DL34"/>
  <c r="DM34" s="1"/>
  <c r="DN34" s="1"/>
  <c r="DK34"/>
  <c r="EZ83"/>
  <c r="FA83" s="1"/>
  <c r="FB83" s="1"/>
  <c r="EY83"/>
  <c r="FC79"/>
  <c r="FD79"/>
  <c r="FE79" s="1"/>
  <c r="FF79" s="1"/>
  <c r="DC23"/>
  <c r="DD23"/>
  <c r="DE23" s="1"/>
  <c r="DF23" s="1"/>
  <c r="DX42"/>
  <c r="DY42" s="1"/>
  <c r="DZ42" s="1"/>
  <c r="DW42"/>
  <c r="FW49"/>
  <c r="FX49"/>
  <c r="FY49" s="1"/>
  <c r="FZ49" s="1"/>
  <c r="DW90"/>
  <c r="DX90"/>
  <c r="DY90" s="1"/>
  <c r="DZ90" s="1"/>
  <c r="EF86"/>
  <c r="EG86" s="1"/>
  <c r="EH86" s="1"/>
  <c r="EE86"/>
  <c r="DK93"/>
  <c r="DL93"/>
  <c r="DM93" s="1"/>
  <c r="DN93" s="1"/>
  <c r="FW30"/>
  <c r="FX30"/>
  <c r="FY30" s="1"/>
  <c r="FZ30" s="1"/>
  <c r="GB44"/>
  <c r="GC44" s="1"/>
  <c r="GD44" s="1"/>
  <c r="GA44"/>
  <c r="FO76"/>
  <c r="FP76"/>
  <c r="FQ76" s="1"/>
  <c r="FR76" s="1"/>
  <c r="DK77"/>
  <c r="DL77"/>
  <c r="DM77" s="1"/>
  <c r="DN77" s="1"/>
  <c r="FL5"/>
  <c r="FM5" s="1"/>
  <c r="FN5" s="1"/>
  <c r="FK5"/>
  <c r="DS47"/>
  <c r="DT47"/>
  <c r="DU47" s="1"/>
  <c r="DV47" s="1"/>
  <c r="EZ81"/>
  <c r="FA81" s="1"/>
  <c r="FB81" s="1"/>
  <c r="EY81"/>
  <c r="EZ7"/>
  <c r="FA7" s="1"/>
  <c r="FB7" s="1"/>
  <c r="EY7"/>
  <c r="FW85"/>
  <c r="FX85"/>
  <c r="FY85" s="1"/>
  <c r="FZ85" s="1"/>
  <c r="DK84"/>
  <c r="DL84"/>
  <c r="DM84" s="1"/>
  <c r="DN84" s="1"/>
  <c r="CV97"/>
  <c r="CW97" s="1"/>
  <c r="CX97" s="1"/>
  <c r="CU97"/>
  <c r="GI80"/>
  <c r="GJ80"/>
  <c r="GK80" s="1"/>
  <c r="GL80" s="1"/>
  <c r="GJ21"/>
  <c r="GK21" s="1"/>
  <c r="GL21" s="1"/>
  <c r="GI21"/>
  <c r="GI52"/>
  <c r="GJ52"/>
  <c r="GK52" s="1"/>
  <c r="GL52" s="1"/>
  <c r="GJ13"/>
  <c r="GK13" s="1"/>
  <c r="GL13" s="1"/>
  <c r="GI13"/>
  <c r="GI51"/>
  <c r="GJ51"/>
  <c r="GK51" s="1"/>
  <c r="GL51" s="1"/>
  <c r="GI89"/>
  <c r="GJ89"/>
  <c r="GK89" s="1"/>
  <c r="GL89" s="1"/>
  <c r="GJ10"/>
  <c r="GK10" s="1"/>
  <c r="GL10" s="1"/>
  <c r="GI10"/>
  <c r="GI56"/>
  <c r="GJ56"/>
  <c r="GK56" s="1"/>
  <c r="GL56" s="1"/>
  <c r="GI22"/>
  <c r="GJ22"/>
  <c r="GK22" s="1"/>
  <c r="GL22" s="1"/>
  <c r="GI91"/>
  <c r="GJ91"/>
  <c r="GK91" s="1"/>
  <c r="GL91" s="1"/>
  <c r="GJ45"/>
  <c r="GK45" s="1"/>
  <c r="GL45" s="1"/>
  <c r="GI45"/>
  <c r="GI24"/>
  <c r="GJ24"/>
  <c r="GK24" s="1"/>
  <c r="GL24" s="1"/>
  <c r="GI64"/>
  <c r="GJ64"/>
  <c r="GK64" s="1"/>
  <c r="GL64" s="1"/>
  <c r="GI82"/>
  <c r="GJ82"/>
  <c r="GK82" s="1"/>
  <c r="GL82" s="1"/>
  <c r="GI70"/>
  <c r="GJ70"/>
  <c r="GK70" s="1"/>
  <c r="GL70" s="1"/>
  <c r="F100" i="22"/>
  <c r="E159" i="54"/>
  <c r="F158" s="1"/>
  <c r="G112" i="22"/>
  <c r="Q134" i="10"/>
  <c r="BW134" s="1"/>
  <c r="BX134" s="1"/>
  <c r="BY134" s="1"/>
  <c r="BZ134" s="1"/>
  <c r="FL124" l="1"/>
  <c r="FM124" s="1"/>
  <c r="FN124" s="1"/>
  <c r="FK124"/>
  <c r="EF128"/>
  <c r="EG128" s="1"/>
  <c r="EH128" s="1"/>
  <c r="EE128"/>
  <c r="CN129"/>
  <c r="CO129" s="1"/>
  <c r="CP129" s="1"/>
  <c r="CM129"/>
  <c r="CA134"/>
  <c r="CB134"/>
  <c r="CC134" s="1"/>
  <c r="CD134" s="1"/>
  <c r="GB145"/>
  <c r="GC145" s="1"/>
  <c r="GD145" s="1"/>
  <c r="GA145"/>
  <c r="FT117"/>
  <c r="FU117" s="1"/>
  <c r="FV117" s="1"/>
  <c r="FS117"/>
  <c r="GN121"/>
  <c r="GO121" s="1"/>
  <c r="GP121" s="1"/>
  <c r="GM121"/>
  <c r="EF103"/>
  <c r="EG103" s="1"/>
  <c r="EH103" s="1"/>
  <c r="EE103"/>
  <c r="H100" i="22"/>
  <c r="I112"/>
  <c r="FD7" i="10"/>
  <c r="FE7" s="1"/>
  <c r="FF7" s="1"/>
  <c r="FC7"/>
  <c r="GF44"/>
  <c r="GG44" s="1"/>
  <c r="GH44" s="1"/>
  <c r="GE44"/>
  <c r="CZ97"/>
  <c r="DA97" s="1"/>
  <c r="DB97" s="1"/>
  <c r="CY97"/>
  <c r="FS76"/>
  <c r="FT76"/>
  <c r="FU76" s="1"/>
  <c r="FV76" s="1"/>
  <c r="GA30"/>
  <c r="GB30"/>
  <c r="GC30" s="1"/>
  <c r="GD30" s="1"/>
  <c r="DO93"/>
  <c r="DP93"/>
  <c r="DQ93" s="1"/>
  <c r="DR93" s="1"/>
  <c r="FG79"/>
  <c r="FH79"/>
  <c r="FI79" s="1"/>
  <c r="FJ79" s="1"/>
  <c r="FC83"/>
  <c r="FD83"/>
  <c r="FE83" s="1"/>
  <c r="FF83" s="1"/>
  <c r="DO84"/>
  <c r="DP84"/>
  <c r="DQ84" s="1"/>
  <c r="DR84" s="1"/>
  <c r="FC81"/>
  <c r="FD81"/>
  <c r="FE81" s="1"/>
  <c r="FF81" s="1"/>
  <c r="FO5"/>
  <c r="FP5"/>
  <c r="FQ5" s="1"/>
  <c r="FR5" s="1"/>
  <c r="EJ86"/>
  <c r="EK86" s="1"/>
  <c r="EL86" s="1"/>
  <c r="EI86"/>
  <c r="EB42"/>
  <c r="EC42" s="1"/>
  <c r="ED42" s="1"/>
  <c r="EA42"/>
  <c r="GA85"/>
  <c r="GB85"/>
  <c r="GC85" s="1"/>
  <c r="GD85" s="1"/>
  <c r="DW47"/>
  <c r="DX47"/>
  <c r="DY47" s="1"/>
  <c r="DZ47" s="1"/>
  <c r="DP77"/>
  <c r="DQ77" s="1"/>
  <c r="DR77" s="1"/>
  <c r="DO77"/>
  <c r="EB90"/>
  <c r="EC90" s="1"/>
  <c r="ED90" s="1"/>
  <c r="EA90"/>
  <c r="GA49"/>
  <c r="GB49"/>
  <c r="GC49" s="1"/>
  <c r="GD49" s="1"/>
  <c r="DH23"/>
  <c r="DI23" s="1"/>
  <c r="DJ23" s="1"/>
  <c r="DG23"/>
  <c r="DP34"/>
  <c r="DQ34" s="1"/>
  <c r="DR34" s="1"/>
  <c r="DO34"/>
  <c r="GM82"/>
  <c r="GN82"/>
  <c r="GO82" s="1"/>
  <c r="GP82" s="1"/>
  <c r="GM22"/>
  <c r="GN22"/>
  <c r="GO22" s="1"/>
  <c r="GP22" s="1"/>
  <c r="GN21"/>
  <c r="GO21" s="1"/>
  <c r="GP21" s="1"/>
  <c r="GM21"/>
  <c r="GM80"/>
  <c r="GN80"/>
  <c r="GO80" s="1"/>
  <c r="GP80" s="1"/>
  <c r="GM70"/>
  <c r="GN70"/>
  <c r="GO70" s="1"/>
  <c r="GP70" s="1"/>
  <c r="GM64"/>
  <c r="GN64"/>
  <c r="GO64" s="1"/>
  <c r="GP64" s="1"/>
  <c r="GM89"/>
  <c r="GN89"/>
  <c r="GO89" s="1"/>
  <c r="GP89" s="1"/>
  <c r="GM51"/>
  <c r="GN51"/>
  <c r="GO51" s="1"/>
  <c r="GP51" s="1"/>
  <c r="GN13"/>
  <c r="GO13" s="1"/>
  <c r="GP13" s="1"/>
  <c r="GM13"/>
  <c r="GM52"/>
  <c r="GN52"/>
  <c r="GO52" s="1"/>
  <c r="GP52" s="1"/>
  <c r="GM24"/>
  <c r="GN24"/>
  <c r="GO24" s="1"/>
  <c r="GP24" s="1"/>
  <c r="GN45"/>
  <c r="GO45" s="1"/>
  <c r="GP45" s="1"/>
  <c r="GM45"/>
  <c r="GM91"/>
  <c r="GN91"/>
  <c r="GO91" s="1"/>
  <c r="GP91" s="1"/>
  <c r="GM56"/>
  <c r="GN56"/>
  <c r="GO56" s="1"/>
  <c r="GP56" s="1"/>
  <c r="GN10"/>
  <c r="GO10" s="1"/>
  <c r="GP10" s="1"/>
  <c r="GM10"/>
  <c r="E160" i="54"/>
  <c r="F159" s="1"/>
  <c r="IL18" i="10"/>
  <c r="U3" i="21"/>
  <c r="N100" i="22"/>
  <c r="DH8" i="21"/>
  <c r="DJ8" s="1"/>
  <c r="DT8"/>
  <c r="DS8"/>
  <c r="DO8"/>
  <c r="DN8" s="1"/>
  <c r="FC77"/>
  <c r="FD77"/>
  <c r="FC78"/>
  <c r="FD78"/>
  <c r="FC79"/>
  <c r="FD79"/>
  <c r="FC80"/>
  <c r="FD80"/>
  <c r="FC81"/>
  <c r="FD81"/>
  <c r="FC82"/>
  <c r="FD82"/>
  <c r="FC83"/>
  <c r="FD83"/>
  <c r="FC84"/>
  <c r="FD84"/>
  <c r="FC85"/>
  <c r="FD85"/>
  <c r="FC86"/>
  <c r="FD86"/>
  <c r="FC87"/>
  <c r="FD87"/>
  <c r="FC88"/>
  <c r="FD88"/>
  <c r="FC89"/>
  <c r="FD89"/>
  <c r="FC90"/>
  <c r="FD90"/>
  <c r="FC91"/>
  <c r="FD91"/>
  <c r="FC92"/>
  <c r="FD92"/>
  <c r="FC93"/>
  <c r="FD93"/>
  <c r="FC94"/>
  <c r="FD94"/>
  <c r="FC95"/>
  <c r="FD95"/>
  <c r="FC96"/>
  <c r="FD96"/>
  <c r="FC97"/>
  <c r="FD97"/>
  <c r="FC98"/>
  <c r="FD98"/>
  <c r="FC99"/>
  <c r="FD99"/>
  <c r="FC100"/>
  <c r="FD100"/>
  <c r="FC101"/>
  <c r="FD101"/>
  <c r="FC102"/>
  <c r="FD102"/>
  <c r="FC103"/>
  <c r="FD103"/>
  <c r="FC104"/>
  <c r="FD104"/>
  <c r="FC105"/>
  <c r="FD105"/>
  <c r="FC106"/>
  <c r="FD106"/>
  <c r="FC107"/>
  <c r="FD107"/>
  <c r="FC108"/>
  <c r="FD108"/>
  <c r="FC109"/>
  <c r="FD109"/>
  <c r="FC110"/>
  <c r="FD110"/>
  <c r="FC111"/>
  <c r="FD111"/>
  <c r="FC112"/>
  <c r="FD112"/>
  <c r="FC113"/>
  <c r="FD113"/>
  <c r="FC114"/>
  <c r="FD114"/>
  <c r="FC115"/>
  <c r="FD115"/>
  <c r="FC116"/>
  <c r="FD116"/>
  <c r="FC117"/>
  <c r="FD117"/>
  <c r="FC118"/>
  <c r="FD118"/>
  <c r="FC119"/>
  <c r="FD119"/>
  <c r="FC120"/>
  <c r="FD120"/>
  <c r="FC121"/>
  <c r="FD121"/>
  <c r="FC122"/>
  <c r="FD122"/>
  <c r="FC123"/>
  <c r="FD123"/>
  <c r="FC124"/>
  <c r="FD124"/>
  <c r="FC125"/>
  <c r="FD125"/>
  <c r="FC126"/>
  <c r="FD126"/>
  <c r="FC127"/>
  <c r="FD127"/>
  <c r="FC128"/>
  <c r="FD128"/>
  <c r="FC129"/>
  <c r="FD129"/>
  <c r="FC130"/>
  <c r="FD130"/>
  <c r="FC131"/>
  <c r="FD131"/>
  <c r="FC132"/>
  <c r="FD132"/>
  <c r="FC133"/>
  <c r="FD133"/>
  <c r="FC134"/>
  <c r="FD134"/>
  <c r="FC135"/>
  <c r="FD135"/>
  <c r="FC136"/>
  <c r="FD136"/>
  <c r="FC137"/>
  <c r="FD137"/>
  <c r="FC138"/>
  <c r="FD138"/>
  <c r="FC139"/>
  <c r="FD139"/>
  <c r="FC140"/>
  <c r="FD140"/>
  <c r="FC141"/>
  <c r="FD141"/>
  <c r="FC142"/>
  <c r="FD142"/>
  <c r="FC143"/>
  <c r="FD143"/>
  <c r="FC144"/>
  <c r="FD144"/>
  <c r="FC145"/>
  <c r="FD145"/>
  <c r="FC146"/>
  <c r="FD146"/>
  <c r="FC147"/>
  <c r="FD147"/>
  <c r="FC148"/>
  <c r="FD148"/>
  <c r="FC149"/>
  <c r="FD149"/>
  <c r="FC150"/>
  <c r="FD150"/>
  <c r="FC151"/>
  <c r="FD151"/>
  <c r="FC152"/>
  <c r="FD152"/>
  <c r="FC153"/>
  <c r="FD153"/>
  <c r="FC154"/>
  <c r="FD154"/>
  <c r="FC155"/>
  <c r="FD155"/>
  <c r="FC156"/>
  <c r="FD156"/>
  <c r="FC157"/>
  <c r="FD157"/>
  <c r="FC158"/>
  <c r="FD158"/>
  <c r="FC159"/>
  <c r="FD159"/>
  <c r="FC160"/>
  <c r="FD160"/>
  <c r="FC161"/>
  <c r="FD161"/>
  <c r="FC162"/>
  <c r="FD162"/>
  <c r="FC163"/>
  <c r="FD163"/>
  <c r="FC164"/>
  <c r="FD164"/>
  <c r="FC165"/>
  <c r="FD165"/>
  <c r="FC166"/>
  <c r="FD166"/>
  <c r="FC167"/>
  <c r="FD167"/>
  <c r="FC168"/>
  <c r="FD168"/>
  <c r="FC169"/>
  <c r="FD169"/>
  <c r="FC170"/>
  <c r="FD170"/>
  <c r="FC171"/>
  <c r="FD171"/>
  <c r="FC172"/>
  <c r="FD172"/>
  <c r="FC173"/>
  <c r="FD173"/>
  <c r="FC174"/>
  <c r="FD174"/>
  <c r="FC175"/>
  <c r="FD175"/>
  <c r="FC176"/>
  <c r="FD176"/>
  <c r="FC177"/>
  <c r="FD177"/>
  <c r="FC178"/>
  <c r="FD178"/>
  <c r="FC179"/>
  <c r="FD179"/>
  <c r="FC180"/>
  <c r="FD180"/>
  <c r="FC181"/>
  <c r="FD181"/>
  <c r="FC182"/>
  <c r="FD182"/>
  <c r="FC183"/>
  <c r="FD183"/>
  <c r="FC184"/>
  <c r="FD184"/>
  <c r="FC185"/>
  <c r="FD185"/>
  <c r="FC186"/>
  <c r="FD186"/>
  <c r="FC187"/>
  <c r="FD187"/>
  <c r="FC188"/>
  <c r="FD188"/>
  <c r="FC189"/>
  <c r="FD189"/>
  <c r="FC190"/>
  <c r="FD190"/>
  <c r="FC191"/>
  <c r="FD191"/>
  <c r="FC192"/>
  <c r="FD192"/>
  <c r="FC193"/>
  <c r="FD193"/>
  <c r="FC194"/>
  <c r="FD194"/>
  <c r="FC195"/>
  <c r="FD195"/>
  <c r="FC196"/>
  <c r="FD196"/>
  <c r="FC197"/>
  <c r="FD197"/>
  <c r="FC198"/>
  <c r="FD198"/>
  <c r="FC199"/>
  <c r="FD199"/>
  <c r="FC200"/>
  <c r="FD200"/>
  <c r="FC201"/>
  <c r="FD201"/>
  <c r="FC202"/>
  <c r="FD202"/>
  <c r="FC203"/>
  <c r="FD203"/>
  <c r="FC204"/>
  <c r="FD204"/>
  <c r="FC205"/>
  <c r="FD205"/>
  <c r="FC206"/>
  <c r="FD206"/>
  <c r="FC207"/>
  <c r="FD207"/>
  <c r="FC208"/>
  <c r="FD208"/>
  <c r="FC209"/>
  <c r="FD209"/>
  <c r="FC210"/>
  <c r="FD210"/>
  <c r="FC211"/>
  <c r="FD211"/>
  <c r="FC212"/>
  <c r="FD212"/>
  <c r="FC213"/>
  <c r="FD213"/>
  <c r="FC214"/>
  <c r="FD214"/>
  <c r="FC215"/>
  <c r="FD215"/>
  <c r="FC216"/>
  <c r="FD216"/>
  <c r="FC217"/>
  <c r="FD217"/>
  <c r="FC218"/>
  <c r="FD218"/>
  <c r="FC219"/>
  <c r="FD219"/>
  <c r="FC220"/>
  <c r="FD220"/>
  <c r="FC221"/>
  <c r="FD221"/>
  <c r="FC222"/>
  <c r="FD222"/>
  <c r="FC223"/>
  <c r="FD223"/>
  <c r="FC224"/>
  <c r="FD224"/>
  <c r="FC225"/>
  <c r="FD225"/>
  <c r="FC226"/>
  <c r="FD226"/>
  <c r="FC227"/>
  <c r="FD227"/>
  <c r="FC228"/>
  <c r="FD228"/>
  <c r="FC229"/>
  <c r="FD229"/>
  <c r="FC230"/>
  <c r="FD230"/>
  <c r="FC231"/>
  <c r="FD231"/>
  <c r="FC232"/>
  <c r="FD232"/>
  <c r="FC233"/>
  <c r="FD233"/>
  <c r="FC234"/>
  <c r="FD234"/>
  <c r="FC235"/>
  <c r="FD235"/>
  <c r="FC236"/>
  <c r="FD236"/>
  <c r="FC237"/>
  <c r="FD237"/>
  <c r="FC238"/>
  <c r="FD238"/>
  <c r="FC239"/>
  <c r="FD239"/>
  <c r="FC240"/>
  <c r="FD240"/>
  <c r="FC241"/>
  <c r="FD241"/>
  <c r="FC242"/>
  <c r="FD242"/>
  <c r="FC243"/>
  <c r="FD243"/>
  <c r="FC244"/>
  <c r="FD244"/>
  <c r="FC245"/>
  <c r="FD245"/>
  <c r="FC246"/>
  <c r="FD246"/>
  <c r="FC247"/>
  <c r="FD247"/>
  <c r="FC248"/>
  <c r="FD248"/>
  <c r="FC249"/>
  <c r="FD249"/>
  <c r="FC250"/>
  <c r="FD250"/>
  <c r="FC251"/>
  <c r="FD251"/>
  <c r="FC252"/>
  <c r="FD252"/>
  <c r="FC253"/>
  <c r="FD253"/>
  <c r="FC254"/>
  <c r="FD254"/>
  <c r="FC255"/>
  <c r="FD255"/>
  <c r="FC256"/>
  <c r="FD256"/>
  <c r="FC257"/>
  <c r="FD257"/>
  <c r="FC258"/>
  <c r="FD258"/>
  <c r="FC259"/>
  <c r="FD259"/>
  <c r="FC260"/>
  <c r="FD260"/>
  <c r="FC261"/>
  <c r="FD261"/>
  <c r="FC262"/>
  <c r="FD262"/>
  <c r="FC263"/>
  <c r="FD263"/>
  <c r="FC264"/>
  <c r="FD264"/>
  <c r="FC265"/>
  <c r="FD265"/>
  <c r="FC266"/>
  <c r="FD266"/>
  <c r="FC267"/>
  <c r="FD267"/>
  <c r="FC268"/>
  <c r="FD268"/>
  <c r="FC269"/>
  <c r="FD269"/>
  <c r="FC270"/>
  <c r="FD270"/>
  <c r="FC271"/>
  <c r="FD271"/>
  <c r="FC272"/>
  <c r="FD272"/>
  <c r="FC273"/>
  <c r="FD273"/>
  <c r="FC274"/>
  <c r="FD274"/>
  <c r="FC275"/>
  <c r="FD275"/>
  <c r="FC276"/>
  <c r="FD276"/>
  <c r="FC277"/>
  <c r="FD277"/>
  <c r="FC278"/>
  <c r="FD278"/>
  <c r="FC279"/>
  <c r="FD279"/>
  <c r="FC280"/>
  <c r="FD280"/>
  <c r="FC281"/>
  <c r="FD281"/>
  <c r="FC282"/>
  <c r="FD282"/>
  <c r="FC283"/>
  <c r="FD283"/>
  <c r="FC284"/>
  <c r="FD284"/>
  <c r="FC285"/>
  <c r="FD285"/>
  <c r="FC286"/>
  <c r="FD286"/>
  <c r="FC287"/>
  <c r="FD287"/>
  <c r="FC288"/>
  <c r="FD288"/>
  <c r="FC289"/>
  <c r="FD289"/>
  <c r="FC290"/>
  <c r="FD290"/>
  <c r="FC291"/>
  <c r="FD291"/>
  <c r="FC292"/>
  <c r="FD292"/>
  <c r="FC293"/>
  <c r="FD293"/>
  <c r="FC294"/>
  <c r="FD294"/>
  <c r="FC295"/>
  <c r="FD295"/>
  <c r="FC296"/>
  <c r="FD296"/>
  <c r="FC297"/>
  <c r="FD297"/>
  <c r="FC298"/>
  <c r="FD298"/>
  <c r="FC299"/>
  <c r="FD299"/>
  <c r="FC300"/>
  <c r="FD300"/>
  <c r="FC301"/>
  <c r="FD301"/>
  <c r="GR121" i="10" l="1"/>
  <c r="GS121" s="1"/>
  <c r="GT121" s="1"/>
  <c r="GQ121"/>
  <c r="EJ128"/>
  <c r="EK128" s="1"/>
  <c r="EL128" s="1"/>
  <c r="EI128"/>
  <c r="GE145"/>
  <c r="GF145"/>
  <c r="GG145" s="1"/>
  <c r="GH145" s="1"/>
  <c r="EJ103"/>
  <c r="EK103" s="1"/>
  <c r="EL103" s="1"/>
  <c r="EI103"/>
  <c r="CQ129"/>
  <c r="CR129"/>
  <c r="CS129" s="1"/>
  <c r="CT129" s="1"/>
  <c r="FX117"/>
  <c r="FY117" s="1"/>
  <c r="FZ117" s="1"/>
  <c r="FW117"/>
  <c r="CF134"/>
  <c r="CG134" s="1"/>
  <c r="CH134" s="1"/>
  <c r="CE134"/>
  <c r="FP124"/>
  <c r="FQ124" s="1"/>
  <c r="FR124" s="1"/>
  <c r="FO124"/>
  <c r="FG7"/>
  <c r="FH7"/>
  <c r="FI7" s="1"/>
  <c r="FJ7" s="1"/>
  <c r="GE49"/>
  <c r="GF49"/>
  <c r="GG49" s="1"/>
  <c r="GH49" s="1"/>
  <c r="FT5"/>
  <c r="FU5" s="1"/>
  <c r="FV5" s="1"/>
  <c r="FS5"/>
  <c r="GJ44"/>
  <c r="GK44" s="1"/>
  <c r="GL44" s="1"/>
  <c r="GI44"/>
  <c r="GE85"/>
  <c r="GF85"/>
  <c r="GG85" s="1"/>
  <c r="GH85" s="1"/>
  <c r="FH81"/>
  <c r="FI81" s="1"/>
  <c r="FJ81" s="1"/>
  <c r="FG81"/>
  <c r="EB47"/>
  <c r="EC47" s="1"/>
  <c r="ED47" s="1"/>
  <c r="EA47"/>
  <c r="DS84"/>
  <c r="DT84"/>
  <c r="DU84" s="1"/>
  <c r="DV84" s="1"/>
  <c r="DC97"/>
  <c r="DD97"/>
  <c r="DE97" s="1"/>
  <c r="DF97" s="1"/>
  <c r="DS34"/>
  <c r="DT34"/>
  <c r="DU34" s="1"/>
  <c r="DV34" s="1"/>
  <c r="FK79"/>
  <c r="FL79"/>
  <c r="FM79" s="1"/>
  <c r="FN79" s="1"/>
  <c r="DS93"/>
  <c r="DT93"/>
  <c r="DU93" s="1"/>
  <c r="DV93" s="1"/>
  <c r="FX76"/>
  <c r="FY76" s="1"/>
  <c r="FZ76" s="1"/>
  <c r="FW76"/>
  <c r="DK23"/>
  <c r="DL23"/>
  <c r="DM23" s="1"/>
  <c r="DN23" s="1"/>
  <c r="EE90"/>
  <c r="EF90"/>
  <c r="EG90" s="1"/>
  <c r="EH90" s="1"/>
  <c r="DS77"/>
  <c r="DT77"/>
  <c r="DU77" s="1"/>
  <c r="DV77" s="1"/>
  <c r="EF42"/>
  <c r="EG42" s="1"/>
  <c r="EH42" s="1"/>
  <c r="EE42"/>
  <c r="EM86"/>
  <c r="EN86"/>
  <c r="EO86" s="1"/>
  <c r="EP86" s="1"/>
  <c r="FH83"/>
  <c r="FI83" s="1"/>
  <c r="FJ83" s="1"/>
  <c r="FG83"/>
  <c r="GE30"/>
  <c r="GF30"/>
  <c r="GG30" s="1"/>
  <c r="GH30" s="1"/>
  <c r="GR10"/>
  <c r="GS10" s="1"/>
  <c r="GT10" s="1"/>
  <c r="GQ10"/>
  <c r="GR13"/>
  <c r="GS13" s="1"/>
  <c r="GT13" s="1"/>
  <c r="GQ13"/>
  <c r="GQ64"/>
  <c r="GR64"/>
  <c r="GS64" s="1"/>
  <c r="GT64" s="1"/>
  <c r="GQ51"/>
  <c r="GR51"/>
  <c r="GS51" s="1"/>
  <c r="GT51" s="1"/>
  <c r="GQ70"/>
  <c r="GR70"/>
  <c r="GS70" s="1"/>
  <c r="GT70" s="1"/>
  <c r="GQ56"/>
  <c r="GR56"/>
  <c r="GS56" s="1"/>
  <c r="GT56" s="1"/>
  <c r="GQ91"/>
  <c r="GR91"/>
  <c r="GS91" s="1"/>
  <c r="GT91" s="1"/>
  <c r="GR45"/>
  <c r="GS45" s="1"/>
  <c r="GT45" s="1"/>
  <c r="GQ45"/>
  <c r="GQ24"/>
  <c r="GR24"/>
  <c r="GS24" s="1"/>
  <c r="GT24" s="1"/>
  <c r="GQ52"/>
  <c r="GR52"/>
  <c r="GS52" s="1"/>
  <c r="GT52" s="1"/>
  <c r="GQ89"/>
  <c r="GR89"/>
  <c r="GS89" s="1"/>
  <c r="GT89" s="1"/>
  <c r="GQ80"/>
  <c r="GR80"/>
  <c r="GS80" s="1"/>
  <c r="GT80" s="1"/>
  <c r="GR21"/>
  <c r="GS21" s="1"/>
  <c r="GT21" s="1"/>
  <c r="GQ21"/>
  <c r="GQ22"/>
  <c r="GR22"/>
  <c r="GS22" s="1"/>
  <c r="GT22" s="1"/>
  <c r="GQ82"/>
  <c r="GR82"/>
  <c r="GS82" s="1"/>
  <c r="GT82" s="1"/>
  <c r="E161" i="54"/>
  <c r="F160" s="1"/>
  <c r="DP8" i="21"/>
  <c r="DQ8" s="1"/>
  <c r="DR8"/>
  <c r="GJ145" i="10" l="1"/>
  <c r="GK145" s="1"/>
  <c r="GL145" s="1"/>
  <c r="GI145"/>
  <c r="EN103"/>
  <c r="EO103" s="1"/>
  <c r="EP103" s="1"/>
  <c r="EM103"/>
  <c r="CU129"/>
  <c r="CV129"/>
  <c r="CW129" s="1"/>
  <c r="CX129" s="1"/>
  <c r="CJ134"/>
  <c r="CK134" s="1"/>
  <c r="CL134" s="1"/>
  <c r="CI134"/>
  <c r="EN128"/>
  <c r="EO128" s="1"/>
  <c r="EP128" s="1"/>
  <c r="EM128"/>
  <c r="FS124"/>
  <c r="FT124"/>
  <c r="FU124" s="1"/>
  <c r="FV124" s="1"/>
  <c r="GA117"/>
  <c r="GB117"/>
  <c r="GC117" s="1"/>
  <c r="GD117" s="1"/>
  <c r="GU121"/>
  <c r="GV121"/>
  <c r="GW121" s="1"/>
  <c r="GX121" s="1"/>
  <c r="EQ86"/>
  <c r="ER86"/>
  <c r="ES86" s="1"/>
  <c r="ET86" s="1"/>
  <c r="DW77"/>
  <c r="DX77"/>
  <c r="DY77" s="1"/>
  <c r="DZ77" s="1"/>
  <c r="DO23"/>
  <c r="DP23"/>
  <c r="DQ23" s="1"/>
  <c r="DR23" s="1"/>
  <c r="FP79"/>
  <c r="FQ79" s="1"/>
  <c r="FR79" s="1"/>
  <c r="FO79"/>
  <c r="DX34"/>
  <c r="DY34" s="1"/>
  <c r="DZ34" s="1"/>
  <c r="DW34"/>
  <c r="DW84"/>
  <c r="DX84"/>
  <c r="DY84" s="1"/>
  <c r="DZ84" s="1"/>
  <c r="GJ85"/>
  <c r="GK85" s="1"/>
  <c r="GL85" s="1"/>
  <c r="GI85"/>
  <c r="FK7"/>
  <c r="FL7"/>
  <c r="FM7" s="1"/>
  <c r="FN7" s="1"/>
  <c r="GI30"/>
  <c r="GJ30"/>
  <c r="GK30" s="1"/>
  <c r="GL30" s="1"/>
  <c r="GA76"/>
  <c r="GB76"/>
  <c r="GC76" s="1"/>
  <c r="GD76" s="1"/>
  <c r="FX5"/>
  <c r="FY5" s="1"/>
  <c r="FZ5" s="1"/>
  <c r="FW5"/>
  <c r="EJ90"/>
  <c r="EK90" s="1"/>
  <c r="EL90" s="1"/>
  <c r="EI90"/>
  <c r="DX93"/>
  <c r="DY93" s="1"/>
  <c r="DZ93" s="1"/>
  <c r="DW93"/>
  <c r="DH97"/>
  <c r="DI97" s="1"/>
  <c r="DJ97" s="1"/>
  <c r="DG97"/>
  <c r="GJ49"/>
  <c r="GK49" s="1"/>
  <c r="GL49" s="1"/>
  <c r="GI49"/>
  <c r="FK83"/>
  <c r="FL83"/>
  <c r="FM83" s="1"/>
  <c r="FN83" s="1"/>
  <c r="EI42"/>
  <c r="EJ42"/>
  <c r="EK42" s="1"/>
  <c r="EL42" s="1"/>
  <c r="EE47"/>
  <c r="EF47"/>
  <c r="EG47" s="1"/>
  <c r="EH47" s="1"/>
  <c r="FL81"/>
  <c r="FM81" s="1"/>
  <c r="FN81" s="1"/>
  <c r="FK81"/>
  <c r="GM44"/>
  <c r="GN44"/>
  <c r="GO44" s="1"/>
  <c r="GP44" s="1"/>
  <c r="GV21"/>
  <c r="GW21" s="1"/>
  <c r="GX21" s="1"/>
  <c r="GU21"/>
  <c r="GV45"/>
  <c r="GW45" s="1"/>
  <c r="GX45" s="1"/>
  <c r="GU45"/>
  <c r="GU56"/>
  <c r="GV56"/>
  <c r="GW56" s="1"/>
  <c r="GX56" s="1"/>
  <c r="GU70"/>
  <c r="GV70"/>
  <c r="GW70" s="1"/>
  <c r="GX70" s="1"/>
  <c r="GU51"/>
  <c r="GV51"/>
  <c r="GW51" s="1"/>
  <c r="GX51" s="1"/>
  <c r="GU89"/>
  <c r="GV89"/>
  <c r="GW89" s="1"/>
  <c r="GX89" s="1"/>
  <c r="GU52"/>
  <c r="GV52"/>
  <c r="GW52" s="1"/>
  <c r="GX52" s="1"/>
  <c r="GU24"/>
  <c r="GV24"/>
  <c r="GW24" s="1"/>
  <c r="GX24" s="1"/>
  <c r="GV10"/>
  <c r="GW10" s="1"/>
  <c r="GX10" s="1"/>
  <c r="GU10"/>
  <c r="GU82"/>
  <c r="GV82"/>
  <c r="GW82" s="1"/>
  <c r="GX82" s="1"/>
  <c r="GU80"/>
  <c r="GV80"/>
  <c r="GW80" s="1"/>
  <c r="GX80" s="1"/>
  <c r="GU91"/>
  <c r="GV91"/>
  <c r="GW91" s="1"/>
  <c r="GX91" s="1"/>
  <c r="GU64"/>
  <c r="GV64"/>
  <c r="GW64" s="1"/>
  <c r="GX64" s="1"/>
  <c r="GV13"/>
  <c r="GW13" s="1"/>
  <c r="GX13" s="1"/>
  <c r="GU13"/>
  <c r="GU22"/>
  <c r="GV22"/>
  <c r="GW22" s="1"/>
  <c r="GX22" s="1"/>
  <c r="E162" i="54"/>
  <c r="F161" s="1"/>
  <c r="AT169" i="10"/>
  <c r="DO11" i="21"/>
  <c r="DO13"/>
  <c r="DO14"/>
  <c r="DO15"/>
  <c r="DO16"/>
  <c r="DO17"/>
  <c r="DO18"/>
  <c r="DO19"/>
  <c r="DO20"/>
  <c r="DO21"/>
  <c r="DO22"/>
  <c r="DO23"/>
  <c r="DO24"/>
  <c r="DO25"/>
  <c r="DO26"/>
  <c r="DO27"/>
  <c r="DO28"/>
  <c r="DO29"/>
  <c r="DO30"/>
  <c r="DO31"/>
  <c r="DO32"/>
  <c r="DO33"/>
  <c r="DO34"/>
  <c r="DO35"/>
  <c r="DO36"/>
  <c r="C131" i="22"/>
  <c r="N3" i="27"/>
  <c r="O3"/>
  <c r="N4"/>
  <c r="O4"/>
  <c r="N5"/>
  <c r="O5"/>
  <c r="N6"/>
  <c r="O6"/>
  <c r="N7"/>
  <c r="O7"/>
  <c r="N8"/>
  <c r="O8"/>
  <c r="N9"/>
  <c r="O9"/>
  <c r="N10"/>
  <c r="O10"/>
  <c r="N11"/>
  <c r="O11"/>
  <c r="N12"/>
  <c r="O12"/>
  <c r="N13"/>
  <c r="O13"/>
  <c r="N14"/>
  <c r="O14"/>
  <c r="N15"/>
  <c r="O15"/>
  <c r="N16"/>
  <c r="O16"/>
  <c r="N17"/>
  <c r="O17"/>
  <c r="N18"/>
  <c r="O18"/>
  <c r="N19"/>
  <c r="O19"/>
  <c r="N20"/>
  <c r="O20"/>
  <c r="N21"/>
  <c r="O21"/>
  <c r="N22"/>
  <c r="O22"/>
  <c r="N23"/>
  <c r="O23"/>
  <c r="N24"/>
  <c r="O24"/>
  <c r="N25"/>
  <c r="O25"/>
  <c r="N26"/>
  <c r="O26"/>
  <c r="N27"/>
  <c r="O27"/>
  <c r="N28"/>
  <c r="O28"/>
  <c r="N29"/>
  <c r="O29"/>
  <c r="N30"/>
  <c r="O30"/>
  <c r="N31"/>
  <c r="O31"/>
  <c r="N32"/>
  <c r="O32"/>
  <c r="N33"/>
  <c r="O33"/>
  <c r="N35"/>
  <c r="O35"/>
  <c r="N36"/>
  <c r="O36"/>
  <c r="N37"/>
  <c r="O37"/>
  <c r="N38"/>
  <c r="O38"/>
  <c r="N39"/>
  <c r="O39"/>
  <c r="N40"/>
  <c r="O40"/>
  <c r="N41"/>
  <c r="O41"/>
  <c r="N42"/>
  <c r="O42"/>
  <c r="N43"/>
  <c r="O43"/>
  <c r="N44"/>
  <c r="O44"/>
  <c r="N45"/>
  <c r="O45"/>
  <c r="N46"/>
  <c r="O46"/>
  <c r="N47"/>
  <c r="O47"/>
  <c r="N48"/>
  <c r="O48"/>
  <c r="N49"/>
  <c r="O49"/>
  <c r="N50"/>
  <c r="O50"/>
  <c r="N51"/>
  <c r="O51"/>
  <c r="N52"/>
  <c r="O52"/>
  <c r="N53"/>
  <c r="O53"/>
  <c r="N54"/>
  <c r="O54"/>
  <c r="N55"/>
  <c r="O55"/>
  <c r="N56"/>
  <c r="O56"/>
  <c r="N57"/>
  <c r="O57"/>
  <c r="N58"/>
  <c r="O58"/>
  <c r="N59"/>
  <c r="O59"/>
  <c r="N60"/>
  <c r="O60"/>
  <c r="N61"/>
  <c r="O61"/>
  <c r="N62"/>
  <c r="O62"/>
  <c r="N63"/>
  <c r="O63"/>
  <c r="N64"/>
  <c r="O64"/>
  <c r="N65"/>
  <c r="O65"/>
  <c r="N66"/>
  <c r="O66"/>
  <c r="N67"/>
  <c r="O67"/>
  <c r="N68"/>
  <c r="O68"/>
  <c r="N69"/>
  <c r="O69"/>
  <c r="N70"/>
  <c r="O70"/>
  <c r="N71"/>
  <c r="O71"/>
  <c r="N72"/>
  <c r="O72"/>
  <c r="N73"/>
  <c r="O73"/>
  <c r="N74"/>
  <c r="O74"/>
  <c r="N76"/>
  <c r="O76"/>
  <c r="N77"/>
  <c r="O77"/>
  <c r="N78"/>
  <c r="O78"/>
  <c r="N79"/>
  <c r="O79"/>
  <c r="N80"/>
  <c r="O80"/>
  <c r="N81"/>
  <c r="O81"/>
  <c r="N82"/>
  <c r="O82"/>
  <c r="N83"/>
  <c r="O83"/>
  <c r="N84"/>
  <c r="O84"/>
  <c r="N85"/>
  <c r="O85"/>
  <c r="N86"/>
  <c r="O86"/>
  <c r="N87"/>
  <c r="O87"/>
  <c r="N88"/>
  <c r="O88"/>
  <c r="N89"/>
  <c r="O89"/>
  <c r="N90"/>
  <c r="O90"/>
  <c r="N91"/>
  <c r="O91"/>
  <c r="N92"/>
  <c r="O92"/>
  <c r="N93"/>
  <c r="O93"/>
  <c r="N94"/>
  <c r="O94"/>
  <c r="N95"/>
  <c r="O95"/>
  <c r="N96"/>
  <c r="O96"/>
  <c r="N97"/>
  <c r="O97"/>
  <c r="N98"/>
  <c r="O98"/>
  <c r="N99"/>
  <c r="O99"/>
  <c r="N100"/>
  <c r="O100"/>
  <c r="N140"/>
  <c r="O140"/>
  <c r="H140"/>
  <c r="I140" s="1"/>
  <c r="Q130" i="10"/>
  <c r="BW130" s="1"/>
  <c r="BX130" s="1"/>
  <c r="BY130" s="1"/>
  <c r="BZ130" s="1"/>
  <c r="N130"/>
  <c r="AD130"/>
  <c r="Q3"/>
  <c r="BW3" s="1"/>
  <c r="BX3" s="1"/>
  <c r="BY3" s="1"/>
  <c r="BZ3" s="1"/>
  <c r="GM145" l="1"/>
  <c r="GN145"/>
  <c r="GO145" s="1"/>
  <c r="GP145" s="1"/>
  <c r="GF117"/>
  <c r="GG117" s="1"/>
  <c r="GH117" s="1"/>
  <c r="GE117"/>
  <c r="CY129"/>
  <c r="CZ129"/>
  <c r="DA129" s="1"/>
  <c r="DB129" s="1"/>
  <c r="ER128"/>
  <c r="ES128" s="1"/>
  <c r="ET128" s="1"/>
  <c r="EQ128"/>
  <c r="GZ121"/>
  <c r="HA121" s="1"/>
  <c r="HB121" s="1"/>
  <c r="GY121"/>
  <c r="FX124"/>
  <c r="FY124" s="1"/>
  <c r="FZ124" s="1"/>
  <c r="FW124"/>
  <c r="ER103"/>
  <c r="ES103" s="1"/>
  <c r="ET103" s="1"/>
  <c r="EQ103"/>
  <c r="CB130"/>
  <c r="CC130" s="1"/>
  <c r="CD130" s="1"/>
  <c r="CA130"/>
  <c r="CM134"/>
  <c r="CN134"/>
  <c r="CO134" s="1"/>
  <c r="CP134" s="1"/>
  <c r="GN30"/>
  <c r="GO30" s="1"/>
  <c r="GP30" s="1"/>
  <c r="GM30"/>
  <c r="GN49"/>
  <c r="GO49" s="1"/>
  <c r="GP49" s="1"/>
  <c r="GM49"/>
  <c r="FP81"/>
  <c r="FQ81" s="1"/>
  <c r="FR81" s="1"/>
  <c r="FO81"/>
  <c r="FS79"/>
  <c r="FT79"/>
  <c r="FU79" s="1"/>
  <c r="FV79" s="1"/>
  <c r="EJ47"/>
  <c r="EK47" s="1"/>
  <c r="EL47" s="1"/>
  <c r="EI47"/>
  <c r="DS23"/>
  <c r="DT23"/>
  <c r="DU23" s="1"/>
  <c r="DV23" s="1"/>
  <c r="EM42"/>
  <c r="EN42"/>
  <c r="EO42" s="1"/>
  <c r="EP42" s="1"/>
  <c r="DL97"/>
  <c r="DM97" s="1"/>
  <c r="DN97" s="1"/>
  <c r="DK97"/>
  <c r="GB5"/>
  <c r="GC5" s="1"/>
  <c r="GD5" s="1"/>
  <c r="GA5"/>
  <c r="FP7"/>
  <c r="FQ7" s="1"/>
  <c r="FR7" s="1"/>
  <c r="FO7"/>
  <c r="EA84"/>
  <c r="EB84"/>
  <c r="EC84" s="1"/>
  <c r="ED84" s="1"/>
  <c r="EA77"/>
  <c r="EB77"/>
  <c r="EC77" s="1"/>
  <c r="ED77" s="1"/>
  <c r="GE76"/>
  <c r="GF76"/>
  <c r="GG76" s="1"/>
  <c r="GH76" s="1"/>
  <c r="GQ44"/>
  <c r="GR44"/>
  <c r="GS44" s="1"/>
  <c r="GT44" s="1"/>
  <c r="FP83"/>
  <c r="FQ83" s="1"/>
  <c r="FR83" s="1"/>
  <c r="FO83"/>
  <c r="EA93"/>
  <c r="EB93"/>
  <c r="EC93" s="1"/>
  <c r="ED93" s="1"/>
  <c r="EM90"/>
  <c r="EN90"/>
  <c r="EO90" s="1"/>
  <c r="EP90" s="1"/>
  <c r="EV86"/>
  <c r="EW86" s="1"/>
  <c r="EX86" s="1"/>
  <c r="EU86"/>
  <c r="CB3"/>
  <c r="CC3" s="1"/>
  <c r="CD3" s="1"/>
  <c r="CA3"/>
  <c r="GN85"/>
  <c r="GO85" s="1"/>
  <c r="GP85" s="1"/>
  <c r="GM85"/>
  <c r="EB34"/>
  <c r="EC34" s="1"/>
  <c r="ED34" s="1"/>
  <c r="EA34"/>
  <c r="GZ13"/>
  <c r="HA13" s="1"/>
  <c r="HB13" s="1"/>
  <c r="GY13"/>
  <c r="GZ10"/>
  <c r="HA10" s="1"/>
  <c r="HB10" s="1"/>
  <c r="GY10"/>
  <c r="GY89"/>
  <c r="GZ89"/>
  <c r="HA89" s="1"/>
  <c r="HB89" s="1"/>
  <c r="GY56"/>
  <c r="GZ56"/>
  <c r="HA56" s="1"/>
  <c r="HB56" s="1"/>
  <c r="GY91"/>
  <c r="GZ91"/>
  <c r="HA91" s="1"/>
  <c r="HB91" s="1"/>
  <c r="GY80"/>
  <c r="GZ80"/>
  <c r="HA80" s="1"/>
  <c r="HB80" s="1"/>
  <c r="GY52"/>
  <c r="GZ52"/>
  <c r="HA52" s="1"/>
  <c r="HB52" s="1"/>
  <c r="GY70"/>
  <c r="GZ70"/>
  <c r="HA70" s="1"/>
  <c r="HB70" s="1"/>
  <c r="GZ45"/>
  <c r="HA45" s="1"/>
  <c r="HB45" s="1"/>
  <c r="GY45"/>
  <c r="GZ21"/>
  <c r="HA21" s="1"/>
  <c r="HB21" s="1"/>
  <c r="GY21"/>
  <c r="GY22"/>
  <c r="GZ22"/>
  <c r="HA22" s="1"/>
  <c r="HB22" s="1"/>
  <c r="GY64"/>
  <c r="GZ64"/>
  <c r="HA64" s="1"/>
  <c r="HB64" s="1"/>
  <c r="GY82"/>
  <c r="GZ82"/>
  <c r="HA82" s="1"/>
  <c r="HB82" s="1"/>
  <c r="GY24"/>
  <c r="GZ24"/>
  <c r="HA24" s="1"/>
  <c r="HB24" s="1"/>
  <c r="GY51"/>
  <c r="GZ51"/>
  <c r="HA51" s="1"/>
  <c r="HB51" s="1"/>
  <c r="E163" i="54"/>
  <c r="F162" s="1"/>
  <c r="S130" i="10"/>
  <c r="R130" s="1"/>
  <c r="C181"/>
  <c r="V130"/>
  <c r="P58" i="27"/>
  <c r="S58" s="1"/>
  <c r="G58" i="10" s="1"/>
  <c r="P54" i="27"/>
  <c r="S54" s="1"/>
  <c r="G54" i="10" s="1"/>
  <c r="P50" i="27"/>
  <c r="S50" s="1"/>
  <c r="G50" i="10" s="1"/>
  <c r="P46" i="27"/>
  <c r="S46" s="1"/>
  <c r="G46" i="10" s="1"/>
  <c r="P42" i="27"/>
  <c r="S42" s="1"/>
  <c r="G42" i="10" s="1"/>
  <c r="P38" i="27"/>
  <c r="S38" s="1"/>
  <c r="G38" i="10" s="1"/>
  <c r="P33" i="27"/>
  <c r="S33" s="1"/>
  <c r="G33" i="10" s="1"/>
  <c r="P29" i="27"/>
  <c r="S29" s="1"/>
  <c r="G29" i="10" s="1"/>
  <c r="P25" i="27"/>
  <c r="S25" s="1"/>
  <c r="G25" i="10" s="1"/>
  <c r="P21" i="27"/>
  <c r="S21" s="1"/>
  <c r="G21" i="10" s="1"/>
  <c r="P17" i="27"/>
  <c r="S17" s="1"/>
  <c r="G17" i="10" s="1"/>
  <c r="P13" i="27"/>
  <c r="S13" s="1"/>
  <c r="G13" i="10" s="1"/>
  <c r="P9" i="27"/>
  <c r="S9" s="1"/>
  <c r="G9" i="10" s="1"/>
  <c r="P5" i="27"/>
  <c r="S5" s="1"/>
  <c r="G5" i="10" s="1"/>
  <c r="P61" i="27"/>
  <c r="S61" s="1"/>
  <c r="G61" i="10" s="1"/>
  <c r="P63" i="27"/>
  <c r="S63" s="1"/>
  <c r="G63" i="10" s="1"/>
  <c r="P94" i="27"/>
  <c r="S94" s="1"/>
  <c r="G94" i="10" s="1"/>
  <c r="P78" i="27"/>
  <c r="S78" s="1"/>
  <c r="G78" i="10" s="1"/>
  <c r="P69" i="27"/>
  <c r="S69" s="1"/>
  <c r="G69" i="10" s="1"/>
  <c r="P65" i="27"/>
  <c r="S65" s="1"/>
  <c r="G65" i="10" s="1"/>
  <c r="P60" i="27"/>
  <c r="S60" s="1"/>
  <c r="G60" i="10" s="1"/>
  <c r="P56" i="27"/>
  <c r="S56" s="1"/>
  <c r="G56" i="10" s="1"/>
  <c r="P52" i="27"/>
  <c r="S52" s="1"/>
  <c r="G52" i="10" s="1"/>
  <c r="P48" i="27"/>
  <c r="S48" s="1"/>
  <c r="G48" i="10" s="1"/>
  <c r="P44" i="27"/>
  <c r="S44" s="1"/>
  <c r="G44" i="10" s="1"/>
  <c r="P40" i="27"/>
  <c r="S40" s="1"/>
  <c r="G40" i="10" s="1"/>
  <c r="P36" i="27"/>
  <c r="S36" s="1"/>
  <c r="G36" i="10" s="1"/>
  <c r="P31" i="27"/>
  <c r="S31" s="1"/>
  <c r="G31" i="10" s="1"/>
  <c r="P27" i="27"/>
  <c r="S27" s="1"/>
  <c r="G27" i="10" s="1"/>
  <c r="P23" i="27"/>
  <c r="S23" s="1"/>
  <c r="G23" i="10" s="1"/>
  <c r="P19" i="27"/>
  <c r="S19" s="1"/>
  <c r="G19" i="10" s="1"/>
  <c r="P15" i="27"/>
  <c r="S15" s="1"/>
  <c r="G15" i="10" s="1"/>
  <c r="P11" i="27"/>
  <c r="S11" s="1"/>
  <c r="G11" i="10" s="1"/>
  <c r="P7" i="27"/>
  <c r="S7" s="1"/>
  <c r="G7" i="10" s="1"/>
  <c r="P3" i="27"/>
  <c r="S3" s="1"/>
  <c r="G3" i="10" s="1"/>
  <c r="P98" i="27"/>
  <c r="S98" s="1"/>
  <c r="G98" i="10" s="1"/>
  <c r="P96" i="27"/>
  <c r="S96" s="1"/>
  <c r="G96" i="10" s="1"/>
  <c r="P86" i="27"/>
  <c r="S86" s="1"/>
  <c r="G86" i="10" s="1"/>
  <c r="P82" i="27"/>
  <c r="S82" s="1"/>
  <c r="G82" i="10" s="1"/>
  <c r="P80" i="27"/>
  <c r="S80" s="1"/>
  <c r="G80" i="10" s="1"/>
  <c r="P128" i="27"/>
  <c r="S128" s="1"/>
  <c r="G128" i="10" s="1"/>
  <c r="P130" i="27"/>
  <c r="S130" s="1"/>
  <c r="G130" i="10" s="1"/>
  <c r="P124" i="27"/>
  <c r="S124" s="1"/>
  <c r="G124" i="10" s="1"/>
  <c r="P122" i="27"/>
  <c r="S122" s="1"/>
  <c r="G122" i="10" s="1"/>
  <c r="P120" i="27"/>
  <c r="S120" s="1"/>
  <c r="G120" i="10" s="1"/>
  <c r="P118" i="27"/>
  <c r="S118" s="1"/>
  <c r="G118" i="10" s="1"/>
  <c r="P116" i="27"/>
  <c r="S116" s="1"/>
  <c r="G116" i="10" s="1"/>
  <c r="P114" i="27"/>
  <c r="S114" s="1"/>
  <c r="G114" i="10" s="1"/>
  <c r="P112" i="27"/>
  <c r="S112" s="1"/>
  <c r="G112" i="10" s="1"/>
  <c r="P110" i="27"/>
  <c r="S110" s="1"/>
  <c r="G110" i="10" s="1"/>
  <c r="P90" i="27"/>
  <c r="S90" s="1"/>
  <c r="G90" i="10" s="1"/>
  <c r="P88" i="27"/>
  <c r="S88" s="1"/>
  <c r="G88" i="10" s="1"/>
  <c r="P73" i="27"/>
  <c r="S73" s="1"/>
  <c r="G73" i="10" s="1"/>
  <c r="P71" i="27"/>
  <c r="P108"/>
  <c r="S108" s="1"/>
  <c r="G108" i="10" s="1"/>
  <c r="P106" i="27"/>
  <c r="S106" s="1"/>
  <c r="G106" i="10" s="1"/>
  <c r="P100" i="27"/>
  <c r="S100" s="1"/>
  <c r="G100" i="10" s="1"/>
  <c r="P92" i="27"/>
  <c r="P84"/>
  <c r="S84" s="1"/>
  <c r="G84" i="10" s="1"/>
  <c r="P76" i="27"/>
  <c r="S76" s="1"/>
  <c r="G76" i="10" s="1"/>
  <c r="P67" i="27"/>
  <c r="S67" s="1"/>
  <c r="G67" i="10" s="1"/>
  <c r="P140" i="27"/>
  <c r="S140" s="1"/>
  <c r="G140" i="10" s="1"/>
  <c r="P139" i="27"/>
  <c r="S139" s="1"/>
  <c r="G139" i="10" s="1"/>
  <c r="P132" i="27"/>
  <c r="S132" s="1"/>
  <c r="G132" i="10" s="1"/>
  <c r="P126" i="27"/>
  <c r="S126" s="1"/>
  <c r="G126" i="10" s="1"/>
  <c r="P59" i="27"/>
  <c r="S59" s="1"/>
  <c r="G59" i="10" s="1"/>
  <c r="P57" i="27"/>
  <c r="S57" s="1"/>
  <c r="G57" i="10" s="1"/>
  <c r="P55" i="27"/>
  <c r="S55" s="1"/>
  <c r="G55" i="10" s="1"/>
  <c r="P53" i="27"/>
  <c r="S53" s="1"/>
  <c r="G53" i="10" s="1"/>
  <c r="P51" i="27"/>
  <c r="S51" s="1"/>
  <c r="G51" i="10" s="1"/>
  <c r="P49" i="27"/>
  <c r="S49" s="1"/>
  <c r="G49" i="10" s="1"/>
  <c r="P47" i="27"/>
  <c r="S47" s="1"/>
  <c r="G47" i="10" s="1"/>
  <c r="P45" i="27"/>
  <c r="S45" s="1"/>
  <c r="G45" i="10" s="1"/>
  <c r="P43" i="27"/>
  <c r="S43" s="1"/>
  <c r="G43" i="10" s="1"/>
  <c r="P41" i="27"/>
  <c r="S41" s="1"/>
  <c r="G41" i="10" s="1"/>
  <c r="P39" i="27"/>
  <c r="S39" s="1"/>
  <c r="G39" i="10" s="1"/>
  <c r="P37" i="27"/>
  <c r="S37" s="1"/>
  <c r="G37" i="10" s="1"/>
  <c r="P35" i="27"/>
  <c r="S35" s="1"/>
  <c r="G35" i="10" s="1"/>
  <c r="P32" i="27"/>
  <c r="S32" s="1"/>
  <c r="G32" i="10" s="1"/>
  <c r="P30" i="27"/>
  <c r="S30" s="1"/>
  <c r="G30" i="10" s="1"/>
  <c r="P28" i="27"/>
  <c r="S28" s="1"/>
  <c r="G28" i="10" s="1"/>
  <c r="P26" i="27"/>
  <c r="S26" s="1"/>
  <c r="G26" i="10" s="1"/>
  <c r="P24" i="27"/>
  <c r="S24" s="1"/>
  <c r="G24" i="10" s="1"/>
  <c r="P22" i="27"/>
  <c r="S22" s="1"/>
  <c r="G22" i="10" s="1"/>
  <c r="P20" i="27"/>
  <c r="S20" s="1"/>
  <c r="G20" i="10" s="1"/>
  <c r="P18" i="27"/>
  <c r="S18" s="1"/>
  <c r="G18" i="10" s="1"/>
  <c r="P16" i="27"/>
  <c r="S16" s="1"/>
  <c r="G16" i="10" s="1"/>
  <c r="P14" i="27"/>
  <c r="S14" s="1"/>
  <c r="G14" i="10" s="1"/>
  <c r="P12" i="27"/>
  <c r="S12" s="1"/>
  <c r="G12" i="10" s="1"/>
  <c r="P10" i="27"/>
  <c r="S10" s="1"/>
  <c r="G10" i="10" s="1"/>
  <c r="P8" i="27"/>
  <c r="S8" s="1"/>
  <c r="G8" i="10" s="1"/>
  <c r="P6" i="27"/>
  <c r="S6" s="1"/>
  <c r="G6" i="10" s="1"/>
  <c r="P4" i="27"/>
  <c r="S4" s="1"/>
  <c r="G4" i="10" s="1"/>
  <c r="P138" i="27"/>
  <c r="S138" s="1"/>
  <c r="G138" i="10" s="1"/>
  <c r="P136" i="27"/>
  <c r="S136" s="1"/>
  <c r="G136" i="10" s="1"/>
  <c r="P134" i="27"/>
  <c r="S134" s="1"/>
  <c r="G134" i="10" s="1"/>
  <c r="P104" i="27"/>
  <c r="S104" s="1"/>
  <c r="G104" i="10" s="1"/>
  <c r="P102" i="27"/>
  <c r="S102" s="1"/>
  <c r="G102" i="10" s="1"/>
  <c r="P137" i="27"/>
  <c r="S137" s="1"/>
  <c r="G137" i="10" s="1"/>
  <c r="P135" i="27"/>
  <c r="S135" s="1"/>
  <c r="G135" i="10" s="1"/>
  <c r="P133" i="27"/>
  <c r="S133" s="1"/>
  <c r="G133" i="10" s="1"/>
  <c r="P131" i="27"/>
  <c r="S131" s="1"/>
  <c r="G131" i="10" s="1"/>
  <c r="P129" i="27"/>
  <c r="S129" s="1"/>
  <c r="G129" i="10" s="1"/>
  <c r="P127" i="27"/>
  <c r="S127" s="1"/>
  <c r="G127" i="10" s="1"/>
  <c r="P125" i="27"/>
  <c r="S125" s="1"/>
  <c r="G125" i="10" s="1"/>
  <c r="P123" i="27"/>
  <c r="S123" s="1"/>
  <c r="G123" i="10" s="1"/>
  <c r="P121" i="27"/>
  <c r="S121" s="1"/>
  <c r="G121" i="10" s="1"/>
  <c r="P119" i="27"/>
  <c r="S119" s="1"/>
  <c r="G119" i="10" s="1"/>
  <c r="P117" i="27"/>
  <c r="S117" s="1"/>
  <c r="G117" i="10" s="1"/>
  <c r="P115" i="27"/>
  <c r="S115" s="1"/>
  <c r="G115" i="10" s="1"/>
  <c r="P113" i="27"/>
  <c r="S113" s="1"/>
  <c r="G113" i="10" s="1"/>
  <c r="P111" i="27"/>
  <c r="S111" s="1"/>
  <c r="G111" i="10" s="1"/>
  <c r="P109" i="27"/>
  <c r="S109" s="1"/>
  <c r="G109" i="10" s="1"/>
  <c r="P107" i="27"/>
  <c r="S107" s="1"/>
  <c r="G107" i="10" s="1"/>
  <c r="P105" i="27"/>
  <c r="S105" s="1"/>
  <c r="G105" i="10" s="1"/>
  <c r="P103" i="27"/>
  <c r="S103" s="1"/>
  <c r="G103" i="10" s="1"/>
  <c r="P101" i="27"/>
  <c r="S101" s="1"/>
  <c r="G101" i="10" s="1"/>
  <c r="P99" i="27"/>
  <c r="S99" s="1"/>
  <c r="G99" i="10" s="1"/>
  <c r="P97" i="27"/>
  <c r="S97" s="1"/>
  <c r="G97" i="10" s="1"/>
  <c r="P95" i="27"/>
  <c r="S95" s="1"/>
  <c r="G95" i="10" s="1"/>
  <c r="P93" i="27"/>
  <c r="S93" s="1"/>
  <c r="G93" i="10" s="1"/>
  <c r="P91" i="27"/>
  <c r="S91" s="1"/>
  <c r="G91" i="10" s="1"/>
  <c r="P89" i="27"/>
  <c r="S89" s="1"/>
  <c r="G89" i="10" s="1"/>
  <c r="P87" i="27"/>
  <c r="S87" s="1"/>
  <c r="G87" i="10" s="1"/>
  <c r="P85" i="27"/>
  <c r="S85" s="1"/>
  <c r="G85" i="10" s="1"/>
  <c r="P83" i="27"/>
  <c r="S83" s="1"/>
  <c r="G83" i="10" s="1"/>
  <c r="P81" i="27"/>
  <c r="S81" s="1"/>
  <c r="G81" i="10" s="1"/>
  <c r="P79" i="27"/>
  <c r="S79" s="1"/>
  <c r="G79" i="10" s="1"/>
  <c r="P77" i="27"/>
  <c r="S77" s="1"/>
  <c r="G77" i="10" s="1"/>
  <c r="P74" i="27"/>
  <c r="S74" s="1"/>
  <c r="G74" i="10" s="1"/>
  <c r="P72" i="27"/>
  <c r="S72" s="1"/>
  <c r="G72" i="10" s="1"/>
  <c r="P70" i="27"/>
  <c r="S70" s="1"/>
  <c r="G70" i="10" s="1"/>
  <c r="P68" i="27"/>
  <c r="S68" s="1"/>
  <c r="G68" i="10" s="1"/>
  <c r="P66" i="27"/>
  <c r="S66" s="1"/>
  <c r="G66" i="10" s="1"/>
  <c r="P64" i="27"/>
  <c r="S64" s="1"/>
  <c r="G64" i="10" s="1"/>
  <c r="P62" i="27"/>
  <c r="S62" s="1"/>
  <c r="G62" i="10" s="1"/>
  <c r="U141" i="27"/>
  <c r="GA124" i="10" l="1"/>
  <c r="GB124"/>
  <c r="GC124" s="1"/>
  <c r="GD124" s="1"/>
  <c r="GI117"/>
  <c r="GJ117"/>
  <c r="GK117" s="1"/>
  <c r="GL117" s="1"/>
  <c r="GR145"/>
  <c r="GS145" s="1"/>
  <c r="GT145" s="1"/>
  <c r="GQ145"/>
  <c r="EU103"/>
  <c r="EV103"/>
  <c r="EW103" s="1"/>
  <c r="EX103" s="1"/>
  <c r="HC121"/>
  <c r="HD121"/>
  <c r="HE121" s="1"/>
  <c r="HF121" s="1"/>
  <c r="CE130"/>
  <c r="CF130"/>
  <c r="CG130" s="1"/>
  <c r="CH130" s="1"/>
  <c r="DD129"/>
  <c r="DE129" s="1"/>
  <c r="DF129" s="1"/>
  <c r="DC129"/>
  <c r="CR134"/>
  <c r="CS134" s="1"/>
  <c r="CT134" s="1"/>
  <c r="CQ134"/>
  <c r="EV128"/>
  <c r="EW128" s="1"/>
  <c r="EX128" s="1"/>
  <c r="EU128"/>
  <c r="H102"/>
  <c r="IN24"/>
  <c r="IO12"/>
  <c r="IO15" s="1"/>
  <c r="FW79"/>
  <c r="FX79"/>
  <c r="FY79" s="1"/>
  <c r="FZ79" s="1"/>
  <c r="EF34"/>
  <c r="EG34" s="1"/>
  <c r="EH34" s="1"/>
  <c r="EE34"/>
  <c r="CF3"/>
  <c r="CG3" s="1"/>
  <c r="CH3" s="1"/>
  <c r="CE3"/>
  <c r="GI76"/>
  <c r="GJ76"/>
  <c r="GK76" s="1"/>
  <c r="GL76" s="1"/>
  <c r="EF77"/>
  <c r="EG77" s="1"/>
  <c r="EH77" s="1"/>
  <c r="EE77"/>
  <c r="ER42"/>
  <c r="ES42" s="1"/>
  <c r="ET42" s="1"/>
  <c r="EQ42"/>
  <c r="EM47"/>
  <c r="EN47"/>
  <c r="EO47" s="1"/>
  <c r="EP47" s="1"/>
  <c r="EQ90"/>
  <c r="ER90"/>
  <c r="ES90" s="1"/>
  <c r="ET90" s="1"/>
  <c r="FT83"/>
  <c r="FU83" s="1"/>
  <c r="FV83" s="1"/>
  <c r="FS83"/>
  <c r="FS7"/>
  <c r="FT7"/>
  <c r="FU7" s="1"/>
  <c r="FV7" s="1"/>
  <c r="GE5"/>
  <c r="GF5"/>
  <c r="GG5" s="1"/>
  <c r="GH5" s="1"/>
  <c r="DO97"/>
  <c r="DP97"/>
  <c r="DQ97" s="1"/>
  <c r="DR97" s="1"/>
  <c r="DX23"/>
  <c r="DY23" s="1"/>
  <c r="DZ23" s="1"/>
  <c r="DW23"/>
  <c r="FS81"/>
  <c r="FT81"/>
  <c r="FU81" s="1"/>
  <c r="FV81" s="1"/>
  <c r="GQ30"/>
  <c r="GR30"/>
  <c r="GS30" s="1"/>
  <c r="GT30" s="1"/>
  <c r="GQ85"/>
  <c r="GR85"/>
  <c r="GS85" s="1"/>
  <c r="GT85" s="1"/>
  <c r="EY86"/>
  <c r="EZ86"/>
  <c r="FA86" s="1"/>
  <c r="FB86" s="1"/>
  <c r="EF93"/>
  <c r="EG93" s="1"/>
  <c r="EH93" s="1"/>
  <c r="EE93"/>
  <c r="GV44"/>
  <c r="GW44" s="1"/>
  <c r="GX44" s="1"/>
  <c r="GU44"/>
  <c r="EE84"/>
  <c r="EF84"/>
  <c r="EG84" s="1"/>
  <c r="EH84" s="1"/>
  <c r="GR49"/>
  <c r="GS49" s="1"/>
  <c r="GT49" s="1"/>
  <c r="GQ49"/>
  <c r="H56"/>
  <c r="HC22"/>
  <c r="HD22"/>
  <c r="HE22" s="1"/>
  <c r="HF22" s="1"/>
  <c r="HD21"/>
  <c r="HE21" s="1"/>
  <c r="HF21" s="1"/>
  <c r="HC21"/>
  <c r="HD45"/>
  <c r="HE45" s="1"/>
  <c r="HF45" s="1"/>
  <c r="HC45"/>
  <c r="HC70"/>
  <c r="HD70"/>
  <c r="HE70" s="1"/>
  <c r="HF70" s="1"/>
  <c r="HD10"/>
  <c r="HE10" s="1"/>
  <c r="HF10" s="1"/>
  <c r="HC10"/>
  <c r="HC24"/>
  <c r="HD24"/>
  <c r="HE24" s="1"/>
  <c r="HF24" s="1"/>
  <c r="HC82"/>
  <c r="HD82"/>
  <c r="HE82" s="1"/>
  <c r="HF82" s="1"/>
  <c r="HC64"/>
  <c r="HD64"/>
  <c r="HE64" s="1"/>
  <c r="HF64" s="1"/>
  <c r="HC80"/>
  <c r="HD80"/>
  <c r="HE80" s="1"/>
  <c r="HF80" s="1"/>
  <c r="HC56"/>
  <c r="HD56"/>
  <c r="HE56" s="1"/>
  <c r="HF56" s="1"/>
  <c r="HD13"/>
  <c r="HE13" s="1"/>
  <c r="HF13" s="1"/>
  <c r="HC13"/>
  <c r="HC51"/>
  <c r="HD51"/>
  <c r="HE51" s="1"/>
  <c r="HF51" s="1"/>
  <c r="HC52"/>
  <c r="HD52"/>
  <c r="HE52" s="1"/>
  <c r="HF52" s="1"/>
  <c r="HC91"/>
  <c r="HD91"/>
  <c r="HE91" s="1"/>
  <c r="HF91" s="1"/>
  <c r="HC89"/>
  <c r="HD89"/>
  <c r="HE89" s="1"/>
  <c r="HF89" s="1"/>
  <c r="H121"/>
  <c r="H76"/>
  <c r="H5"/>
  <c r="E164" i="54"/>
  <c r="F163" s="1"/>
  <c r="H49" i="10"/>
  <c r="H34"/>
  <c r="W130"/>
  <c r="T130"/>
  <c r="Y130" s="1"/>
  <c r="H23"/>
  <c r="AE130"/>
  <c r="L130"/>
  <c r="M130" s="1"/>
  <c r="S71" i="27"/>
  <c r="G71" i="10" s="1"/>
  <c r="S92" i="27"/>
  <c r="G92" i="10" s="1"/>
  <c r="CU134" l="1"/>
  <c r="CV134"/>
  <c r="CW134" s="1"/>
  <c r="CX134" s="1"/>
  <c r="HH121"/>
  <c r="HI121" s="1"/>
  <c r="HJ121" s="1"/>
  <c r="HG121"/>
  <c r="GF124"/>
  <c r="GG124" s="1"/>
  <c r="GH124" s="1"/>
  <c r="GE124"/>
  <c r="DG129"/>
  <c r="DH129"/>
  <c r="DI129" s="1"/>
  <c r="DJ129" s="1"/>
  <c r="CI130"/>
  <c r="CJ130"/>
  <c r="CK130" s="1"/>
  <c r="CL130" s="1"/>
  <c r="EY103"/>
  <c r="EZ103"/>
  <c r="FA103" s="1"/>
  <c r="FB103" s="1"/>
  <c r="GV145"/>
  <c r="GW145" s="1"/>
  <c r="GX145" s="1"/>
  <c r="GU145"/>
  <c r="EZ128"/>
  <c r="FA128" s="1"/>
  <c r="FB128" s="1"/>
  <c r="EY128"/>
  <c r="GN117"/>
  <c r="GO117" s="1"/>
  <c r="GP117" s="1"/>
  <c r="GM117"/>
  <c r="IH53"/>
  <c r="IO16"/>
  <c r="II53" s="1"/>
  <c r="GZ44"/>
  <c r="HA44" s="1"/>
  <c r="HB44" s="1"/>
  <c r="GY44"/>
  <c r="EJ93"/>
  <c r="EK93" s="1"/>
  <c r="EL93" s="1"/>
  <c r="EI93"/>
  <c r="EV42"/>
  <c r="EW42" s="1"/>
  <c r="EX42" s="1"/>
  <c r="EU42"/>
  <c r="EI34"/>
  <c r="EJ34"/>
  <c r="EK34" s="1"/>
  <c r="EL34" s="1"/>
  <c r="FC86"/>
  <c r="FD86"/>
  <c r="FE86" s="1"/>
  <c r="FF86" s="1"/>
  <c r="GV85"/>
  <c r="GW85" s="1"/>
  <c r="GX85" s="1"/>
  <c r="GU85"/>
  <c r="FX81"/>
  <c r="FY81" s="1"/>
  <c r="FZ81" s="1"/>
  <c r="FW81"/>
  <c r="GI5"/>
  <c r="GJ5"/>
  <c r="GK5" s="1"/>
  <c r="GL5" s="1"/>
  <c r="EQ47"/>
  <c r="ER47"/>
  <c r="ES47" s="1"/>
  <c r="ET47" s="1"/>
  <c r="GA79"/>
  <c r="GB79"/>
  <c r="GC79" s="1"/>
  <c r="GD79" s="1"/>
  <c r="GV49"/>
  <c r="GW49" s="1"/>
  <c r="GX49" s="1"/>
  <c r="GU49"/>
  <c r="EA23"/>
  <c r="EB23"/>
  <c r="EC23" s="1"/>
  <c r="ED23" s="1"/>
  <c r="FW83"/>
  <c r="FX83"/>
  <c r="FY83" s="1"/>
  <c r="FZ83" s="1"/>
  <c r="EJ77"/>
  <c r="EK77" s="1"/>
  <c r="EL77" s="1"/>
  <c r="EI77"/>
  <c r="CI3"/>
  <c r="CJ3"/>
  <c r="CK3" s="1"/>
  <c r="CL3" s="1"/>
  <c r="EJ84"/>
  <c r="EK84" s="1"/>
  <c r="EL84" s="1"/>
  <c r="EI84"/>
  <c r="GV30"/>
  <c r="GW30" s="1"/>
  <c r="GX30" s="1"/>
  <c r="GU30"/>
  <c r="DS97"/>
  <c r="DT97"/>
  <c r="DU97" s="1"/>
  <c r="DV97" s="1"/>
  <c r="FW7"/>
  <c r="FX7"/>
  <c r="FY7" s="1"/>
  <c r="FZ7" s="1"/>
  <c r="EV90"/>
  <c r="EW90" s="1"/>
  <c r="EX90" s="1"/>
  <c r="EU90"/>
  <c r="GM76"/>
  <c r="GN76"/>
  <c r="GO76" s="1"/>
  <c r="GP76" s="1"/>
  <c r="HG89"/>
  <c r="HH89"/>
  <c r="HI89" s="1"/>
  <c r="HJ89" s="1"/>
  <c r="HG91"/>
  <c r="HH91"/>
  <c r="HI91" s="1"/>
  <c r="HJ91" s="1"/>
  <c r="HG52"/>
  <c r="HH52"/>
  <c r="HI52" s="1"/>
  <c r="HJ52" s="1"/>
  <c r="HH10"/>
  <c r="HI10" s="1"/>
  <c r="HJ10" s="1"/>
  <c r="HG10"/>
  <c r="HH21"/>
  <c r="HI21" s="1"/>
  <c r="HJ21" s="1"/>
  <c r="HG21"/>
  <c r="HG80"/>
  <c r="HH80"/>
  <c r="HI80" s="1"/>
  <c r="HJ80" s="1"/>
  <c r="HG82"/>
  <c r="HH82"/>
  <c r="HI82" s="1"/>
  <c r="HJ82" s="1"/>
  <c r="HG24"/>
  <c r="HH24"/>
  <c r="HI24" s="1"/>
  <c r="HJ24" s="1"/>
  <c r="HG22"/>
  <c r="HH22"/>
  <c r="HI22" s="1"/>
  <c r="HJ22" s="1"/>
  <c r="HG51"/>
  <c r="HH51"/>
  <c r="HI51" s="1"/>
  <c r="HJ51" s="1"/>
  <c r="HH13"/>
  <c r="HI13" s="1"/>
  <c r="HJ13" s="1"/>
  <c r="HG13"/>
  <c r="HG56"/>
  <c r="HH56"/>
  <c r="HI56" s="1"/>
  <c r="HJ56" s="1"/>
  <c r="HG64"/>
  <c r="HH64"/>
  <c r="HI64" s="1"/>
  <c r="HJ64" s="1"/>
  <c r="HG70"/>
  <c r="HH70"/>
  <c r="HI70" s="1"/>
  <c r="HJ70" s="1"/>
  <c r="HH45"/>
  <c r="HI45" s="1"/>
  <c r="HJ45" s="1"/>
  <c r="HG45"/>
  <c r="E165" i="54"/>
  <c r="F164" s="1"/>
  <c r="Z130" i="10"/>
  <c r="AA130" s="1"/>
  <c r="AB130" s="1"/>
  <c r="BW116"/>
  <c r="BX116" s="1"/>
  <c r="BY116" s="1"/>
  <c r="BZ116" s="1"/>
  <c r="H137" i="27"/>
  <c r="I137" s="1"/>
  <c r="H138"/>
  <c r="I138" s="1"/>
  <c r="A138" s="1"/>
  <c r="U138" s="1"/>
  <c r="H139"/>
  <c r="I139" s="1"/>
  <c r="B139" s="1"/>
  <c r="N116" i="10"/>
  <c r="AD116"/>
  <c r="H97" i="27"/>
  <c r="I97" s="1"/>
  <c r="A97" s="1"/>
  <c r="U97" s="1"/>
  <c r="BW99" i="10"/>
  <c r="BX99" s="1"/>
  <c r="BY99" s="1"/>
  <c r="BZ99" s="1"/>
  <c r="N99"/>
  <c r="AD99"/>
  <c r="Q106"/>
  <c r="BW106" s="1"/>
  <c r="BX106" s="1"/>
  <c r="BY106" s="1"/>
  <c r="BZ106" s="1"/>
  <c r="Y255"/>
  <c r="Z254"/>
  <c r="Z244"/>
  <c r="Z245"/>
  <c r="Z246"/>
  <c r="Z247"/>
  <c r="Z248"/>
  <c r="Z249"/>
  <c r="Z250"/>
  <c r="Z251"/>
  <c r="Z252"/>
  <c r="Z253"/>
  <c r="Z243"/>
  <c r="Z242"/>
  <c r="AB258"/>
  <c r="AA258"/>
  <c r="AB242" s="1"/>
  <c r="AC253"/>
  <c r="AB253"/>
  <c r="AC248"/>
  <c r="AB248"/>
  <c r="AC251"/>
  <c r="AA239"/>
  <c r="AC258" s="1"/>
  <c r="Z261"/>
  <c r="B51" i="22"/>
  <c r="F94" s="1"/>
  <c r="H132" i="27"/>
  <c r="I132" s="1"/>
  <c r="H133"/>
  <c r="I133" s="1"/>
  <c r="H134"/>
  <c r="I134" s="1"/>
  <c r="A134" s="1"/>
  <c r="U134" s="1"/>
  <c r="H135"/>
  <c r="I135" s="1"/>
  <c r="H136"/>
  <c r="I136" s="1"/>
  <c r="A136" s="1"/>
  <c r="U136" s="1"/>
  <c r="Q69" i="10"/>
  <c r="BW69" s="1"/>
  <c r="BX69" s="1"/>
  <c r="BY69" s="1"/>
  <c r="BZ69" s="1"/>
  <c r="N69"/>
  <c r="AD69"/>
  <c r="N128"/>
  <c r="AD128"/>
  <c r="Q125"/>
  <c r="BW125" s="1"/>
  <c r="BX125" s="1"/>
  <c r="BY125" s="1"/>
  <c r="BZ125" s="1"/>
  <c r="BW114"/>
  <c r="BX114" s="1"/>
  <c r="BY114" s="1"/>
  <c r="BZ114" s="1"/>
  <c r="Q138"/>
  <c r="BW138" s="1"/>
  <c r="BX138" s="1"/>
  <c r="BY138" s="1"/>
  <c r="BZ138" s="1"/>
  <c r="DL129" l="1"/>
  <c r="DM129" s="1"/>
  <c r="DN129" s="1"/>
  <c r="DK129"/>
  <c r="CM130"/>
  <c r="CN130"/>
  <c r="CO130" s="1"/>
  <c r="CP130" s="1"/>
  <c r="HK121"/>
  <c r="HL121"/>
  <c r="HM121" s="1"/>
  <c r="HN121" s="1"/>
  <c r="GI124"/>
  <c r="GJ124"/>
  <c r="GK124" s="1"/>
  <c r="GL124" s="1"/>
  <c r="CB114"/>
  <c r="CC114" s="1"/>
  <c r="CD114" s="1"/>
  <c r="CA114"/>
  <c r="CA106"/>
  <c r="CB106"/>
  <c r="CC106" s="1"/>
  <c r="CD106" s="1"/>
  <c r="CA116"/>
  <c r="CB116"/>
  <c r="CC116" s="1"/>
  <c r="CD116" s="1"/>
  <c r="GR117"/>
  <c r="GS117" s="1"/>
  <c r="GT117" s="1"/>
  <c r="GQ117"/>
  <c r="GY145"/>
  <c r="GZ145"/>
  <c r="HA145" s="1"/>
  <c r="HB145" s="1"/>
  <c r="CZ134"/>
  <c r="DA134" s="1"/>
  <c r="DB134" s="1"/>
  <c r="CY134"/>
  <c r="FD103"/>
  <c r="FE103" s="1"/>
  <c r="FF103" s="1"/>
  <c r="FC103"/>
  <c r="CA125"/>
  <c r="CB125"/>
  <c r="CC125" s="1"/>
  <c r="CD125" s="1"/>
  <c r="CB138"/>
  <c r="CC138" s="1"/>
  <c r="CD138" s="1"/>
  <c r="CA138"/>
  <c r="FC128"/>
  <c r="FD128"/>
  <c r="FE128" s="1"/>
  <c r="FF128" s="1"/>
  <c r="H94" i="22"/>
  <c r="GA83" i="10"/>
  <c r="GB83"/>
  <c r="GC83" s="1"/>
  <c r="GD83" s="1"/>
  <c r="CB69"/>
  <c r="CC69" s="1"/>
  <c r="CD69" s="1"/>
  <c r="CA69"/>
  <c r="GQ76"/>
  <c r="GR76"/>
  <c r="GS76" s="1"/>
  <c r="GT76" s="1"/>
  <c r="GA7"/>
  <c r="GB7"/>
  <c r="GC7" s="1"/>
  <c r="GD7" s="1"/>
  <c r="EN84"/>
  <c r="EO84" s="1"/>
  <c r="EP84" s="1"/>
  <c r="EM84"/>
  <c r="EU47"/>
  <c r="EV47"/>
  <c r="EW47" s="1"/>
  <c r="EX47" s="1"/>
  <c r="FH86"/>
  <c r="FI86" s="1"/>
  <c r="FJ86" s="1"/>
  <c r="FG86"/>
  <c r="GY49"/>
  <c r="GZ49"/>
  <c r="HA49" s="1"/>
  <c r="HB49" s="1"/>
  <c r="GA81"/>
  <c r="GB81"/>
  <c r="GC81" s="1"/>
  <c r="GD81" s="1"/>
  <c r="EY42"/>
  <c r="EZ42"/>
  <c r="FA42" s="1"/>
  <c r="FB42" s="1"/>
  <c r="HD44"/>
  <c r="HE44" s="1"/>
  <c r="HF44" s="1"/>
  <c r="HC44"/>
  <c r="DW97"/>
  <c r="DX97"/>
  <c r="DY97" s="1"/>
  <c r="DZ97" s="1"/>
  <c r="EM77"/>
  <c r="EN77"/>
  <c r="EO77" s="1"/>
  <c r="EP77" s="1"/>
  <c r="EE23"/>
  <c r="EF23"/>
  <c r="EG23" s="1"/>
  <c r="EH23" s="1"/>
  <c r="GE79"/>
  <c r="GF79"/>
  <c r="GG79" s="1"/>
  <c r="GH79" s="1"/>
  <c r="GM5"/>
  <c r="GN5"/>
  <c r="GO5" s="1"/>
  <c r="GP5" s="1"/>
  <c r="EN34"/>
  <c r="EO34" s="1"/>
  <c r="EP34" s="1"/>
  <c r="EM34"/>
  <c r="CB99"/>
  <c r="CC99" s="1"/>
  <c r="CD99" s="1"/>
  <c r="CA99"/>
  <c r="EY90"/>
  <c r="EZ90"/>
  <c r="FA90" s="1"/>
  <c r="FB90" s="1"/>
  <c r="GZ30"/>
  <c r="HA30" s="1"/>
  <c r="HB30" s="1"/>
  <c r="GY30"/>
  <c r="CN3"/>
  <c r="CO3" s="1"/>
  <c r="CP3" s="1"/>
  <c r="CM3"/>
  <c r="GY85"/>
  <c r="GZ85"/>
  <c r="HA85" s="1"/>
  <c r="HB85" s="1"/>
  <c r="EM93"/>
  <c r="EN93"/>
  <c r="EO93" s="1"/>
  <c r="EP93" s="1"/>
  <c r="HL13"/>
  <c r="HM13" s="1"/>
  <c r="HN13" s="1"/>
  <c r="HK13"/>
  <c r="HK22"/>
  <c r="HL22"/>
  <c r="HM22" s="1"/>
  <c r="HN22" s="1"/>
  <c r="HK82"/>
  <c r="HL82"/>
  <c r="HM82" s="1"/>
  <c r="HN82" s="1"/>
  <c r="HK80"/>
  <c r="HL80"/>
  <c r="HM80" s="1"/>
  <c r="HN80" s="1"/>
  <c r="HK52"/>
  <c r="HL52"/>
  <c r="HM52" s="1"/>
  <c r="HN52" s="1"/>
  <c r="HK91"/>
  <c r="HL91"/>
  <c r="HM91" s="1"/>
  <c r="HN91" s="1"/>
  <c r="HK64"/>
  <c r="HL64"/>
  <c r="HM64" s="1"/>
  <c r="HN64" s="1"/>
  <c r="HK51"/>
  <c r="HL51"/>
  <c r="HM51" s="1"/>
  <c r="HN51" s="1"/>
  <c r="HK89"/>
  <c r="HL89"/>
  <c r="HM89" s="1"/>
  <c r="HN89" s="1"/>
  <c r="HL45"/>
  <c r="HM45" s="1"/>
  <c r="HN45" s="1"/>
  <c r="HK45"/>
  <c r="HK70"/>
  <c r="HL70"/>
  <c r="HM70" s="1"/>
  <c r="HN70" s="1"/>
  <c r="HK56"/>
  <c r="HL56"/>
  <c r="HM56" s="1"/>
  <c r="HN56" s="1"/>
  <c r="HK24"/>
  <c r="HL24"/>
  <c r="HM24" s="1"/>
  <c r="HN24" s="1"/>
  <c r="HL21"/>
  <c r="HM21" s="1"/>
  <c r="HN21" s="1"/>
  <c r="HK21"/>
  <c r="HL10"/>
  <c r="HM10" s="1"/>
  <c r="HN10" s="1"/>
  <c r="HK10"/>
  <c r="E166" i="54"/>
  <c r="F165" s="1"/>
  <c r="S99" i="10"/>
  <c r="R99" s="1"/>
  <c r="S116"/>
  <c r="T116" s="1"/>
  <c r="Y116" s="1"/>
  <c r="B140" i="27"/>
  <c r="A140"/>
  <c r="U140" s="1"/>
  <c r="V116" i="10"/>
  <c r="L116"/>
  <c r="M116" s="1"/>
  <c r="AE116"/>
  <c r="B97" i="27"/>
  <c r="L99" i="10"/>
  <c r="M99" s="1"/>
  <c r="AE99"/>
  <c r="V99"/>
  <c r="S128"/>
  <c r="R128" s="1"/>
  <c r="S69"/>
  <c r="R69" s="1"/>
  <c r="AE183"/>
  <c r="AB250"/>
  <c r="AC239"/>
  <c r="AA242" s="1"/>
  <c r="AA245" s="1"/>
  <c r="AC242"/>
  <c r="AA248" s="1"/>
  <c r="AA261"/>
  <c r="A137" i="27"/>
  <c r="U137" s="1"/>
  <c r="B137"/>
  <c r="B136"/>
  <c r="B138"/>
  <c r="A135"/>
  <c r="U135" s="1"/>
  <c r="B135"/>
  <c r="B134"/>
  <c r="A139"/>
  <c r="U139" s="1"/>
  <c r="V69" i="10"/>
  <c r="V128"/>
  <c r="FH128" l="1"/>
  <c r="FI128" s="1"/>
  <c r="FJ128" s="1"/>
  <c r="FG128"/>
  <c r="CE106"/>
  <c r="CF106"/>
  <c r="CG106" s="1"/>
  <c r="CH106" s="1"/>
  <c r="GN124"/>
  <c r="GO124" s="1"/>
  <c r="GP124" s="1"/>
  <c r="GM124"/>
  <c r="CR130"/>
  <c r="CS130" s="1"/>
  <c r="CT130" s="1"/>
  <c r="CQ130"/>
  <c r="FH103"/>
  <c r="FI103" s="1"/>
  <c r="FJ103" s="1"/>
  <c r="FG103"/>
  <c r="DP129"/>
  <c r="DQ129" s="1"/>
  <c r="DR129" s="1"/>
  <c r="DO129"/>
  <c r="CF114"/>
  <c r="CG114" s="1"/>
  <c r="CH114" s="1"/>
  <c r="CE114"/>
  <c r="HO121"/>
  <c r="HP121"/>
  <c r="HQ121" s="1"/>
  <c r="HR121" s="1"/>
  <c r="CF138"/>
  <c r="CG138" s="1"/>
  <c r="CH138" s="1"/>
  <c r="CE138"/>
  <c r="HD145"/>
  <c r="HE145" s="1"/>
  <c r="HF145" s="1"/>
  <c r="HC145"/>
  <c r="CF116"/>
  <c r="CG116" s="1"/>
  <c r="CH116" s="1"/>
  <c r="CE116"/>
  <c r="DC134"/>
  <c r="DD134"/>
  <c r="DE134" s="1"/>
  <c r="DF134" s="1"/>
  <c r="GV117"/>
  <c r="GW117" s="1"/>
  <c r="GX117" s="1"/>
  <c r="GU117"/>
  <c r="CE125"/>
  <c r="CF125"/>
  <c r="CG125" s="1"/>
  <c r="CH125" s="1"/>
  <c r="T99"/>
  <c r="Y99" s="1"/>
  <c r="Z99" s="1"/>
  <c r="AA99" s="1"/>
  <c r="AB99" s="1"/>
  <c r="HC85"/>
  <c r="HD85"/>
  <c r="HE85" s="1"/>
  <c r="HF85" s="1"/>
  <c r="HC30"/>
  <c r="HD30"/>
  <c r="HE30" s="1"/>
  <c r="HF30" s="1"/>
  <c r="GQ5"/>
  <c r="GR5"/>
  <c r="GS5" s="1"/>
  <c r="GT5" s="1"/>
  <c r="EJ23"/>
  <c r="EK23" s="1"/>
  <c r="EL23" s="1"/>
  <c r="EI23"/>
  <c r="EB97"/>
  <c r="EC97" s="1"/>
  <c r="ED97" s="1"/>
  <c r="EA97"/>
  <c r="HD49"/>
  <c r="HE49" s="1"/>
  <c r="HF49" s="1"/>
  <c r="HC49"/>
  <c r="CQ3"/>
  <c r="CR3"/>
  <c r="CS3" s="1"/>
  <c r="CT3" s="1"/>
  <c r="ER34"/>
  <c r="ES34" s="1"/>
  <c r="ET34" s="1"/>
  <c r="EQ34"/>
  <c r="HH44"/>
  <c r="HI44" s="1"/>
  <c r="HJ44" s="1"/>
  <c r="HG44"/>
  <c r="FK86"/>
  <c r="FL86"/>
  <c r="FM86" s="1"/>
  <c r="FN86" s="1"/>
  <c r="GU76"/>
  <c r="GV76"/>
  <c r="GW76" s="1"/>
  <c r="GX76" s="1"/>
  <c r="GI79"/>
  <c r="GJ79"/>
  <c r="GK79" s="1"/>
  <c r="GL79" s="1"/>
  <c r="EQ77"/>
  <c r="ER77"/>
  <c r="ES77" s="1"/>
  <c r="ET77" s="1"/>
  <c r="FD42"/>
  <c r="FE42" s="1"/>
  <c r="FF42" s="1"/>
  <c r="FC42"/>
  <c r="GE81"/>
  <c r="GF81"/>
  <c r="GG81" s="1"/>
  <c r="GH81" s="1"/>
  <c r="EY47"/>
  <c r="EZ47"/>
  <c r="FA47" s="1"/>
  <c r="FB47" s="1"/>
  <c r="GE83"/>
  <c r="GF83"/>
  <c r="GG83" s="1"/>
  <c r="GH83" s="1"/>
  <c r="EQ93"/>
  <c r="ER93"/>
  <c r="ES93" s="1"/>
  <c r="ET93" s="1"/>
  <c r="FC90"/>
  <c r="FD90"/>
  <c r="FE90" s="1"/>
  <c r="FF90" s="1"/>
  <c r="CF69"/>
  <c r="CG69" s="1"/>
  <c r="CH69" s="1"/>
  <c r="CE69"/>
  <c r="CF99"/>
  <c r="CG99" s="1"/>
  <c r="CH99" s="1"/>
  <c r="CE99"/>
  <c r="EQ84"/>
  <c r="ER84"/>
  <c r="ES84" s="1"/>
  <c r="ET84" s="1"/>
  <c r="GF7"/>
  <c r="GG7" s="1"/>
  <c r="GH7" s="1"/>
  <c r="GE7"/>
  <c r="HO89"/>
  <c r="HP89"/>
  <c r="HQ89" s="1"/>
  <c r="HR89" s="1"/>
  <c r="HO80"/>
  <c r="HP80"/>
  <c r="HQ80" s="1"/>
  <c r="HR80" s="1"/>
  <c r="HO22"/>
  <c r="HP22"/>
  <c r="HQ22" s="1"/>
  <c r="HR22" s="1"/>
  <c r="HP13"/>
  <c r="HQ13" s="1"/>
  <c r="HR13" s="1"/>
  <c r="HO13"/>
  <c r="HO24"/>
  <c r="HP24"/>
  <c r="HQ24" s="1"/>
  <c r="HR24" s="1"/>
  <c r="HO56"/>
  <c r="HP56"/>
  <c r="HQ56" s="1"/>
  <c r="HR56" s="1"/>
  <c r="HO51"/>
  <c r="HP51"/>
  <c r="HQ51" s="1"/>
  <c r="HR51" s="1"/>
  <c r="HO91"/>
  <c r="HP91"/>
  <c r="HQ91" s="1"/>
  <c r="HR91" s="1"/>
  <c r="HO82"/>
  <c r="HP82"/>
  <c r="HQ82" s="1"/>
  <c r="HR82" s="1"/>
  <c r="HP10"/>
  <c r="HQ10" s="1"/>
  <c r="HR10" s="1"/>
  <c r="HO10"/>
  <c r="HP21"/>
  <c r="HQ21" s="1"/>
  <c r="HR21" s="1"/>
  <c r="HO21"/>
  <c r="HO70"/>
  <c r="HP70"/>
  <c r="HQ70" s="1"/>
  <c r="HR70" s="1"/>
  <c r="HP45"/>
  <c r="HQ45" s="1"/>
  <c r="HR45" s="1"/>
  <c r="HO45"/>
  <c r="HO64"/>
  <c r="HP64"/>
  <c r="HQ64" s="1"/>
  <c r="HR64" s="1"/>
  <c r="HO52"/>
  <c r="HP52"/>
  <c r="HQ52" s="1"/>
  <c r="HR52" s="1"/>
  <c r="E167" i="54"/>
  <c r="F166" s="1"/>
  <c r="Z116" i="10"/>
  <c r="AA116" s="1"/>
  <c r="AB116" s="1"/>
  <c r="W116"/>
  <c r="W99"/>
  <c r="R116"/>
  <c r="T128"/>
  <c r="Y128" s="1"/>
  <c r="T69"/>
  <c r="Y69" s="1"/>
  <c r="L128"/>
  <c r="M128" s="1"/>
  <c r="AE128"/>
  <c r="W69"/>
  <c r="W128"/>
  <c r="L69"/>
  <c r="M69" s="1"/>
  <c r="AE69"/>
  <c r="BX8" i="21"/>
  <c r="CJ8"/>
  <c r="CI8"/>
  <c r="CE8"/>
  <c r="CH8" s="1"/>
  <c r="CP8"/>
  <c r="CR8" s="1"/>
  <c r="DB8"/>
  <c r="DA8"/>
  <c r="CW8"/>
  <c r="CV130" i="10" l="1"/>
  <c r="CW130" s="1"/>
  <c r="CX130" s="1"/>
  <c r="CU130"/>
  <c r="FK103"/>
  <c r="FL103"/>
  <c r="FM103" s="1"/>
  <c r="FN103" s="1"/>
  <c r="DS129"/>
  <c r="DT129"/>
  <c r="DU129" s="1"/>
  <c r="DV129" s="1"/>
  <c r="FK128"/>
  <c r="FL128"/>
  <c r="FM128" s="1"/>
  <c r="FN128" s="1"/>
  <c r="CI114"/>
  <c r="CJ114"/>
  <c r="CK114" s="1"/>
  <c r="CL114" s="1"/>
  <c r="DH134"/>
  <c r="DI134" s="1"/>
  <c r="DJ134" s="1"/>
  <c r="DG134"/>
  <c r="CI138"/>
  <c r="CJ138"/>
  <c r="CK138" s="1"/>
  <c r="CL138" s="1"/>
  <c r="GY117"/>
  <c r="GZ117"/>
  <c r="HA117" s="1"/>
  <c r="HB117" s="1"/>
  <c r="HH145"/>
  <c r="HI145" s="1"/>
  <c r="HJ145" s="1"/>
  <c r="HG145"/>
  <c r="HT121"/>
  <c r="HU121" s="1"/>
  <c r="HV121" s="1"/>
  <c r="HS121"/>
  <c r="CJ116"/>
  <c r="CK116" s="1"/>
  <c r="CL116" s="1"/>
  <c r="CI116"/>
  <c r="CI106"/>
  <c r="CJ106"/>
  <c r="CK106" s="1"/>
  <c r="CL106" s="1"/>
  <c r="CI125"/>
  <c r="CJ125"/>
  <c r="CK125" s="1"/>
  <c r="CL125" s="1"/>
  <c r="GQ124"/>
  <c r="GR124"/>
  <c r="GS124" s="1"/>
  <c r="GT124" s="1"/>
  <c r="HG30"/>
  <c r="HH30"/>
  <c r="HI30" s="1"/>
  <c r="HJ30" s="1"/>
  <c r="EU77"/>
  <c r="EV77"/>
  <c r="EW77" s="1"/>
  <c r="EX77" s="1"/>
  <c r="FG90"/>
  <c r="FH90"/>
  <c r="FI90" s="1"/>
  <c r="FJ90" s="1"/>
  <c r="GI83"/>
  <c r="GJ83"/>
  <c r="GK83" s="1"/>
  <c r="GL83" s="1"/>
  <c r="GI81"/>
  <c r="GJ81"/>
  <c r="GK81" s="1"/>
  <c r="GL81" s="1"/>
  <c r="EV34"/>
  <c r="EW34" s="1"/>
  <c r="EX34" s="1"/>
  <c r="EU34"/>
  <c r="HH49"/>
  <c r="HI49" s="1"/>
  <c r="HJ49" s="1"/>
  <c r="HG49"/>
  <c r="EF97"/>
  <c r="EG97" s="1"/>
  <c r="EH97" s="1"/>
  <c r="EE97"/>
  <c r="CJ99"/>
  <c r="CK99" s="1"/>
  <c r="CL99" s="1"/>
  <c r="CI99"/>
  <c r="GN79"/>
  <c r="GO79" s="1"/>
  <c r="GP79" s="1"/>
  <c r="GM79"/>
  <c r="GY76"/>
  <c r="GZ76"/>
  <c r="HA76" s="1"/>
  <c r="HB76" s="1"/>
  <c r="CV3"/>
  <c r="CW3" s="1"/>
  <c r="CX3" s="1"/>
  <c r="CU3"/>
  <c r="GJ7"/>
  <c r="GK7" s="1"/>
  <c r="GL7" s="1"/>
  <c r="GI7"/>
  <c r="EV93"/>
  <c r="EW93" s="1"/>
  <c r="EX93" s="1"/>
  <c r="EU93"/>
  <c r="FC47"/>
  <c r="FD47"/>
  <c r="FE47" s="1"/>
  <c r="FF47" s="1"/>
  <c r="HK44"/>
  <c r="HL44"/>
  <c r="HM44" s="1"/>
  <c r="HN44" s="1"/>
  <c r="EM23"/>
  <c r="EN23"/>
  <c r="EO23" s="1"/>
  <c r="EP23" s="1"/>
  <c r="HH85"/>
  <c r="HI85" s="1"/>
  <c r="HJ85" s="1"/>
  <c r="HG85"/>
  <c r="EU84"/>
  <c r="EV84"/>
  <c r="EW84" s="1"/>
  <c r="EX84" s="1"/>
  <c r="CI69"/>
  <c r="CJ69"/>
  <c r="CK69" s="1"/>
  <c r="CL69" s="1"/>
  <c r="FG42"/>
  <c r="FH42"/>
  <c r="FI42" s="1"/>
  <c r="FJ42" s="1"/>
  <c r="FP86"/>
  <c r="FQ86" s="1"/>
  <c r="FR86" s="1"/>
  <c r="FO86"/>
  <c r="GU5"/>
  <c r="GV5"/>
  <c r="GW5" s="1"/>
  <c r="GX5" s="1"/>
  <c r="HT45"/>
  <c r="HU45" s="1"/>
  <c r="HV45" s="1"/>
  <c r="HS45"/>
  <c r="HT21"/>
  <c r="HU21" s="1"/>
  <c r="HV21" s="1"/>
  <c r="HS21"/>
  <c r="HT10"/>
  <c r="HU10" s="1"/>
  <c r="HV10" s="1"/>
  <c r="HS10"/>
  <c r="HS82"/>
  <c r="HT82"/>
  <c r="HU82" s="1"/>
  <c r="HV82" s="1"/>
  <c r="HS56"/>
  <c r="HT56"/>
  <c r="HU56" s="1"/>
  <c r="HV56" s="1"/>
  <c r="HT13"/>
  <c r="HU13" s="1"/>
  <c r="HV13" s="1"/>
  <c r="HS13"/>
  <c r="HS80"/>
  <c r="HT80"/>
  <c r="HU80" s="1"/>
  <c r="HV80" s="1"/>
  <c r="HS52"/>
  <c r="HT52"/>
  <c r="HU52" s="1"/>
  <c r="HV52" s="1"/>
  <c r="HS64"/>
  <c r="HT64"/>
  <c r="HU64" s="1"/>
  <c r="HV64" s="1"/>
  <c r="HS70"/>
  <c r="HT70"/>
  <c r="HU70" s="1"/>
  <c r="HV70" s="1"/>
  <c r="HS24"/>
  <c r="HT24"/>
  <c r="HU24" s="1"/>
  <c r="HV24" s="1"/>
  <c r="HS22"/>
  <c r="HT22"/>
  <c r="HU22" s="1"/>
  <c r="HV22" s="1"/>
  <c r="HS91"/>
  <c r="HT91"/>
  <c r="HU91" s="1"/>
  <c r="HV91" s="1"/>
  <c r="HS51"/>
  <c r="HT51"/>
  <c r="HU51" s="1"/>
  <c r="HV51" s="1"/>
  <c r="HS89"/>
  <c r="HT89"/>
  <c r="HU89" s="1"/>
  <c r="HV89" s="1"/>
  <c r="E168" i="54"/>
  <c r="F167" s="1"/>
  <c r="BZ8" i="21"/>
  <c r="Z128" i="10"/>
  <c r="AA128" s="1"/>
  <c r="AB128" s="1"/>
  <c r="Z69"/>
  <c r="AA69" s="1"/>
  <c r="AB69" s="1"/>
  <c r="H130"/>
  <c r="CX8" i="21"/>
  <c r="CY8" s="1"/>
  <c r="CD8"/>
  <c r="CF8"/>
  <c r="CG8" s="1"/>
  <c r="CZ8"/>
  <c r="CV8"/>
  <c r="GV124" i="10" l="1"/>
  <c r="GW124" s="1"/>
  <c r="GX124" s="1"/>
  <c r="GU124"/>
  <c r="DK134"/>
  <c r="DL134"/>
  <c r="DM134" s="1"/>
  <c r="DN134" s="1"/>
  <c r="CM116"/>
  <c r="CN116"/>
  <c r="CO116" s="1"/>
  <c r="CP116" s="1"/>
  <c r="CN106"/>
  <c r="CO106" s="1"/>
  <c r="CP106" s="1"/>
  <c r="CM106"/>
  <c r="HD117"/>
  <c r="HE117" s="1"/>
  <c r="HF117" s="1"/>
  <c r="HC117"/>
  <c r="CZ130"/>
  <c r="DA130" s="1"/>
  <c r="DB130" s="1"/>
  <c r="CY130"/>
  <c r="CN125"/>
  <c r="CO125" s="1"/>
  <c r="CP125" s="1"/>
  <c r="CM125"/>
  <c r="CN114"/>
  <c r="CO114" s="1"/>
  <c r="CP114" s="1"/>
  <c r="CM114"/>
  <c r="HX121"/>
  <c r="HY121" s="1"/>
  <c r="HZ121" s="1"/>
  <c r="HW121"/>
  <c r="DW129"/>
  <c r="DX129"/>
  <c r="DY129" s="1"/>
  <c r="DZ129" s="1"/>
  <c r="HK145"/>
  <c r="HL145"/>
  <c r="HM145" s="1"/>
  <c r="HN145" s="1"/>
  <c r="CM138"/>
  <c r="CN138"/>
  <c r="CO138" s="1"/>
  <c r="CP138" s="1"/>
  <c r="FP128"/>
  <c r="FQ128" s="1"/>
  <c r="FR128" s="1"/>
  <c r="FO128"/>
  <c r="FP103"/>
  <c r="FQ103" s="1"/>
  <c r="FR103" s="1"/>
  <c r="FO103"/>
  <c r="GZ5"/>
  <c r="HA5" s="1"/>
  <c r="HB5" s="1"/>
  <c r="GY5"/>
  <c r="CM69"/>
  <c r="CN69"/>
  <c r="CO69" s="1"/>
  <c r="CP69" s="1"/>
  <c r="EY84"/>
  <c r="EZ84"/>
  <c r="FA84" s="1"/>
  <c r="FB84" s="1"/>
  <c r="FH47"/>
  <c r="FI47" s="1"/>
  <c r="FJ47" s="1"/>
  <c r="FG47"/>
  <c r="GM7"/>
  <c r="GN7"/>
  <c r="GO7" s="1"/>
  <c r="GP7" s="1"/>
  <c r="GM83"/>
  <c r="GN83"/>
  <c r="GO83" s="1"/>
  <c r="GP83" s="1"/>
  <c r="EZ77"/>
  <c r="FA77" s="1"/>
  <c r="FB77" s="1"/>
  <c r="EY77"/>
  <c r="HL85"/>
  <c r="HM85" s="1"/>
  <c r="HN85" s="1"/>
  <c r="HK85"/>
  <c r="HK30"/>
  <c r="HL30"/>
  <c r="HM30" s="1"/>
  <c r="HN30" s="1"/>
  <c r="FS86"/>
  <c r="FT86"/>
  <c r="FU86" s="1"/>
  <c r="FV86" s="1"/>
  <c r="EY93"/>
  <c r="EZ93"/>
  <c r="FA93" s="1"/>
  <c r="FB93" s="1"/>
  <c r="HC76"/>
  <c r="HD76"/>
  <c r="HE76" s="1"/>
  <c r="HF76" s="1"/>
  <c r="CN99"/>
  <c r="CO99" s="1"/>
  <c r="CP99" s="1"/>
  <c r="CM99"/>
  <c r="EJ97"/>
  <c r="EK97" s="1"/>
  <c r="EL97" s="1"/>
  <c r="EI97"/>
  <c r="HK49"/>
  <c r="HL49"/>
  <c r="HM49" s="1"/>
  <c r="HN49" s="1"/>
  <c r="EZ34"/>
  <c r="FA34" s="1"/>
  <c r="FB34" s="1"/>
  <c r="EY34"/>
  <c r="FK42"/>
  <c r="FL42"/>
  <c r="FM42" s="1"/>
  <c r="FN42" s="1"/>
  <c r="EQ23"/>
  <c r="ER23"/>
  <c r="ES23" s="1"/>
  <c r="ET23" s="1"/>
  <c r="HP44"/>
  <c r="HQ44" s="1"/>
  <c r="HR44" s="1"/>
  <c r="HO44"/>
  <c r="CZ3"/>
  <c r="DA3" s="1"/>
  <c r="DB3" s="1"/>
  <c r="CY3"/>
  <c r="GQ79"/>
  <c r="GR79"/>
  <c r="GS79" s="1"/>
  <c r="GT79" s="1"/>
  <c r="GM81"/>
  <c r="GN81"/>
  <c r="GO81" s="1"/>
  <c r="GP81" s="1"/>
  <c r="FK90"/>
  <c r="FL90"/>
  <c r="FM90" s="1"/>
  <c r="FN90" s="1"/>
  <c r="HW51"/>
  <c r="HX51"/>
  <c r="HY51" s="1"/>
  <c r="HZ51" s="1"/>
  <c r="HW22"/>
  <c r="HX22"/>
  <c r="HY22" s="1"/>
  <c r="HZ22" s="1"/>
  <c r="HW24"/>
  <c r="HX24"/>
  <c r="HY24" s="1"/>
  <c r="HZ24" s="1"/>
  <c r="HW82"/>
  <c r="HX82"/>
  <c r="HY82" s="1"/>
  <c r="HZ82" s="1"/>
  <c r="HX10"/>
  <c r="HY10" s="1"/>
  <c r="HZ10" s="1"/>
  <c r="HW10"/>
  <c r="HW89"/>
  <c r="HX89"/>
  <c r="HY89" s="1"/>
  <c r="HZ89" s="1"/>
  <c r="HW91"/>
  <c r="HX91"/>
  <c r="HY91" s="1"/>
  <c r="HZ91" s="1"/>
  <c r="HX45"/>
  <c r="HY45" s="1"/>
  <c r="HZ45" s="1"/>
  <c r="HW45"/>
  <c r="HW52"/>
  <c r="HX52"/>
  <c r="HY52" s="1"/>
  <c r="HZ52" s="1"/>
  <c r="HW56"/>
  <c r="HX56"/>
  <c r="HY56" s="1"/>
  <c r="HZ56" s="1"/>
  <c r="HX21"/>
  <c r="HY21" s="1"/>
  <c r="HZ21" s="1"/>
  <c r="HW21"/>
  <c r="HW70"/>
  <c r="HX70"/>
  <c r="HY70" s="1"/>
  <c r="HZ70" s="1"/>
  <c r="HW64"/>
  <c r="HX64"/>
  <c r="HY64" s="1"/>
  <c r="HZ64" s="1"/>
  <c r="HW80"/>
  <c r="HX80"/>
  <c r="HY80" s="1"/>
  <c r="HZ80" s="1"/>
  <c r="HX13"/>
  <c r="HY13" s="1"/>
  <c r="HZ13" s="1"/>
  <c r="HW13"/>
  <c r="E169" i="54"/>
  <c r="F168" s="1"/>
  <c r="Q93" i="22" a="1"/>
  <c r="J183" i="21"/>
  <c r="H54" i="27"/>
  <c r="I54" s="1"/>
  <c r="A54" s="1"/>
  <c r="U54" s="1"/>
  <c r="H125"/>
  <c r="I125" s="1"/>
  <c r="H126"/>
  <c r="I126" s="1"/>
  <c r="H127"/>
  <c r="I127" s="1"/>
  <c r="H128"/>
  <c r="I128" s="1"/>
  <c r="H129"/>
  <c r="I129" s="1"/>
  <c r="H130"/>
  <c r="I130" s="1"/>
  <c r="H131"/>
  <c r="I131" s="1"/>
  <c r="N106" i="10"/>
  <c r="AD106"/>
  <c r="F88" i="22"/>
  <c r="N101"/>
  <c r="G80" s="1"/>
  <c r="I80" s="1"/>
  <c r="M101"/>
  <c r="F80" s="1"/>
  <c r="M100"/>
  <c r="F3" i="14"/>
  <c r="Q11" i="10"/>
  <c r="BW11" s="1"/>
  <c r="BX11" s="1"/>
  <c r="BY11" s="1"/>
  <c r="BZ11" s="1"/>
  <c r="N30"/>
  <c r="AD30"/>
  <c r="C650" i="21"/>
  <c r="C660"/>
  <c r="D649"/>
  <c r="E649"/>
  <c r="F649"/>
  <c r="C649"/>
  <c r="Q120" i="10"/>
  <c r="BW120" s="1"/>
  <c r="BX120" s="1"/>
  <c r="BY120" s="1"/>
  <c r="BZ120" s="1"/>
  <c r="H28" i="27"/>
  <c r="I28" s="1"/>
  <c r="V2"/>
  <c r="H24"/>
  <c r="I24" s="1"/>
  <c r="EA129" i="10" l="1"/>
  <c r="EB129"/>
  <c r="EC129" s="1"/>
  <c r="ED129" s="1"/>
  <c r="FT103"/>
  <c r="FU103" s="1"/>
  <c r="FV103" s="1"/>
  <c r="FS103"/>
  <c r="DC130"/>
  <c r="DD130"/>
  <c r="DE130" s="1"/>
  <c r="DF130" s="1"/>
  <c r="IB121"/>
  <c r="IA121"/>
  <c r="CQ125"/>
  <c r="CR125"/>
  <c r="CS125" s="1"/>
  <c r="CT125" s="1"/>
  <c r="CQ106"/>
  <c r="CR106"/>
  <c r="CS106" s="1"/>
  <c r="CT106" s="1"/>
  <c r="CR138"/>
  <c r="CS138" s="1"/>
  <c r="CT138" s="1"/>
  <c r="CQ138"/>
  <c r="DO134"/>
  <c r="DP134"/>
  <c r="DQ134" s="1"/>
  <c r="DR134" s="1"/>
  <c r="CB120"/>
  <c r="CC120" s="1"/>
  <c r="CD120" s="1"/>
  <c r="CA120"/>
  <c r="HO145"/>
  <c r="HP145"/>
  <c r="HQ145" s="1"/>
  <c r="HR145" s="1"/>
  <c r="CR116"/>
  <c r="CS116" s="1"/>
  <c r="CT116" s="1"/>
  <c r="CQ116"/>
  <c r="FS128"/>
  <c r="FT128"/>
  <c r="FU128" s="1"/>
  <c r="FV128" s="1"/>
  <c r="CQ114"/>
  <c r="CR114"/>
  <c r="CS114" s="1"/>
  <c r="CT114" s="1"/>
  <c r="HH117"/>
  <c r="HI117" s="1"/>
  <c r="HJ117" s="1"/>
  <c r="HG117"/>
  <c r="GY124"/>
  <c r="GZ124"/>
  <c r="HA124" s="1"/>
  <c r="HB124" s="1"/>
  <c r="H88" i="22"/>
  <c r="FD77" i="10"/>
  <c r="FE77" s="1"/>
  <c r="FF77" s="1"/>
  <c r="FC77"/>
  <c r="CQ69"/>
  <c r="CR69"/>
  <c r="CS69" s="1"/>
  <c r="CT69" s="1"/>
  <c r="FO90"/>
  <c r="FP90"/>
  <c r="FQ90" s="1"/>
  <c r="FR90" s="1"/>
  <c r="FO42"/>
  <c r="FP42"/>
  <c r="FQ42" s="1"/>
  <c r="FR42" s="1"/>
  <c r="CA11"/>
  <c r="CB11"/>
  <c r="CC11" s="1"/>
  <c r="CD11" s="1"/>
  <c r="DD3"/>
  <c r="DE3" s="1"/>
  <c r="DF3" s="1"/>
  <c r="DC3"/>
  <c r="FC34"/>
  <c r="FD34"/>
  <c r="FE34" s="1"/>
  <c r="FF34" s="1"/>
  <c r="EN97"/>
  <c r="EO97" s="1"/>
  <c r="EP97" s="1"/>
  <c r="EM97"/>
  <c r="FD93"/>
  <c r="FE93" s="1"/>
  <c r="FF93" s="1"/>
  <c r="FC93"/>
  <c r="FW86"/>
  <c r="FX86"/>
  <c r="FY86" s="1"/>
  <c r="FZ86" s="1"/>
  <c r="FK47"/>
  <c r="FL47"/>
  <c r="FM47" s="1"/>
  <c r="FN47" s="1"/>
  <c r="FC84"/>
  <c r="FD84"/>
  <c r="FE84" s="1"/>
  <c r="FF84" s="1"/>
  <c r="HT44"/>
  <c r="HU44" s="1"/>
  <c r="HV44" s="1"/>
  <c r="HS44"/>
  <c r="CR99"/>
  <c r="CS99" s="1"/>
  <c r="CT99" s="1"/>
  <c r="CQ99"/>
  <c r="HO30"/>
  <c r="HP30"/>
  <c r="HQ30" s="1"/>
  <c r="HR30" s="1"/>
  <c r="EU23"/>
  <c r="EV23"/>
  <c r="EW23" s="1"/>
  <c r="EX23" s="1"/>
  <c r="HG76"/>
  <c r="HH76"/>
  <c r="HI76" s="1"/>
  <c r="HJ76" s="1"/>
  <c r="GR83"/>
  <c r="GS83" s="1"/>
  <c r="GT83" s="1"/>
  <c r="GQ83"/>
  <c r="GQ7"/>
  <c r="GR7"/>
  <c r="GS7" s="1"/>
  <c r="GT7" s="1"/>
  <c r="HD5"/>
  <c r="HE5" s="1"/>
  <c r="HF5" s="1"/>
  <c r="HC5"/>
  <c r="GR81"/>
  <c r="GS81" s="1"/>
  <c r="GT81" s="1"/>
  <c r="GQ81"/>
  <c r="GU79"/>
  <c r="GV79"/>
  <c r="GW79" s="1"/>
  <c r="GX79" s="1"/>
  <c r="HO49"/>
  <c r="HP49"/>
  <c r="HQ49" s="1"/>
  <c r="HR49" s="1"/>
  <c r="HO85"/>
  <c r="HP85"/>
  <c r="HQ85" s="1"/>
  <c r="HR85" s="1"/>
  <c r="IA52"/>
  <c r="IB52"/>
  <c r="IB10"/>
  <c r="IA10"/>
  <c r="IA24"/>
  <c r="IB24"/>
  <c r="IA51"/>
  <c r="IB51"/>
  <c r="IB13"/>
  <c r="IA13"/>
  <c r="IA64"/>
  <c r="IB64"/>
  <c r="IB45"/>
  <c r="IA45"/>
  <c r="IA82"/>
  <c r="IB82"/>
  <c r="IA80"/>
  <c r="IB80"/>
  <c r="IA70"/>
  <c r="IB70"/>
  <c r="IA21"/>
  <c r="IB21"/>
  <c r="IA56"/>
  <c r="IB56"/>
  <c r="IA91"/>
  <c r="IB91"/>
  <c r="IA89"/>
  <c r="IB89"/>
  <c r="IA22"/>
  <c r="IB22"/>
  <c r="E170" i="54"/>
  <c r="F169" s="1"/>
  <c r="Q93" i="22"/>
  <c r="R93"/>
  <c r="H80"/>
  <c r="S30" i="10"/>
  <c r="T30" s="1"/>
  <c r="Y30" s="1"/>
  <c r="J184" i="21"/>
  <c r="S106" i="10"/>
  <c r="T106" s="1"/>
  <c r="Y106" s="1"/>
  <c r="B54" i="27"/>
  <c r="A133"/>
  <c r="U133" s="1"/>
  <c r="B133"/>
  <c r="V106" i="10"/>
  <c r="V30"/>
  <c r="B28" i="27"/>
  <c r="A28"/>
  <c r="U28" s="1"/>
  <c r="B24"/>
  <c r="A24"/>
  <c r="U24" s="1"/>
  <c r="H20"/>
  <c r="I20" s="1"/>
  <c r="H42"/>
  <c r="I42" s="1"/>
  <c r="H33"/>
  <c r="I33" s="1"/>
  <c r="H35"/>
  <c r="I35" s="1"/>
  <c r="H36"/>
  <c r="I36" s="1"/>
  <c r="C59" i="22"/>
  <c r="E56" s="1"/>
  <c r="H41" i="27"/>
  <c r="I41" s="1"/>
  <c r="H2"/>
  <c r="I2" s="1"/>
  <c r="B2" s="1"/>
  <c r="B1"/>
  <c r="B21" i="21"/>
  <c r="H85" i="22" l="1"/>
  <c r="HD124" i="10"/>
  <c r="HE124" s="1"/>
  <c r="HF124" s="1"/>
  <c r="HC124"/>
  <c r="FX103"/>
  <c r="FY103" s="1"/>
  <c r="FZ103" s="1"/>
  <c r="FW103"/>
  <c r="DH130"/>
  <c r="DI130" s="1"/>
  <c r="DJ130" s="1"/>
  <c r="DG130"/>
  <c r="EE129"/>
  <c r="EF129"/>
  <c r="EG129" s="1"/>
  <c r="EH129" s="1"/>
  <c r="HK117"/>
  <c r="HL117"/>
  <c r="HM117" s="1"/>
  <c r="HN117" s="1"/>
  <c r="FX128"/>
  <c r="FY128" s="1"/>
  <c r="FZ128" s="1"/>
  <c r="FW128"/>
  <c r="HT145"/>
  <c r="HU145" s="1"/>
  <c r="HV145" s="1"/>
  <c r="HS145"/>
  <c r="CE120"/>
  <c r="CF120"/>
  <c r="CG120" s="1"/>
  <c r="CH120" s="1"/>
  <c r="CU138"/>
  <c r="CV138"/>
  <c r="CW138" s="1"/>
  <c r="CX138" s="1"/>
  <c r="DT134"/>
  <c r="DU134" s="1"/>
  <c r="DV134" s="1"/>
  <c r="DS134"/>
  <c r="CV106"/>
  <c r="CW106" s="1"/>
  <c r="CX106" s="1"/>
  <c r="CU106"/>
  <c r="CU114"/>
  <c r="CV114"/>
  <c r="CW114" s="1"/>
  <c r="CX114" s="1"/>
  <c r="CV116"/>
  <c r="CW116" s="1"/>
  <c r="CX116" s="1"/>
  <c r="CU116"/>
  <c r="CV125"/>
  <c r="CW125" s="1"/>
  <c r="CX125" s="1"/>
  <c r="CU125"/>
  <c r="E54" i="22"/>
  <c r="F86" s="1"/>
  <c r="E55"/>
  <c r="E57"/>
  <c r="F87" s="1"/>
  <c r="FS90" i="10"/>
  <c r="FT90"/>
  <c r="FU90" s="1"/>
  <c r="FV90" s="1"/>
  <c r="GY79"/>
  <c r="GZ79"/>
  <c r="HA79" s="1"/>
  <c r="HB79" s="1"/>
  <c r="FP47"/>
  <c r="FQ47" s="1"/>
  <c r="FR47" s="1"/>
  <c r="FO47"/>
  <c r="FH34"/>
  <c r="FI34" s="1"/>
  <c r="FJ34" s="1"/>
  <c r="FG34"/>
  <c r="CE11"/>
  <c r="CF11"/>
  <c r="CG11" s="1"/>
  <c r="CH11" s="1"/>
  <c r="FS42"/>
  <c r="FT42"/>
  <c r="FU42" s="1"/>
  <c r="FV42" s="1"/>
  <c r="HS85"/>
  <c r="HT85"/>
  <c r="HU85" s="1"/>
  <c r="HV85" s="1"/>
  <c r="HG5"/>
  <c r="HH5"/>
  <c r="HI5" s="1"/>
  <c r="HJ5" s="1"/>
  <c r="GU83"/>
  <c r="GV83"/>
  <c r="GW83" s="1"/>
  <c r="GX83" s="1"/>
  <c r="HK76"/>
  <c r="HL76"/>
  <c r="HM76" s="1"/>
  <c r="HN76" s="1"/>
  <c r="CV99"/>
  <c r="CW99" s="1"/>
  <c r="CX99" s="1"/>
  <c r="CU99"/>
  <c r="FG93"/>
  <c r="FH93"/>
  <c r="FI93" s="1"/>
  <c r="FJ93" s="1"/>
  <c r="GV7"/>
  <c r="GW7" s="1"/>
  <c r="GX7" s="1"/>
  <c r="GU7"/>
  <c r="HS30"/>
  <c r="HT30"/>
  <c r="HU30" s="1"/>
  <c r="HV30" s="1"/>
  <c r="FH84"/>
  <c r="FI84" s="1"/>
  <c r="FJ84" s="1"/>
  <c r="FG84"/>
  <c r="GA86"/>
  <c r="GB86"/>
  <c r="GC86" s="1"/>
  <c r="GD86" s="1"/>
  <c r="FG77"/>
  <c r="FH77"/>
  <c r="FI77" s="1"/>
  <c r="FJ77" s="1"/>
  <c r="HT49"/>
  <c r="HU49" s="1"/>
  <c r="HV49" s="1"/>
  <c r="HS49"/>
  <c r="GU81"/>
  <c r="GV81"/>
  <c r="GW81" s="1"/>
  <c r="GX81" s="1"/>
  <c r="EY23"/>
  <c r="EZ23"/>
  <c r="FA23" s="1"/>
  <c r="FB23" s="1"/>
  <c r="HX44"/>
  <c r="HY44" s="1"/>
  <c r="HZ44" s="1"/>
  <c r="HW44"/>
  <c r="ER97"/>
  <c r="ES97" s="1"/>
  <c r="ET97" s="1"/>
  <c r="EQ97"/>
  <c r="DG3"/>
  <c r="DH3"/>
  <c r="DI3" s="1"/>
  <c r="DJ3" s="1"/>
  <c r="CV69"/>
  <c r="CW69" s="1"/>
  <c r="CX69" s="1"/>
  <c r="CU69"/>
  <c r="E171" i="54"/>
  <c r="F170" s="1"/>
  <c r="Z106" i="10"/>
  <c r="AA106" s="1"/>
  <c r="AB106" s="1"/>
  <c r="Z30"/>
  <c r="AA30" s="1"/>
  <c r="AB30" s="1"/>
  <c r="R90" i="22"/>
  <c r="F83" s="1"/>
  <c r="R30" i="10"/>
  <c r="R106"/>
  <c r="W106"/>
  <c r="W30"/>
  <c r="AE106"/>
  <c r="L106"/>
  <c r="M106" s="1"/>
  <c r="L30"/>
  <c r="M30" s="1"/>
  <c r="AE30"/>
  <c r="A20" i="27"/>
  <c r="U20" s="1"/>
  <c r="B20"/>
  <c r="B41"/>
  <c r="A41"/>
  <c r="U41" s="1"/>
  <c r="A2"/>
  <c r="U2" s="1"/>
  <c r="CJ120" i="10" l="1"/>
  <c r="CK120" s="1"/>
  <c r="CL120" s="1"/>
  <c r="CI120"/>
  <c r="CZ116"/>
  <c r="DA116" s="1"/>
  <c r="DB116" s="1"/>
  <c r="CY116"/>
  <c r="DK130"/>
  <c r="DL130"/>
  <c r="DM130" s="1"/>
  <c r="DN130" s="1"/>
  <c r="CZ125"/>
  <c r="DA125" s="1"/>
  <c r="DB125" s="1"/>
  <c r="CY125"/>
  <c r="HP117"/>
  <c r="HQ117" s="1"/>
  <c r="HR117" s="1"/>
  <c r="HO117"/>
  <c r="EI129"/>
  <c r="EJ129"/>
  <c r="EK129" s="1"/>
  <c r="EL129" s="1"/>
  <c r="GB103"/>
  <c r="GC103" s="1"/>
  <c r="GD103" s="1"/>
  <c r="GA103"/>
  <c r="CY114"/>
  <c r="CZ114"/>
  <c r="DA114" s="1"/>
  <c r="DB114" s="1"/>
  <c r="DX134"/>
  <c r="DY134" s="1"/>
  <c r="DZ134" s="1"/>
  <c r="DW134"/>
  <c r="CY138"/>
  <c r="CZ138"/>
  <c r="DA138" s="1"/>
  <c r="DB138" s="1"/>
  <c r="GB128"/>
  <c r="GC128" s="1"/>
  <c r="GD128" s="1"/>
  <c r="GA128"/>
  <c r="HH124"/>
  <c r="HI124" s="1"/>
  <c r="HJ124" s="1"/>
  <c r="HG124"/>
  <c r="CY106"/>
  <c r="CZ106"/>
  <c r="DA106" s="1"/>
  <c r="DB106" s="1"/>
  <c r="HW145"/>
  <c r="HX145"/>
  <c r="HY145" s="1"/>
  <c r="HZ145" s="1"/>
  <c r="H86" i="22"/>
  <c r="H87"/>
  <c r="H83"/>
  <c r="HX30" i="10"/>
  <c r="HY30" s="1"/>
  <c r="HZ30" s="1"/>
  <c r="HW30"/>
  <c r="CZ69"/>
  <c r="DA69" s="1"/>
  <c r="DB69" s="1"/>
  <c r="CY69"/>
  <c r="GZ81"/>
  <c r="HA81" s="1"/>
  <c r="HB81" s="1"/>
  <c r="GY81"/>
  <c r="FK84"/>
  <c r="FL84"/>
  <c r="FM84" s="1"/>
  <c r="FN84" s="1"/>
  <c r="FL93"/>
  <c r="FM93" s="1"/>
  <c r="FN93" s="1"/>
  <c r="FK93"/>
  <c r="FL34"/>
  <c r="FM34" s="1"/>
  <c r="FN34" s="1"/>
  <c r="FK34"/>
  <c r="IB44"/>
  <c r="IA44"/>
  <c r="EU97"/>
  <c r="EV97"/>
  <c r="EW97" s="1"/>
  <c r="EX97" s="1"/>
  <c r="HW49"/>
  <c r="HX49"/>
  <c r="HY49" s="1"/>
  <c r="HZ49" s="1"/>
  <c r="CY99"/>
  <c r="CZ99"/>
  <c r="DA99" s="1"/>
  <c r="DB99" s="1"/>
  <c r="FX42"/>
  <c r="FY42" s="1"/>
  <c r="FZ42" s="1"/>
  <c r="FW42"/>
  <c r="FK77"/>
  <c r="FL77"/>
  <c r="FM77" s="1"/>
  <c r="FN77" s="1"/>
  <c r="GY83"/>
  <c r="GZ83"/>
  <c r="HA83" s="1"/>
  <c r="HB83" s="1"/>
  <c r="HW85"/>
  <c r="HX85"/>
  <c r="HY85" s="1"/>
  <c r="HZ85" s="1"/>
  <c r="DL3"/>
  <c r="DM3" s="1"/>
  <c r="DN3" s="1"/>
  <c r="DK3"/>
  <c r="GE86"/>
  <c r="GF86"/>
  <c r="GG86" s="1"/>
  <c r="GH86" s="1"/>
  <c r="GY7"/>
  <c r="GZ7"/>
  <c r="HA7" s="1"/>
  <c r="HB7" s="1"/>
  <c r="CI11"/>
  <c r="CJ11"/>
  <c r="CK11" s="1"/>
  <c r="CL11" s="1"/>
  <c r="HC79"/>
  <c r="HD79"/>
  <c r="HE79" s="1"/>
  <c r="HF79" s="1"/>
  <c r="FX90"/>
  <c r="FY90" s="1"/>
  <c r="FZ90" s="1"/>
  <c r="FW90"/>
  <c r="FD23"/>
  <c r="FE23" s="1"/>
  <c r="FF23" s="1"/>
  <c r="FC23"/>
  <c r="HO76"/>
  <c r="HP76"/>
  <c r="HQ76" s="1"/>
  <c r="HR76" s="1"/>
  <c r="HK5"/>
  <c r="HL5"/>
  <c r="HM5" s="1"/>
  <c r="HN5" s="1"/>
  <c r="FS47"/>
  <c r="FT47"/>
  <c r="FU47" s="1"/>
  <c r="FV47" s="1"/>
  <c r="E172" i="54"/>
  <c r="F171" s="1"/>
  <c r="K94" i="22"/>
  <c r="K95" s="1"/>
  <c r="K96" s="1"/>
  <c r="K97" s="1"/>
  <c r="K98" s="1"/>
  <c r="K99" s="1"/>
  <c r="N97" i="10"/>
  <c r="AD97"/>
  <c r="DW35" i="21"/>
  <c r="DW17"/>
  <c r="DD138" i="10" l="1"/>
  <c r="DE138" s="1"/>
  <c r="DF138" s="1"/>
  <c r="DC138"/>
  <c r="EN129"/>
  <c r="EO129" s="1"/>
  <c r="EP129" s="1"/>
  <c r="EM129"/>
  <c r="DD116"/>
  <c r="DE116" s="1"/>
  <c r="DF116" s="1"/>
  <c r="DC116"/>
  <c r="EB134"/>
  <c r="EC134" s="1"/>
  <c r="ED134" s="1"/>
  <c r="EA134"/>
  <c r="DP130"/>
  <c r="DQ130" s="1"/>
  <c r="DR130" s="1"/>
  <c r="DO130"/>
  <c r="DD114"/>
  <c r="DE114" s="1"/>
  <c r="DF114" s="1"/>
  <c r="DC114"/>
  <c r="IB145"/>
  <c r="IA145"/>
  <c r="GE128"/>
  <c r="GF128"/>
  <c r="GG128" s="1"/>
  <c r="GH128" s="1"/>
  <c r="GF103"/>
  <c r="GG103" s="1"/>
  <c r="GH103" s="1"/>
  <c r="GE103"/>
  <c r="HL124"/>
  <c r="HM124" s="1"/>
  <c r="HN124" s="1"/>
  <c r="HK124"/>
  <c r="HT117"/>
  <c r="HU117" s="1"/>
  <c r="HV117" s="1"/>
  <c r="HS117"/>
  <c r="DD106"/>
  <c r="DE106" s="1"/>
  <c r="DF106" s="1"/>
  <c r="DC106"/>
  <c r="DD125"/>
  <c r="DE125" s="1"/>
  <c r="DF125" s="1"/>
  <c r="DC125"/>
  <c r="CM120"/>
  <c r="CN120"/>
  <c r="CO120" s="1"/>
  <c r="CP120" s="1"/>
  <c r="CN11"/>
  <c r="CO11" s="1"/>
  <c r="CP11" s="1"/>
  <c r="CM11"/>
  <c r="GI86"/>
  <c r="GJ86"/>
  <c r="GK86" s="1"/>
  <c r="GL86" s="1"/>
  <c r="FO77"/>
  <c r="FP77"/>
  <c r="FQ77" s="1"/>
  <c r="FR77" s="1"/>
  <c r="IB49"/>
  <c r="IA49"/>
  <c r="FP34"/>
  <c r="FQ34" s="1"/>
  <c r="FR34" s="1"/>
  <c r="FO34"/>
  <c r="HG79"/>
  <c r="HH79"/>
  <c r="HI79" s="1"/>
  <c r="HJ79" s="1"/>
  <c r="DP3"/>
  <c r="DQ3" s="1"/>
  <c r="DR3" s="1"/>
  <c r="DO3"/>
  <c r="IA30"/>
  <c r="IB30"/>
  <c r="HC83"/>
  <c r="HD83"/>
  <c r="HE83" s="1"/>
  <c r="HF83" s="1"/>
  <c r="DD99"/>
  <c r="DE99" s="1"/>
  <c r="DF99" s="1"/>
  <c r="DC99"/>
  <c r="EZ97"/>
  <c r="FA97" s="1"/>
  <c r="FB97" s="1"/>
  <c r="EY97"/>
  <c r="FP93"/>
  <c r="FQ93" s="1"/>
  <c r="FR93" s="1"/>
  <c r="FO93"/>
  <c r="HC81"/>
  <c r="HD81"/>
  <c r="HE81" s="1"/>
  <c r="HF81" s="1"/>
  <c r="HT76"/>
  <c r="HU76" s="1"/>
  <c r="HV76" s="1"/>
  <c r="HS76"/>
  <c r="GA90"/>
  <c r="GB90"/>
  <c r="GC90" s="1"/>
  <c r="GD90" s="1"/>
  <c r="IA85"/>
  <c r="IB85"/>
  <c r="GA42"/>
  <c r="GB42"/>
  <c r="GC42" s="1"/>
  <c r="GD42" s="1"/>
  <c r="DD69"/>
  <c r="DE69" s="1"/>
  <c r="DF69" s="1"/>
  <c r="DC69"/>
  <c r="FW47"/>
  <c r="FX47"/>
  <c r="FY47" s="1"/>
  <c r="FZ47" s="1"/>
  <c r="HO5"/>
  <c r="HP5"/>
  <c r="HQ5" s="1"/>
  <c r="HR5" s="1"/>
  <c r="FG23"/>
  <c r="FH23"/>
  <c r="FI23" s="1"/>
  <c r="FJ23" s="1"/>
  <c r="HC7"/>
  <c r="HD7"/>
  <c r="HE7" s="1"/>
  <c r="HF7" s="1"/>
  <c r="FP84"/>
  <c r="FQ84" s="1"/>
  <c r="FR84" s="1"/>
  <c r="FO84"/>
  <c r="E173" i="54"/>
  <c r="F172" s="1"/>
  <c r="S97" i="10"/>
  <c r="R97" s="1"/>
  <c r="B132" i="27"/>
  <c r="A132"/>
  <c r="U132" s="1"/>
  <c r="B130"/>
  <c r="A130"/>
  <c r="U130" s="1"/>
  <c r="B131"/>
  <c r="A131"/>
  <c r="U131" s="1"/>
  <c r="B129"/>
  <c r="A129"/>
  <c r="U129" s="1"/>
  <c r="V97" i="10"/>
  <c r="EY86" i="21"/>
  <c r="F84" i="22"/>
  <c r="P50"/>
  <c r="CJ9" i="21"/>
  <c r="CI9"/>
  <c r="CE9"/>
  <c r="CF9" s="1"/>
  <c r="CG9" s="1"/>
  <c r="BZ9"/>
  <c r="D197" i="10"/>
  <c r="E197" s="1"/>
  <c r="G88" i="22"/>
  <c r="F104"/>
  <c r="F103"/>
  <c r="CR120" i="10" l="1"/>
  <c r="CS120" s="1"/>
  <c r="CT120" s="1"/>
  <c r="CQ120"/>
  <c r="GI128"/>
  <c r="GJ128"/>
  <c r="GK128" s="1"/>
  <c r="GL128" s="1"/>
  <c r="ER129"/>
  <c r="ES129" s="1"/>
  <c r="ET129" s="1"/>
  <c r="EQ129"/>
  <c r="DG138"/>
  <c r="DH138"/>
  <c r="DI138" s="1"/>
  <c r="DJ138" s="1"/>
  <c r="DG106"/>
  <c r="DH106"/>
  <c r="DI106" s="1"/>
  <c r="DJ106" s="1"/>
  <c r="HO124"/>
  <c r="HP124"/>
  <c r="HQ124" s="1"/>
  <c r="HR124" s="1"/>
  <c r="DS130"/>
  <c r="DT130"/>
  <c r="DU130" s="1"/>
  <c r="DV130" s="1"/>
  <c r="DG116"/>
  <c r="DH116"/>
  <c r="DI116" s="1"/>
  <c r="DJ116" s="1"/>
  <c r="DH125"/>
  <c r="DI125" s="1"/>
  <c r="DJ125" s="1"/>
  <c r="DG125"/>
  <c r="HX117"/>
  <c r="HY117" s="1"/>
  <c r="HZ117" s="1"/>
  <c r="HW117"/>
  <c r="DH114"/>
  <c r="DI114" s="1"/>
  <c r="DJ114" s="1"/>
  <c r="DG114"/>
  <c r="GJ103"/>
  <c r="GK103" s="1"/>
  <c r="GL103" s="1"/>
  <c r="GI103"/>
  <c r="EE134"/>
  <c r="EF134"/>
  <c r="EG134" s="1"/>
  <c r="EH134" s="1"/>
  <c r="H104" i="22"/>
  <c r="I88"/>
  <c r="H103"/>
  <c r="H84"/>
  <c r="HH7" i="10"/>
  <c r="HI7" s="1"/>
  <c r="HJ7" s="1"/>
  <c r="HG7"/>
  <c r="GB47"/>
  <c r="GC47" s="1"/>
  <c r="GD47" s="1"/>
  <c r="GA47"/>
  <c r="GE42"/>
  <c r="GF42"/>
  <c r="GG42" s="1"/>
  <c r="GH42" s="1"/>
  <c r="HG81"/>
  <c r="HH81"/>
  <c r="HI81" s="1"/>
  <c r="HJ81" s="1"/>
  <c r="HH83"/>
  <c r="HI83" s="1"/>
  <c r="HJ83" s="1"/>
  <c r="HG83"/>
  <c r="FS77"/>
  <c r="FT77"/>
  <c r="FU77" s="1"/>
  <c r="FV77" s="1"/>
  <c r="FC97"/>
  <c r="FD97"/>
  <c r="FE97" s="1"/>
  <c r="FF97" s="1"/>
  <c r="FS84"/>
  <c r="FT84"/>
  <c r="FU84" s="1"/>
  <c r="FV84" s="1"/>
  <c r="DG69"/>
  <c r="DH69"/>
  <c r="DI69" s="1"/>
  <c r="DJ69" s="1"/>
  <c r="FS93"/>
  <c r="FT93"/>
  <c r="FU93" s="1"/>
  <c r="FV93" s="1"/>
  <c r="DG99"/>
  <c r="DH99"/>
  <c r="DI99" s="1"/>
  <c r="DJ99" s="1"/>
  <c r="HK79"/>
  <c r="HL79"/>
  <c r="HM79" s="1"/>
  <c r="HN79" s="1"/>
  <c r="HW76"/>
  <c r="HX76"/>
  <c r="HY76" s="1"/>
  <c r="HZ76" s="1"/>
  <c r="FT34"/>
  <c r="FU34" s="1"/>
  <c r="FV34" s="1"/>
  <c r="FS34"/>
  <c r="FL23"/>
  <c r="FM23" s="1"/>
  <c r="FN23" s="1"/>
  <c r="FK23"/>
  <c r="HS5"/>
  <c r="HT5"/>
  <c r="HU5" s="1"/>
  <c r="HV5" s="1"/>
  <c r="GE90"/>
  <c r="GF90"/>
  <c r="GG90" s="1"/>
  <c r="GH90" s="1"/>
  <c r="DT3"/>
  <c r="DU3" s="1"/>
  <c r="DV3" s="1"/>
  <c r="DS3"/>
  <c r="GM86"/>
  <c r="GN86"/>
  <c r="GO86" s="1"/>
  <c r="GP86" s="1"/>
  <c r="CQ11"/>
  <c r="CR11"/>
  <c r="CS11" s="1"/>
  <c r="CT11" s="1"/>
  <c r="E174" i="54"/>
  <c r="F173" s="1"/>
  <c r="T97" i="10"/>
  <c r="Y97" s="1"/>
  <c r="K121" i="22"/>
  <c r="F110" s="1"/>
  <c r="D131"/>
  <c r="W97" i="10"/>
  <c r="L97"/>
  <c r="M97" s="1"/>
  <c r="AE97"/>
  <c r="CD9" i="21"/>
  <c r="CH9"/>
  <c r="D196" i="10"/>
  <c r="E196" s="1"/>
  <c r="D195"/>
  <c r="G106" i="22"/>
  <c r="GF29" i="21"/>
  <c r="GF30"/>
  <c r="GF31"/>
  <c r="GF32"/>
  <c r="GF33"/>
  <c r="GF34"/>
  <c r="GF35"/>
  <c r="GF36"/>
  <c r="GF37"/>
  <c r="GF38"/>
  <c r="GF39"/>
  <c r="GF40"/>
  <c r="GF41"/>
  <c r="GF42"/>
  <c r="GF43"/>
  <c r="GF44"/>
  <c r="GF45"/>
  <c r="GF46"/>
  <c r="GF47"/>
  <c r="GF28"/>
  <c r="C64" i="54"/>
  <c r="I68" i="22"/>
  <c r="F105"/>
  <c r="D119"/>
  <c r="H32" i="27"/>
  <c r="I32" s="1"/>
  <c r="Q35" i="10"/>
  <c r="BW35" s="1"/>
  <c r="BX35" s="1"/>
  <c r="BY35" s="1"/>
  <c r="BZ35" s="1"/>
  <c r="N35"/>
  <c r="AD35"/>
  <c r="BW38"/>
  <c r="BX38" s="1"/>
  <c r="BY38" s="1"/>
  <c r="BZ38" s="1"/>
  <c r="D116" i="22"/>
  <c r="M110"/>
  <c r="M113" s="1"/>
  <c r="G81" s="1"/>
  <c r="I81" s="1"/>
  <c r="M111"/>
  <c r="M114" s="1"/>
  <c r="G82" s="1"/>
  <c r="I82" s="1"/>
  <c r="L111"/>
  <c r="L114" s="1"/>
  <c r="L110"/>
  <c r="L113" s="1"/>
  <c r="GN128" i="10" l="1"/>
  <c r="GO128" s="1"/>
  <c r="GP128" s="1"/>
  <c r="GM128"/>
  <c r="DK106"/>
  <c r="DL106"/>
  <c r="DM106" s="1"/>
  <c r="DN106" s="1"/>
  <c r="EV129"/>
  <c r="EW129" s="1"/>
  <c r="EX129" s="1"/>
  <c r="EU129"/>
  <c r="EJ134"/>
  <c r="EK134" s="1"/>
  <c r="EL134" s="1"/>
  <c r="EI134"/>
  <c r="GN103"/>
  <c r="GO103" s="1"/>
  <c r="GP103" s="1"/>
  <c r="GM103"/>
  <c r="DL116"/>
  <c r="DM116" s="1"/>
  <c r="DN116" s="1"/>
  <c r="DK116"/>
  <c r="DW130"/>
  <c r="DX130"/>
  <c r="DY130" s="1"/>
  <c r="DZ130" s="1"/>
  <c r="IB117"/>
  <c r="IA117"/>
  <c r="HS124"/>
  <c r="HT124"/>
  <c r="HU124" s="1"/>
  <c r="HV124" s="1"/>
  <c r="DK138"/>
  <c r="DL138"/>
  <c r="DM138" s="1"/>
  <c r="DN138" s="1"/>
  <c r="DL114"/>
  <c r="DM114" s="1"/>
  <c r="DN114" s="1"/>
  <c r="DK114"/>
  <c r="DK125"/>
  <c r="DL125"/>
  <c r="DM125" s="1"/>
  <c r="DN125" s="1"/>
  <c r="CV120"/>
  <c r="CW120" s="1"/>
  <c r="CX120" s="1"/>
  <c r="CU120"/>
  <c r="B90" i="22"/>
  <c r="B86"/>
  <c r="C90"/>
  <c r="C86"/>
  <c r="H105"/>
  <c r="I106"/>
  <c r="H110"/>
  <c r="B85"/>
  <c r="B87"/>
  <c r="C85"/>
  <c r="C87"/>
  <c r="B101"/>
  <c r="B111"/>
  <c r="C101"/>
  <c r="C111"/>
  <c r="HL81" i="10"/>
  <c r="HM81" s="1"/>
  <c r="HN81" s="1"/>
  <c r="HK81"/>
  <c r="DK69"/>
  <c r="DL69"/>
  <c r="DM69" s="1"/>
  <c r="DN69" s="1"/>
  <c r="FH97"/>
  <c r="FI97" s="1"/>
  <c r="FJ97" s="1"/>
  <c r="FG97"/>
  <c r="GE47"/>
  <c r="GF47"/>
  <c r="GG47" s="1"/>
  <c r="GH47" s="1"/>
  <c r="CB35"/>
  <c r="CC35" s="1"/>
  <c r="CD35" s="1"/>
  <c r="CA35"/>
  <c r="HO79"/>
  <c r="HP79"/>
  <c r="HQ79" s="1"/>
  <c r="HR79" s="1"/>
  <c r="GJ42"/>
  <c r="GK42" s="1"/>
  <c r="GL42" s="1"/>
  <c r="GI42"/>
  <c r="CA38"/>
  <c r="CB38"/>
  <c r="CC38" s="1"/>
  <c r="CD38" s="1"/>
  <c r="GI90"/>
  <c r="GJ90"/>
  <c r="GK90" s="1"/>
  <c r="GL90" s="1"/>
  <c r="HL83"/>
  <c r="HM83" s="1"/>
  <c r="HN83" s="1"/>
  <c r="HK83"/>
  <c r="CU11"/>
  <c r="CV11"/>
  <c r="CW11" s="1"/>
  <c r="CX11" s="1"/>
  <c r="FP23"/>
  <c r="FQ23" s="1"/>
  <c r="FR23" s="1"/>
  <c r="FO23"/>
  <c r="DL99"/>
  <c r="DM99" s="1"/>
  <c r="DN99" s="1"/>
  <c r="DK99"/>
  <c r="FW84"/>
  <c r="FX84"/>
  <c r="FY84" s="1"/>
  <c r="FZ84" s="1"/>
  <c r="FX77"/>
  <c r="FY77" s="1"/>
  <c r="FZ77" s="1"/>
  <c r="FW77"/>
  <c r="HL7"/>
  <c r="HM7" s="1"/>
  <c r="HN7" s="1"/>
  <c r="HK7"/>
  <c r="DX3"/>
  <c r="DY3" s="1"/>
  <c r="DZ3" s="1"/>
  <c r="DW3"/>
  <c r="HW5"/>
  <c r="HX5"/>
  <c r="HY5" s="1"/>
  <c r="HZ5" s="1"/>
  <c r="IB76"/>
  <c r="IA76"/>
  <c r="GQ86"/>
  <c r="GR86"/>
  <c r="GS86" s="1"/>
  <c r="GT86" s="1"/>
  <c r="FW34"/>
  <c r="FX34"/>
  <c r="FY34" s="1"/>
  <c r="FZ34" s="1"/>
  <c r="FX93"/>
  <c r="FY93" s="1"/>
  <c r="FZ93" s="1"/>
  <c r="FW93"/>
  <c r="B100" i="22"/>
  <c r="B102"/>
  <c r="C100"/>
  <c r="C102"/>
  <c r="C97"/>
  <c r="C99"/>
  <c r="B97"/>
  <c r="B99"/>
  <c r="C91"/>
  <c r="C95"/>
  <c r="C98"/>
  <c r="C96"/>
  <c r="B91"/>
  <c r="B95"/>
  <c r="B98"/>
  <c r="B96"/>
  <c r="E175" i="54"/>
  <c r="F174" s="1"/>
  <c r="Z97" i="10"/>
  <c r="AA97" s="1"/>
  <c r="AB97" s="1"/>
  <c r="C74" i="22"/>
  <c r="C75"/>
  <c r="B74"/>
  <c r="B75"/>
  <c r="B112"/>
  <c r="B83"/>
  <c r="C112"/>
  <c r="C83"/>
  <c r="C108"/>
  <c r="C92"/>
  <c r="B108"/>
  <c r="B92"/>
  <c r="F82"/>
  <c r="N114"/>
  <c r="F81"/>
  <c r="N113"/>
  <c r="C110"/>
  <c r="C94"/>
  <c r="B110"/>
  <c r="B94"/>
  <c r="S35" i="10"/>
  <c r="B32" i="27"/>
  <c r="A32"/>
  <c r="U32" s="1"/>
  <c r="GG47" i="21"/>
  <c r="GG43"/>
  <c r="GG39"/>
  <c r="GG35"/>
  <c r="GG31"/>
  <c r="GG45"/>
  <c r="GG41"/>
  <c r="GG37"/>
  <c r="GG33"/>
  <c r="GG29"/>
  <c r="GG44"/>
  <c r="GG40"/>
  <c r="GG36"/>
  <c r="GG32"/>
  <c r="GG46"/>
  <c r="GG42"/>
  <c r="GG38"/>
  <c r="GG34"/>
  <c r="GG30"/>
  <c r="D199" i="10"/>
  <c r="E195"/>
  <c r="B65" i="22"/>
  <c r="B107"/>
  <c r="B103"/>
  <c r="B84"/>
  <c r="B81"/>
  <c r="B77"/>
  <c r="B73"/>
  <c r="B69"/>
  <c r="B67"/>
  <c r="B106"/>
  <c r="B93"/>
  <c r="B80"/>
  <c r="B76"/>
  <c r="B72"/>
  <c r="B68"/>
  <c r="B66"/>
  <c r="B109"/>
  <c r="B104"/>
  <c r="B88"/>
  <c r="B82"/>
  <c r="B78"/>
  <c r="B70"/>
  <c r="B113"/>
  <c r="B105"/>
  <c r="B89"/>
  <c r="B79"/>
  <c r="B71"/>
  <c r="V35" i="10"/>
  <c r="C67" i="22"/>
  <c r="C113"/>
  <c r="C107"/>
  <c r="C105"/>
  <c r="C103"/>
  <c r="C89"/>
  <c r="C84"/>
  <c r="C81"/>
  <c r="C79"/>
  <c r="C77"/>
  <c r="C72"/>
  <c r="C70"/>
  <c r="C68"/>
  <c r="C66"/>
  <c r="C65"/>
  <c r="C109"/>
  <c r="C106"/>
  <c r="C104"/>
  <c r="C93"/>
  <c r="C88"/>
  <c r="C82"/>
  <c r="C80"/>
  <c r="C78"/>
  <c r="C76"/>
  <c r="C73"/>
  <c r="C71"/>
  <c r="C69"/>
  <c r="E126"/>
  <c r="E125"/>
  <c r="G72"/>
  <c r="G67"/>
  <c r="G70"/>
  <c r="D59"/>
  <c r="F56" s="1"/>
  <c r="L50"/>
  <c r="P56"/>
  <c r="P57" s="1"/>
  <c r="O57"/>
  <c r="P53"/>
  <c r="P54" s="1"/>
  <c r="O54"/>
  <c r="L35"/>
  <c r="M35" s="1"/>
  <c r="D50"/>
  <c r="E32"/>
  <c r="I85" l="1"/>
  <c r="HX124" i="10"/>
  <c r="HY124" s="1"/>
  <c r="HZ124" s="1"/>
  <c r="HW124"/>
  <c r="DP138"/>
  <c r="DQ138" s="1"/>
  <c r="DR138" s="1"/>
  <c r="DO138"/>
  <c r="DP116"/>
  <c r="DQ116" s="1"/>
  <c r="DR116" s="1"/>
  <c r="DO116"/>
  <c r="DP114"/>
  <c r="DQ114" s="1"/>
  <c r="DR114" s="1"/>
  <c r="DO114"/>
  <c r="EY129"/>
  <c r="EZ129"/>
  <c r="FA129" s="1"/>
  <c r="FB129" s="1"/>
  <c r="EA130"/>
  <c r="EB130"/>
  <c r="EC130" s="1"/>
  <c r="ED130" s="1"/>
  <c r="EM134"/>
  <c r="EN134"/>
  <c r="EO134" s="1"/>
  <c r="EP134" s="1"/>
  <c r="CY120"/>
  <c r="CZ120"/>
  <c r="DA120" s="1"/>
  <c r="DB120" s="1"/>
  <c r="DO106"/>
  <c r="DP106"/>
  <c r="DQ106" s="1"/>
  <c r="DR106" s="1"/>
  <c r="GQ103"/>
  <c r="GR103"/>
  <c r="GS103" s="1"/>
  <c r="GT103" s="1"/>
  <c r="DO125"/>
  <c r="DP125"/>
  <c r="DQ125" s="1"/>
  <c r="DR125" s="1"/>
  <c r="GQ128"/>
  <c r="GR128"/>
  <c r="GS128" s="1"/>
  <c r="GT128" s="1"/>
  <c r="F54" i="22"/>
  <c r="G86" s="1"/>
  <c r="F55"/>
  <c r="F57"/>
  <c r="G87" s="1"/>
  <c r="H82"/>
  <c r="HP7" i="10"/>
  <c r="HQ7" s="1"/>
  <c r="HR7" s="1"/>
  <c r="HO7"/>
  <c r="FS23"/>
  <c r="FT23"/>
  <c r="FU23" s="1"/>
  <c r="FV23" s="1"/>
  <c r="CY11"/>
  <c r="CZ11"/>
  <c r="DA11" s="1"/>
  <c r="DB11" s="1"/>
  <c r="GM90"/>
  <c r="GN90"/>
  <c r="GO90" s="1"/>
  <c r="GP90" s="1"/>
  <c r="HO81"/>
  <c r="HP81"/>
  <c r="HQ81" s="1"/>
  <c r="HR81" s="1"/>
  <c r="GA93"/>
  <c r="GB93"/>
  <c r="GC93" s="1"/>
  <c r="GD93" s="1"/>
  <c r="GU86"/>
  <c r="GV86"/>
  <c r="GW86" s="1"/>
  <c r="GX86" s="1"/>
  <c r="IA5"/>
  <c r="IB5"/>
  <c r="GA84"/>
  <c r="GB84"/>
  <c r="GC84" s="1"/>
  <c r="GD84" s="1"/>
  <c r="HP83"/>
  <c r="HQ83" s="1"/>
  <c r="HR83" s="1"/>
  <c r="HO83"/>
  <c r="DP69"/>
  <c r="DQ69" s="1"/>
  <c r="DR69" s="1"/>
  <c r="DO69"/>
  <c r="GN42"/>
  <c r="GO42" s="1"/>
  <c r="GP42" s="1"/>
  <c r="GM42"/>
  <c r="CE35"/>
  <c r="CF35"/>
  <c r="CG35" s="1"/>
  <c r="CH35" s="1"/>
  <c r="GA34"/>
  <c r="GB34"/>
  <c r="GC34" s="1"/>
  <c r="GD34" s="1"/>
  <c r="EA3"/>
  <c r="EB3"/>
  <c r="EC3" s="1"/>
  <c r="ED3" s="1"/>
  <c r="GA77"/>
  <c r="GB77"/>
  <c r="GC77" s="1"/>
  <c r="GD77" s="1"/>
  <c r="DO99"/>
  <c r="DP99"/>
  <c r="DQ99" s="1"/>
  <c r="DR99" s="1"/>
  <c r="CF38"/>
  <c r="CG38" s="1"/>
  <c r="CH38" s="1"/>
  <c r="CE38"/>
  <c r="HT79"/>
  <c r="HU79" s="1"/>
  <c r="HV79" s="1"/>
  <c r="HS79"/>
  <c r="GJ47"/>
  <c r="GK47" s="1"/>
  <c r="GL47" s="1"/>
  <c r="GI47"/>
  <c r="FK97"/>
  <c r="FL97"/>
  <c r="FM97" s="1"/>
  <c r="FN97" s="1"/>
  <c r="P60" i="22"/>
  <c r="G79" s="1"/>
  <c r="P59"/>
  <c r="O59"/>
  <c r="O60"/>
  <c r="E176" i="54"/>
  <c r="F175" s="1"/>
  <c r="H68" i="22"/>
  <c r="I67"/>
  <c r="H81"/>
  <c r="I70"/>
  <c r="I72"/>
  <c r="R35" i="10"/>
  <c r="K66" i="22"/>
  <c r="G113" s="1"/>
  <c r="G107"/>
  <c r="I107" s="1"/>
  <c r="F107"/>
  <c r="J59"/>
  <c r="E131"/>
  <c r="K124"/>
  <c r="W35" i="10"/>
  <c r="T35"/>
  <c r="Y35" s="1"/>
  <c r="AE35"/>
  <c r="L35"/>
  <c r="M35" s="1"/>
  <c r="B116" i="22"/>
  <c r="H65"/>
  <c r="I65"/>
  <c r="P38"/>
  <c r="F78" s="1"/>
  <c r="P42"/>
  <c r="G78" s="1"/>
  <c r="I78" s="1"/>
  <c r="L52"/>
  <c r="G76" s="1"/>
  <c r="L38"/>
  <c r="M38" s="1"/>
  <c r="L37"/>
  <c r="M37" s="1"/>
  <c r="L36"/>
  <c r="M36" s="1"/>
  <c r="L34"/>
  <c r="M34" s="1"/>
  <c r="L33"/>
  <c r="M33" s="1"/>
  <c r="DT106" i="10" l="1"/>
  <c r="DU106" s="1"/>
  <c r="DV106" s="1"/>
  <c r="DS106"/>
  <c r="GU103"/>
  <c r="GV103"/>
  <c r="GW103" s="1"/>
  <c r="GX103" s="1"/>
  <c r="DC120"/>
  <c r="DD120"/>
  <c r="DE120" s="1"/>
  <c r="DF120" s="1"/>
  <c r="DS125"/>
  <c r="DT125"/>
  <c r="DU125" s="1"/>
  <c r="DV125" s="1"/>
  <c r="ER134"/>
  <c r="ES134" s="1"/>
  <c r="ET134" s="1"/>
  <c r="EQ134"/>
  <c r="FC129"/>
  <c r="FD129"/>
  <c r="FE129" s="1"/>
  <c r="FF129" s="1"/>
  <c r="DT114"/>
  <c r="DU114" s="1"/>
  <c r="DV114" s="1"/>
  <c r="DS114"/>
  <c r="DS138"/>
  <c r="DT138"/>
  <c r="DU138" s="1"/>
  <c r="DV138" s="1"/>
  <c r="GU128"/>
  <c r="GV128"/>
  <c r="GW128" s="1"/>
  <c r="GX128" s="1"/>
  <c r="EF130"/>
  <c r="EG130" s="1"/>
  <c r="EH130" s="1"/>
  <c r="EE130"/>
  <c r="DT116"/>
  <c r="DU116" s="1"/>
  <c r="DV116" s="1"/>
  <c r="DS116"/>
  <c r="IA124"/>
  <c r="IB124"/>
  <c r="I86" i="22"/>
  <c r="I113"/>
  <c r="I87"/>
  <c r="H107"/>
  <c r="DT99" i="10"/>
  <c r="DU99" s="1"/>
  <c r="DV99" s="1"/>
  <c r="DS99"/>
  <c r="EF3"/>
  <c r="EG3" s="1"/>
  <c r="EH3" s="1"/>
  <c r="EE3"/>
  <c r="GN47"/>
  <c r="GO47" s="1"/>
  <c r="GP47" s="1"/>
  <c r="GM47"/>
  <c r="CJ38"/>
  <c r="CK38" s="1"/>
  <c r="CL38" s="1"/>
  <c r="CI38"/>
  <c r="GE93"/>
  <c r="GF93"/>
  <c r="GG93" s="1"/>
  <c r="GH93" s="1"/>
  <c r="GQ90"/>
  <c r="GR90"/>
  <c r="GS90" s="1"/>
  <c r="GT90" s="1"/>
  <c r="DC11"/>
  <c r="DD11"/>
  <c r="DE11" s="1"/>
  <c r="DF11" s="1"/>
  <c r="HS7"/>
  <c r="HT7"/>
  <c r="HU7" s="1"/>
  <c r="HV7" s="1"/>
  <c r="FO97"/>
  <c r="FP97"/>
  <c r="FQ97" s="1"/>
  <c r="FR97" s="1"/>
  <c r="GR42"/>
  <c r="GS42" s="1"/>
  <c r="GT42" s="1"/>
  <c r="GQ42"/>
  <c r="HS83"/>
  <c r="HT83"/>
  <c r="HU83" s="1"/>
  <c r="HV83" s="1"/>
  <c r="FW23"/>
  <c r="FX23"/>
  <c r="FY23" s="1"/>
  <c r="FZ23" s="1"/>
  <c r="HW79"/>
  <c r="HX79"/>
  <c r="HY79" s="1"/>
  <c r="HZ79" s="1"/>
  <c r="GF77"/>
  <c r="GG77" s="1"/>
  <c r="GH77" s="1"/>
  <c r="GE77"/>
  <c r="CJ35"/>
  <c r="CK35" s="1"/>
  <c r="CL35" s="1"/>
  <c r="CI35"/>
  <c r="GE84"/>
  <c r="GF84"/>
  <c r="GG84" s="1"/>
  <c r="GH84" s="1"/>
  <c r="GZ86"/>
  <c r="HA86" s="1"/>
  <c r="HB86" s="1"/>
  <c r="GY86"/>
  <c r="HS81"/>
  <c r="HT81"/>
  <c r="HU81" s="1"/>
  <c r="HV81" s="1"/>
  <c r="GE34"/>
  <c r="GF34"/>
  <c r="GG34" s="1"/>
  <c r="GH34" s="1"/>
  <c r="DS69"/>
  <c r="DT69"/>
  <c r="DU69" s="1"/>
  <c r="DV69" s="1"/>
  <c r="I79" i="22"/>
  <c r="E177" i="54"/>
  <c r="F176" s="1"/>
  <c r="Z35" i="10"/>
  <c r="AA35" s="1"/>
  <c r="AB35" s="1"/>
  <c r="I76" i="22"/>
  <c r="K127"/>
  <c r="G110"/>
  <c r="I44"/>
  <c r="F69" s="1"/>
  <c r="F79"/>
  <c r="J43"/>
  <c r="I43"/>
  <c r="G69" s="1"/>
  <c r="J44"/>
  <c r="L51"/>
  <c r="F77" s="1"/>
  <c r="DB9" i="21"/>
  <c r="DA9"/>
  <c r="CW9"/>
  <c r="CV9" s="1"/>
  <c r="H4" i="27"/>
  <c r="I4" s="1"/>
  <c r="Q4" i="10"/>
  <c r="BW4" s="1"/>
  <c r="BX4" s="1"/>
  <c r="BY4" s="1"/>
  <c r="BZ4" s="1"/>
  <c r="N4"/>
  <c r="AD4"/>
  <c r="Q67"/>
  <c r="BW67" s="1"/>
  <c r="BX67" s="1"/>
  <c r="BY67" s="1"/>
  <c r="BZ67" s="1"/>
  <c r="Q141"/>
  <c r="BW141" s="1"/>
  <c r="BX141" s="1"/>
  <c r="BY141" s="1"/>
  <c r="BZ141" s="1"/>
  <c r="DH120" l="1"/>
  <c r="DI120" s="1"/>
  <c r="DJ120" s="1"/>
  <c r="DG120"/>
  <c r="FH129"/>
  <c r="FI129" s="1"/>
  <c r="FJ129" s="1"/>
  <c r="FG129"/>
  <c r="DX138"/>
  <c r="DY138" s="1"/>
  <c r="DZ138" s="1"/>
  <c r="DW138"/>
  <c r="DX114"/>
  <c r="DY114" s="1"/>
  <c r="DZ114" s="1"/>
  <c r="DW114"/>
  <c r="EU134"/>
  <c r="EV134"/>
  <c r="EW134" s="1"/>
  <c r="EX134" s="1"/>
  <c r="GZ103"/>
  <c r="HA103" s="1"/>
  <c r="HB103" s="1"/>
  <c r="GY103"/>
  <c r="DW116"/>
  <c r="DX116"/>
  <c r="DY116" s="1"/>
  <c r="DZ116" s="1"/>
  <c r="GZ128"/>
  <c r="HA128" s="1"/>
  <c r="HB128" s="1"/>
  <c r="GY128"/>
  <c r="CA141"/>
  <c r="CB141"/>
  <c r="CC141" s="1"/>
  <c r="CD141" s="1"/>
  <c r="EJ130"/>
  <c r="EK130" s="1"/>
  <c r="EL130" s="1"/>
  <c r="EI130"/>
  <c r="DW125"/>
  <c r="DX125"/>
  <c r="DY125" s="1"/>
  <c r="DZ125" s="1"/>
  <c r="DW106"/>
  <c r="DX106"/>
  <c r="DY106" s="1"/>
  <c r="DZ106" s="1"/>
  <c r="I110" i="22"/>
  <c r="GI93" i="10"/>
  <c r="GJ93"/>
  <c r="GK93" s="1"/>
  <c r="GL93" s="1"/>
  <c r="GI77"/>
  <c r="GJ77"/>
  <c r="GK77" s="1"/>
  <c r="GL77" s="1"/>
  <c r="FS97"/>
  <c r="FT97"/>
  <c r="FU97" s="1"/>
  <c r="FV97" s="1"/>
  <c r="GR47"/>
  <c r="GS47" s="1"/>
  <c r="GT47" s="1"/>
  <c r="GQ47"/>
  <c r="CN35"/>
  <c r="CO35" s="1"/>
  <c r="CP35" s="1"/>
  <c r="CM35"/>
  <c r="IA79"/>
  <c r="IB79"/>
  <c r="GB23"/>
  <c r="GC23" s="1"/>
  <c r="GD23" s="1"/>
  <c r="GA23"/>
  <c r="DG11"/>
  <c r="DH11"/>
  <c r="DI11" s="1"/>
  <c r="DJ11" s="1"/>
  <c r="DX99"/>
  <c r="DY99" s="1"/>
  <c r="DZ99" s="1"/>
  <c r="DW99"/>
  <c r="CA4"/>
  <c r="CB4"/>
  <c r="CC4" s="1"/>
  <c r="CD4" s="1"/>
  <c r="DW69"/>
  <c r="DX69"/>
  <c r="DY69" s="1"/>
  <c r="DZ69" s="1"/>
  <c r="HD86"/>
  <c r="HE86" s="1"/>
  <c r="HF86" s="1"/>
  <c r="HC86"/>
  <c r="GV42"/>
  <c r="GW42" s="1"/>
  <c r="GX42" s="1"/>
  <c r="GU42"/>
  <c r="CN38"/>
  <c r="CO38" s="1"/>
  <c r="CP38" s="1"/>
  <c r="CM38"/>
  <c r="CA67"/>
  <c r="CB67"/>
  <c r="CC67" s="1"/>
  <c r="CD67" s="1"/>
  <c r="GI34"/>
  <c r="GJ34"/>
  <c r="GK34" s="1"/>
  <c r="GL34" s="1"/>
  <c r="HX81"/>
  <c r="HY81" s="1"/>
  <c r="HZ81" s="1"/>
  <c r="HW81"/>
  <c r="GI84"/>
  <c r="GJ84"/>
  <c r="GK84" s="1"/>
  <c r="GL84" s="1"/>
  <c r="HX83"/>
  <c r="HY83" s="1"/>
  <c r="HZ83" s="1"/>
  <c r="HW83"/>
  <c r="HX7"/>
  <c r="HY7" s="1"/>
  <c r="HZ7" s="1"/>
  <c r="HW7"/>
  <c r="GU90"/>
  <c r="GV90"/>
  <c r="GW90" s="1"/>
  <c r="GX90" s="1"/>
  <c r="EI3"/>
  <c r="EJ3"/>
  <c r="EK3" s="1"/>
  <c r="EL3" s="1"/>
  <c r="E178" i="54"/>
  <c r="F177" s="1"/>
  <c r="H79" i="22"/>
  <c r="H77"/>
  <c r="H78"/>
  <c r="H69"/>
  <c r="I69"/>
  <c r="B4" i="27"/>
  <c r="A4"/>
  <c r="U4" s="1"/>
  <c r="CZ9" i="21"/>
  <c r="CX9"/>
  <c r="CY9" s="1"/>
  <c r="CR9"/>
  <c r="S4" i="10"/>
  <c r="T4" s="1"/>
  <c r="Y4" s="1"/>
  <c r="Z4" s="1"/>
  <c r="AA4" s="1"/>
  <c r="AB4" s="1"/>
  <c r="V4"/>
  <c r="L4"/>
  <c r="M4" s="1"/>
  <c r="AE4"/>
  <c r="HD103" l="1"/>
  <c r="HE103" s="1"/>
  <c r="HF103" s="1"/>
  <c r="HC103"/>
  <c r="EA116"/>
  <c r="EB116"/>
  <c r="EC116" s="1"/>
  <c r="ED116" s="1"/>
  <c r="EA106"/>
  <c r="EB106"/>
  <c r="EC106" s="1"/>
  <c r="ED106" s="1"/>
  <c r="EA114"/>
  <c r="EB114"/>
  <c r="EC114" s="1"/>
  <c r="ED114" s="1"/>
  <c r="FL129"/>
  <c r="FM129" s="1"/>
  <c r="FN129" s="1"/>
  <c r="FK129"/>
  <c r="EA125"/>
  <c r="EB125"/>
  <c r="EC125" s="1"/>
  <c r="ED125" s="1"/>
  <c r="EM130"/>
  <c r="EN130"/>
  <c r="EO130" s="1"/>
  <c r="EP130" s="1"/>
  <c r="HC128"/>
  <c r="HD128"/>
  <c r="HE128" s="1"/>
  <c r="HF128" s="1"/>
  <c r="CE141"/>
  <c r="CF141"/>
  <c r="CG141" s="1"/>
  <c r="CH141" s="1"/>
  <c r="EY134"/>
  <c r="EZ134"/>
  <c r="FA134" s="1"/>
  <c r="FB134" s="1"/>
  <c r="EA138"/>
  <c r="EB138"/>
  <c r="EC138" s="1"/>
  <c r="ED138" s="1"/>
  <c r="DK120"/>
  <c r="DL120"/>
  <c r="DM120" s="1"/>
  <c r="DN120" s="1"/>
  <c r="GM84"/>
  <c r="GN84"/>
  <c r="GO84" s="1"/>
  <c r="GP84" s="1"/>
  <c r="GM34"/>
  <c r="GN34"/>
  <c r="GO34" s="1"/>
  <c r="GP34" s="1"/>
  <c r="GZ42"/>
  <c r="HA42" s="1"/>
  <c r="HB42" s="1"/>
  <c r="GY42"/>
  <c r="IA7"/>
  <c r="IB7"/>
  <c r="IB83"/>
  <c r="IA83"/>
  <c r="CR38"/>
  <c r="CS38" s="1"/>
  <c r="CT38" s="1"/>
  <c r="CQ38"/>
  <c r="CE4"/>
  <c r="CF4"/>
  <c r="CG4" s="1"/>
  <c r="CH4" s="1"/>
  <c r="DK11"/>
  <c r="DL11"/>
  <c r="DM11" s="1"/>
  <c r="DN11" s="1"/>
  <c r="EN3"/>
  <c r="EO3" s="1"/>
  <c r="EP3" s="1"/>
  <c r="EM3"/>
  <c r="GY90"/>
  <c r="GZ90"/>
  <c r="HA90" s="1"/>
  <c r="HB90" s="1"/>
  <c r="CE67"/>
  <c r="CF67"/>
  <c r="CG67" s="1"/>
  <c r="CH67" s="1"/>
  <c r="HG86"/>
  <c r="HH86"/>
  <c r="HI86" s="1"/>
  <c r="HJ86" s="1"/>
  <c r="EB99"/>
  <c r="EC99" s="1"/>
  <c r="ED99" s="1"/>
  <c r="EA99"/>
  <c r="GE23"/>
  <c r="GF23"/>
  <c r="GG23" s="1"/>
  <c r="GH23" s="1"/>
  <c r="CR35"/>
  <c r="CS35" s="1"/>
  <c r="CT35" s="1"/>
  <c r="CQ35"/>
  <c r="GU47"/>
  <c r="GV47"/>
  <c r="GW47" s="1"/>
  <c r="GX47" s="1"/>
  <c r="GN93"/>
  <c r="GO93" s="1"/>
  <c r="GP93" s="1"/>
  <c r="GM93"/>
  <c r="IB81"/>
  <c r="IA81"/>
  <c r="EA69"/>
  <c r="EB69"/>
  <c r="EC69" s="1"/>
  <c r="ED69" s="1"/>
  <c r="FW97"/>
  <c r="FX97"/>
  <c r="FY97" s="1"/>
  <c r="FZ97" s="1"/>
  <c r="GM77"/>
  <c r="GN77"/>
  <c r="GO77" s="1"/>
  <c r="GP77" s="1"/>
  <c r="E179" i="54"/>
  <c r="F178" s="1"/>
  <c r="H116" i="10"/>
  <c r="H99"/>
  <c r="H128"/>
  <c r="H69"/>
  <c r="H35"/>
  <c r="H106"/>
  <c r="H30"/>
  <c r="H4"/>
  <c r="H97"/>
  <c r="W4"/>
  <c r="R4"/>
  <c r="AA227"/>
  <c r="ER130" l="1"/>
  <c r="ES130" s="1"/>
  <c r="ET130" s="1"/>
  <c r="EQ130"/>
  <c r="FD134"/>
  <c r="FE134" s="1"/>
  <c r="FF134" s="1"/>
  <c r="FC134"/>
  <c r="HH128"/>
  <c r="HI128" s="1"/>
  <c r="HJ128" s="1"/>
  <c r="HG128"/>
  <c r="DP120"/>
  <c r="DQ120" s="1"/>
  <c r="DR120" s="1"/>
  <c r="DO120"/>
  <c r="EF114"/>
  <c r="EG114" s="1"/>
  <c r="EH114" s="1"/>
  <c r="EE114"/>
  <c r="EE116"/>
  <c r="EF116"/>
  <c r="EG116" s="1"/>
  <c r="EH116" s="1"/>
  <c r="EE138"/>
  <c r="EF138"/>
  <c r="EG138" s="1"/>
  <c r="EH138" s="1"/>
  <c r="CI141"/>
  <c r="CJ141"/>
  <c r="CK141" s="1"/>
  <c r="CL141" s="1"/>
  <c r="FP129"/>
  <c r="FQ129" s="1"/>
  <c r="FR129" s="1"/>
  <c r="FO129"/>
  <c r="EF106"/>
  <c r="EG106" s="1"/>
  <c r="EH106" s="1"/>
  <c r="EE106"/>
  <c r="EE125"/>
  <c r="EF125"/>
  <c r="EG125" s="1"/>
  <c r="EH125" s="1"/>
  <c r="HG103"/>
  <c r="HH103"/>
  <c r="HI103" s="1"/>
  <c r="HJ103" s="1"/>
  <c r="DO11"/>
  <c r="DP11"/>
  <c r="DQ11" s="1"/>
  <c r="DR11" s="1"/>
  <c r="CV35"/>
  <c r="CW35" s="1"/>
  <c r="CX35" s="1"/>
  <c r="CU35"/>
  <c r="EF99"/>
  <c r="EG99" s="1"/>
  <c r="EH99" s="1"/>
  <c r="EE99"/>
  <c r="ER3"/>
  <c r="ES3" s="1"/>
  <c r="ET3" s="1"/>
  <c r="EQ3"/>
  <c r="HD42"/>
  <c r="HE42" s="1"/>
  <c r="HF42" s="1"/>
  <c r="HC42"/>
  <c r="GR77"/>
  <c r="GS77" s="1"/>
  <c r="GT77" s="1"/>
  <c r="GQ77"/>
  <c r="EE69"/>
  <c r="EF69"/>
  <c r="EG69" s="1"/>
  <c r="EH69" s="1"/>
  <c r="GJ23"/>
  <c r="GK23" s="1"/>
  <c r="GL23" s="1"/>
  <c r="GI23"/>
  <c r="HK86"/>
  <c r="HL86"/>
  <c r="HM86" s="1"/>
  <c r="HN86" s="1"/>
  <c r="HC90"/>
  <c r="HD90"/>
  <c r="HE90" s="1"/>
  <c r="HF90" s="1"/>
  <c r="GR34"/>
  <c r="GS34" s="1"/>
  <c r="GT34" s="1"/>
  <c r="GQ34"/>
  <c r="GQ93"/>
  <c r="GR93"/>
  <c r="GS93" s="1"/>
  <c r="GT93" s="1"/>
  <c r="CV38"/>
  <c r="CW38" s="1"/>
  <c r="CX38" s="1"/>
  <c r="CU38"/>
  <c r="GB97"/>
  <c r="GC97" s="1"/>
  <c r="GD97" s="1"/>
  <c r="GA97"/>
  <c r="GY47"/>
  <c r="GZ47"/>
  <c r="HA47" s="1"/>
  <c r="HB47" s="1"/>
  <c r="CJ67"/>
  <c r="CK67" s="1"/>
  <c r="CL67" s="1"/>
  <c r="CI67"/>
  <c r="CJ4"/>
  <c r="CK4" s="1"/>
  <c r="CL4" s="1"/>
  <c r="CI4"/>
  <c r="GQ84"/>
  <c r="GR84"/>
  <c r="GS84" s="1"/>
  <c r="GT84" s="1"/>
  <c r="E180" i="54"/>
  <c r="F179" s="1"/>
  <c r="HL103" i="10" l="1"/>
  <c r="HM103" s="1"/>
  <c r="HN103" s="1"/>
  <c r="HK103"/>
  <c r="EJ106"/>
  <c r="EK106" s="1"/>
  <c r="EL106" s="1"/>
  <c r="EI106"/>
  <c r="FS129"/>
  <c r="FT129"/>
  <c r="FU129" s="1"/>
  <c r="FV129" s="1"/>
  <c r="EI138"/>
  <c r="EJ138"/>
  <c r="EK138" s="1"/>
  <c r="EL138" s="1"/>
  <c r="DT120"/>
  <c r="DU120" s="1"/>
  <c r="DV120" s="1"/>
  <c r="DS120"/>
  <c r="FH134"/>
  <c r="FI134" s="1"/>
  <c r="FJ134" s="1"/>
  <c r="FG134"/>
  <c r="EJ125"/>
  <c r="EK125" s="1"/>
  <c r="EL125" s="1"/>
  <c r="EI125"/>
  <c r="CN141"/>
  <c r="CO141" s="1"/>
  <c r="CP141" s="1"/>
  <c r="CM141"/>
  <c r="EJ116"/>
  <c r="EK116" s="1"/>
  <c r="EL116" s="1"/>
  <c r="EI116"/>
  <c r="EJ114"/>
  <c r="EK114" s="1"/>
  <c r="EL114" s="1"/>
  <c r="EI114"/>
  <c r="HK128"/>
  <c r="HL128"/>
  <c r="HM128" s="1"/>
  <c r="HN128" s="1"/>
  <c r="EU130"/>
  <c r="EV130"/>
  <c r="EW130" s="1"/>
  <c r="EX130" s="1"/>
  <c r="CN4"/>
  <c r="CO4" s="1"/>
  <c r="CP4" s="1"/>
  <c r="CM4"/>
  <c r="HG90"/>
  <c r="HH90"/>
  <c r="HI90" s="1"/>
  <c r="HJ90" s="1"/>
  <c r="HO86"/>
  <c r="HP86"/>
  <c r="HQ86" s="1"/>
  <c r="HR86" s="1"/>
  <c r="DT11"/>
  <c r="DU11" s="1"/>
  <c r="DV11" s="1"/>
  <c r="DS11"/>
  <c r="CM67"/>
  <c r="CN67"/>
  <c r="CO67" s="1"/>
  <c r="CP67" s="1"/>
  <c r="GV34"/>
  <c r="GW34" s="1"/>
  <c r="GX34" s="1"/>
  <c r="GU34"/>
  <c r="GV77"/>
  <c r="GW77" s="1"/>
  <c r="GX77" s="1"/>
  <c r="GU77"/>
  <c r="EI99"/>
  <c r="EJ99"/>
  <c r="EK99" s="1"/>
  <c r="EL99" s="1"/>
  <c r="GU84"/>
  <c r="GV84"/>
  <c r="GW84" s="1"/>
  <c r="GX84" s="1"/>
  <c r="HC47"/>
  <c r="HD47"/>
  <c r="HE47" s="1"/>
  <c r="HF47" s="1"/>
  <c r="GV93"/>
  <c r="GW93" s="1"/>
  <c r="GX93" s="1"/>
  <c r="GU93"/>
  <c r="GF97"/>
  <c r="GG97" s="1"/>
  <c r="GH97" s="1"/>
  <c r="GE97"/>
  <c r="CY38"/>
  <c r="CZ38"/>
  <c r="DA38" s="1"/>
  <c r="DB38" s="1"/>
  <c r="GM23"/>
  <c r="GN23"/>
  <c r="GO23" s="1"/>
  <c r="GP23" s="1"/>
  <c r="EJ69"/>
  <c r="EK69" s="1"/>
  <c r="EL69" s="1"/>
  <c r="EI69"/>
  <c r="HH42"/>
  <c r="HI42" s="1"/>
  <c r="HJ42" s="1"/>
  <c r="HG42"/>
  <c r="EV3"/>
  <c r="EW3" s="1"/>
  <c r="EX3" s="1"/>
  <c r="EU3"/>
  <c r="CZ35"/>
  <c r="DA35" s="1"/>
  <c r="DB35" s="1"/>
  <c r="CY35"/>
  <c r="E181" i="54"/>
  <c r="F180" s="1"/>
  <c r="HP128" i="10" l="1"/>
  <c r="HQ128" s="1"/>
  <c r="HR128" s="1"/>
  <c r="HO128"/>
  <c r="EM138"/>
  <c r="EN138"/>
  <c r="EO138" s="1"/>
  <c r="EP138" s="1"/>
  <c r="EY130"/>
  <c r="EZ130"/>
  <c r="FA130" s="1"/>
  <c r="FB130" s="1"/>
  <c r="FK134"/>
  <c r="FL134"/>
  <c r="FM134" s="1"/>
  <c r="FN134" s="1"/>
  <c r="EM114"/>
  <c r="EN114"/>
  <c r="EO114" s="1"/>
  <c r="EP114" s="1"/>
  <c r="EN125"/>
  <c r="EO125" s="1"/>
  <c r="EP125" s="1"/>
  <c r="EM125"/>
  <c r="CR141"/>
  <c r="CS141" s="1"/>
  <c r="CT141" s="1"/>
  <c r="CQ141"/>
  <c r="EM106"/>
  <c r="EN106"/>
  <c r="EO106" s="1"/>
  <c r="EP106" s="1"/>
  <c r="DW120"/>
  <c r="DX120"/>
  <c r="DY120" s="1"/>
  <c r="DZ120" s="1"/>
  <c r="FW129"/>
  <c r="FX129"/>
  <c r="FY129" s="1"/>
  <c r="FZ129" s="1"/>
  <c r="EN116"/>
  <c r="EO116" s="1"/>
  <c r="EP116" s="1"/>
  <c r="EM116"/>
  <c r="HP103"/>
  <c r="HQ103" s="1"/>
  <c r="HR103" s="1"/>
  <c r="HO103"/>
  <c r="GY34"/>
  <c r="GZ34"/>
  <c r="HA34" s="1"/>
  <c r="HB34" s="1"/>
  <c r="EY3"/>
  <c r="EZ3"/>
  <c r="FA3" s="1"/>
  <c r="FB3" s="1"/>
  <c r="EM69"/>
  <c r="EN69"/>
  <c r="EO69" s="1"/>
  <c r="EP69" s="1"/>
  <c r="GI97"/>
  <c r="GJ97"/>
  <c r="GK97" s="1"/>
  <c r="GL97" s="1"/>
  <c r="GY84"/>
  <c r="GZ84"/>
  <c r="HA84" s="1"/>
  <c r="HB84" s="1"/>
  <c r="CQ67"/>
  <c r="CR67"/>
  <c r="CS67" s="1"/>
  <c r="CT67" s="1"/>
  <c r="HK90"/>
  <c r="HL90"/>
  <c r="HM90" s="1"/>
  <c r="HN90" s="1"/>
  <c r="CR4"/>
  <c r="CS4" s="1"/>
  <c r="CT4" s="1"/>
  <c r="CQ4"/>
  <c r="GR23"/>
  <c r="GS23" s="1"/>
  <c r="GT23" s="1"/>
  <c r="GQ23"/>
  <c r="DC38"/>
  <c r="DD38"/>
  <c r="DE38" s="1"/>
  <c r="DF38" s="1"/>
  <c r="GZ93"/>
  <c r="HA93" s="1"/>
  <c r="HB93" s="1"/>
  <c r="GY93"/>
  <c r="EN99"/>
  <c r="EO99" s="1"/>
  <c r="EP99" s="1"/>
  <c r="EM99"/>
  <c r="DX11"/>
  <c r="DY11" s="1"/>
  <c r="DZ11" s="1"/>
  <c r="DW11"/>
  <c r="DD35"/>
  <c r="DE35" s="1"/>
  <c r="DF35" s="1"/>
  <c r="DC35"/>
  <c r="HL42"/>
  <c r="HM42" s="1"/>
  <c r="HN42" s="1"/>
  <c r="HK42"/>
  <c r="HG47"/>
  <c r="HH47"/>
  <c r="HI47" s="1"/>
  <c r="HJ47" s="1"/>
  <c r="GY77"/>
  <c r="GZ77"/>
  <c r="HA77" s="1"/>
  <c r="HB77" s="1"/>
  <c r="HT86"/>
  <c r="HU86" s="1"/>
  <c r="HV86" s="1"/>
  <c r="HS86"/>
  <c r="E182" i="54"/>
  <c r="F181" s="1"/>
  <c r="AB224" i="10"/>
  <c r="FP134" l="1"/>
  <c r="FQ134" s="1"/>
  <c r="FR134" s="1"/>
  <c r="FO134"/>
  <c r="FD130"/>
  <c r="FE130" s="1"/>
  <c r="FF130" s="1"/>
  <c r="FC130"/>
  <c r="HT128"/>
  <c r="HU128" s="1"/>
  <c r="HV128" s="1"/>
  <c r="HS128"/>
  <c r="ER116"/>
  <c r="ES116" s="1"/>
  <c r="ET116" s="1"/>
  <c r="EQ116"/>
  <c r="EQ106"/>
  <c r="ER106"/>
  <c r="ES106" s="1"/>
  <c r="ET106" s="1"/>
  <c r="ER125"/>
  <c r="ES125" s="1"/>
  <c r="ET125" s="1"/>
  <c r="EQ125"/>
  <c r="EA120"/>
  <c r="EB120"/>
  <c r="EC120" s="1"/>
  <c r="ED120" s="1"/>
  <c r="GB129"/>
  <c r="GC129" s="1"/>
  <c r="GD129" s="1"/>
  <c r="GA129"/>
  <c r="HT103"/>
  <c r="HU103" s="1"/>
  <c r="HV103" s="1"/>
  <c r="HS103"/>
  <c r="CV141"/>
  <c r="CW141" s="1"/>
  <c r="CX141" s="1"/>
  <c r="CU141"/>
  <c r="EQ114"/>
  <c r="ER114"/>
  <c r="ES114" s="1"/>
  <c r="ET114" s="1"/>
  <c r="ER138"/>
  <c r="ES138" s="1"/>
  <c r="ET138" s="1"/>
  <c r="EQ138"/>
  <c r="HL47"/>
  <c r="HM47" s="1"/>
  <c r="HN47" s="1"/>
  <c r="HK47"/>
  <c r="EQ69"/>
  <c r="ER69"/>
  <c r="ES69" s="1"/>
  <c r="ET69" s="1"/>
  <c r="HW86"/>
  <c r="HX86"/>
  <c r="HY86" s="1"/>
  <c r="HZ86" s="1"/>
  <c r="EQ99"/>
  <c r="ER99"/>
  <c r="ES99" s="1"/>
  <c r="ET99" s="1"/>
  <c r="CV4"/>
  <c r="CW4" s="1"/>
  <c r="CX4" s="1"/>
  <c r="CU4"/>
  <c r="FD3"/>
  <c r="FE3" s="1"/>
  <c r="FF3" s="1"/>
  <c r="FC3"/>
  <c r="HC77"/>
  <c r="HD77"/>
  <c r="HE77" s="1"/>
  <c r="HF77" s="1"/>
  <c r="HO42"/>
  <c r="HP42"/>
  <c r="HQ42" s="1"/>
  <c r="HR42" s="1"/>
  <c r="HP90"/>
  <c r="HQ90" s="1"/>
  <c r="HR90" s="1"/>
  <c r="HO90"/>
  <c r="GM97"/>
  <c r="GN97"/>
  <c r="GO97" s="1"/>
  <c r="GP97" s="1"/>
  <c r="HD34"/>
  <c r="HE34" s="1"/>
  <c r="HF34" s="1"/>
  <c r="HC34"/>
  <c r="EB11"/>
  <c r="EC11" s="1"/>
  <c r="ED11" s="1"/>
  <c r="EA11"/>
  <c r="HC93"/>
  <c r="HD93"/>
  <c r="HE93" s="1"/>
  <c r="HF93" s="1"/>
  <c r="GV23"/>
  <c r="GW23" s="1"/>
  <c r="GX23" s="1"/>
  <c r="GU23"/>
  <c r="DH35"/>
  <c r="DI35" s="1"/>
  <c r="DJ35" s="1"/>
  <c r="DG35"/>
  <c r="DH38"/>
  <c r="DI38" s="1"/>
  <c r="DJ38" s="1"/>
  <c r="DG38"/>
  <c r="CU67"/>
  <c r="CV67"/>
  <c r="CW67" s="1"/>
  <c r="CX67" s="1"/>
  <c r="HC84"/>
  <c r="HD84"/>
  <c r="HE84" s="1"/>
  <c r="HF84" s="1"/>
  <c r="E183" i="54"/>
  <c r="F182" s="1"/>
  <c r="AB205" i="10"/>
  <c r="EV116" l="1"/>
  <c r="EW116" s="1"/>
  <c r="EX116" s="1"/>
  <c r="EU116"/>
  <c r="EU106"/>
  <c r="EV106"/>
  <c r="EW106" s="1"/>
  <c r="EX106" s="1"/>
  <c r="CY141"/>
  <c r="CZ141"/>
  <c r="DA141" s="1"/>
  <c r="DB141" s="1"/>
  <c r="EF120"/>
  <c r="EG120" s="1"/>
  <c r="EH120" s="1"/>
  <c r="EE120"/>
  <c r="HW103"/>
  <c r="HX103"/>
  <c r="HY103" s="1"/>
  <c r="HZ103" s="1"/>
  <c r="EU125"/>
  <c r="EV125"/>
  <c r="EW125" s="1"/>
  <c r="EX125" s="1"/>
  <c r="HX128"/>
  <c r="HY128" s="1"/>
  <c r="HZ128" s="1"/>
  <c r="HW128"/>
  <c r="FS134"/>
  <c r="FT134"/>
  <c r="FU134" s="1"/>
  <c r="FV134" s="1"/>
  <c r="EV114"/>
  <c r="EW114" s="1"/>
  <c r="EX114" s="1"/>
  <c r="EU114"/>
  <c r="GF129"/>
  <c r="GG129" s="1"/>
  <c r="GH129" s="1"/>
  <c r="GE129"/>
  <c r="FH130"/>
  <c r="FI130" s="1"/>
  <c r="FJ130" s="1"/>
  <c r="FG130"/>
  <c r="EV138"/>
  <c r="EW138" s="1"/>
  <c r="EX138" s="1"/>
  <c r="EU138"/>
  <c r="DL38"/>
  <c r="DM38" s="1"/>
  <c r="DN38" s="1"/>
  <c r="DK38"/>
  <c r="HG93"/>
  <c r="HH93"/>
  <c r="HI93" s="1"/>
  <c r="HJ93" s="1"/>
  <c r="GQ97"/>
  <c r="GR97"/>
  <c r="GS97" s="1"/>
  <c r="GT97" s="1"/>
  <c r="HS42"/>
  <c r="HT42"/>
  <c r="HU42" s="1"/>
  <c r="HV42" s="1"/>
  <c r="EV99"/>
  <c r="EW99" s="1"/>
  <c r="EX99" s="1"/>
  <c r="EU99"/>
  <c r="IB86"/>
  <c r="IA86"/>
  <c r="CY67"/>
  <c r="CZ67"/>
  <c r="DA67" s="1"/>
  <c r="DB67" s="1"/>
  <c r="FG3"/>
  <c r="FH3"/>
  <c r="FI3" s="1"/>
  <c r="FJ3" s="1"/>
  <c r="HO47"/>
  <c r="HP47"/>
  <c r="HQ47" s="1"/>
  <c r="HR47" s="1"/>
  <c r="DK35"/>
  <c r="DL35"/>
  <c r="DM35" s="1"/>
  <c r="DN35" s="1"/>
  <c r="GY23"/>
  <c r="GZ23"/>
  <c r="HA23" s="1"/>
  <c r="HB23" s="1"/>
  <c r="HG77"/>
  <c r="HH77"/>
  <c r="HI77" s="1"/>
  <c r="HJ77" s="1"/>
  <c r="EU69"/>
  <c r="EV69"/>
  <c r="EW69" s="1"/>
  <c r="EX69" s="1"/>
  <c r="HG84"/>
  <c r="HH84"/>
  <c r="HI84" s="1"/>
  <c r="HJ84" s="1"/>
  <c r="EF11"/>
  <c r="EG11" s="1"/>
  <c r="EH11" s="1"/>
  <c r="EE11"/>
  <c r="HH34"/>
  <c r="HI34" s="1"/>
  <c r="HJ34" s="1"/>
  <c r="HG34"/>
  <c r="HT90"/>
  <c r="HU90" s="1"/>
  <c r="HV90" s="1"/>
  <c r="HS90"/>
  <c r="CZ4"/>
  <c r="DA4" s="1"/>
  <c r="DB4" s="1"/>
  <c r="CY4"/>
  <c r="E184" i="54"/>
  <c r="F183" s="1"/>
  <c r="AC217" i="10"/>
  <c r="J185" i="21"/>
  <c r="CJ10"/>
  <c r="CI10"/>
  <c r="CE10"/>
  <c r="CH10" s="1"/>
  <c r="BZ10"/>
  <c r="CJ11"/>
  <c r="CI11"/>
  <c r="CE11"/>
  <c r="CH11" s="1"/>
  <c r="BZ11"/>
  <c r="EZ125" i="10" l="1"/>
  <c r="FA125" s="1"/>
  <c r="FB125" s="1"/>
  <c r="EY125"/>
  <c r="EZ106"/>
  <c r="FA106" s="1"/>
  <c r="FB106" s="1"/>
  <c r="EY106"/>
  <c r="GJ129"/>
  <c r="GK129" s="1"/>
  <c r="GL129" s="1"/>
  <c r="GI129"/>
  <c r="FL130"/>
  <c r="FM130" s="1"/>
  <c r="FN130" s="1"/>
  <c r="FK130"/>
  <c r="EI120"/>
  <c r="EJ120"/>
  <c r="EK120" s="1"/>
  <c r="EL120" s="1"/>
  <c r="EZ138"/>
  <c r="FA138" s="1"/>
  <c r="FB138" s="1"/>
  <c r="EY138"/>
  <c r="EZ114"/>
  <c r="FA114" s="1"/>
  <c r="FB114" s="1"/>
  <c r="EY114"/>
  <c r="IB128"/>
  <c r="IA128"/>
  <c r="IA103"/>
  <c r="IB103"/>
  <c r="DC141"/>
  <c r="DD141"/>
  <c r="DE141" s="1"/>
  <c r="DF141" s="1"/>
  <c r="FX134"/>
  <c r="FY134" s="1"/>
  <c r="FZ134" s="1"/>
  <c r="FW134"/>
  <c r="EY116"/>
  <c r="EZ116"/>
  <c r="FA116" s="1"/>
  <c r="FB116" s="1"/>
  <c r="HK84"/>
  <c r="HL84"/>
  <c r="HM84" s="1"/>
  <c r="HN84" s="1"/>
  <c r="HT47"/>
  <c r="HU47" s="1"/>
  <c r="HV47" s="1"/>
  <c r="HS47"/>
  <c r="GU97"/>
  <c r="GV97"/>
  <c r="GW97" s="1"/>
  <c r="GX97" s="1"/>
  <c r="HW90"/>
  <c r="HX90"/>
  <c r="HY90" s="1"/>
  <c r="HZ90" s="1"/>
  <c r="EJ11"/>
  <c r="EK11" s="1"/>
  <c r="EL11" s="1"/>
  <c r="EI11"/>
  <c r="EZ69"/>
  <c r="FA69" s="1"/>
  <c r="FB69" s="1"/>
  <c r="EY69"/>
  <c r="HD23"/>
  <c r="HE23" s="1"/>
  <c r="HF23" s="1"/>
  <c r="HC23"/>
  <c r="DO35"/>
  <c r="DP35"/>
  <c r="DQ35" s="1"/>
  <c r="DR35" s="1"/>
  <c r="HX42"/>
  <c r="HY42" s="1"/>
  <c r="HZ42" s="1"/>
  <c r="HW42"/>
  <c r="DP38"/>
  <c r="DQ38" s="1"/>
  <c r="DR38" s="1"/>
  <c r="DO38"/>
  <c r="DC4"/>
  <c r="DD4"/>
  <c r="DE4" s="1"/>
  <c r="DF4" s="1"/>
  <c r="EZ99"/>
  <c r="FA99" s="1"/>
  <c r="FB99" s="1"/>
  <c r="EY99"/>
  <c r="HK93"/>
  <c r="HL93"/>
  <c r="HM93" s="1"/>
  <c r="HN93" s="1"/>
  <c r="HL34"/>
  <c r="HM34" s="1"/>
  <c r="HN34" s="1"/>
  <c r="HK34"/>
  <c r="HL77"/>
  <c r="HM77" s="1"/>
  <c r="HN77" s="1"/>
  <c r="HK77"/>
  <c r="FL3"/>
  <c r="FM3" s="1"/>
  <c r="FN3" s="1"/>
  <c r="FK3"/>
  <c r="DD67"/>
  <c r="DE67" s="1"/>
  <c r="DF67" s="1"/>
  <c r="DC67"/>
  <c r="E185" i="54"/>
  <c r="F184" s="1"/>
  <c r="J186" i="21"/>
  <c r="CD10"/>
  <c r="CF10"/>
  <c r="CG10" s="1"/>
  <c r="CD11"/>
  <c r="CF11"/>
  <c r="CG11" s="1"/>
  <c r="Q36" i="10"/>
  <c r="BW36" s="1"/>
  <c r="BX36" s="1"/>
  <c r="BY36" s="1"/>
  <c r="BZ36" s="1"/>
  <c r="BW62"/>
  <c r="BX62" s="1"/>
  <c r="BY62" s="1"/>
  <c r="BZ62" s="1"/>
  <c r="EM120" l="1"/>
  <c r="EN120"/>
  <c r="EO120" s="1"/>
  <c r="EP120" s="1"/>
  <c r="GA134"/>
  <c r="GB134"/>
  <c r="GC134" s="1"/>
  <c r="GD134" s="1"/>
  <c r="FD114"/>
  <c r="FE114" s="1"/>
  <c r="FF114" s="1"/>
  <c r="FC114"/>
  <c r="FP130"/>
  <c r="FQ130" s="1"/>
  <c r="FR130" s="1"/>
  <c r="FO130"/>
  <c r="FD116"/>
  <c r="FE116" s="1"/>
  <c r="FF116" s="1"/>
  <c r="FC116"/>
  <c r="DH141"/>
  <c r="DI141" s="1"/>
  <c r="DJ141" s="1"/>
  <c r="DG141"/>
  <c r="FC106"/>
  <c r="FD106"/>
  <c r="FE106" s="1"/>
  <c r="FF106" s="1"/>
  <c r="FC138"/>
  <c r="FD138"/>
  <c r="FE138" s="1"/>
  <c r="FF138" s="1"/>
  <c r="GM129"/>
  <c r="GN129"/>
  <c r="GO129" s="1"/>
  <c r="GP129" s="1"/>
  <c r="FD125"/>
  <c r="FE125" s="1"/>
  <c r="FF125" s="1"/>
  <c r="FC125"/>
  <c r="FP3"/>
  <c r="FQ3" s="1"/>
  <c r="FR3" s="1"/>
  <c r="FO3"/>
  <c r="HO77"/>
  <c r="HP77"/>
  <c r="HQ77" s="1"/>
  <c r="HR77" s="1"/>
  <c r="HP34"/>
  <c r="HQ34" s="1"/>
  <c r="HR34" s="1"/>
  <c r="HO34"/>
  <c r="FC99"/>
  <c r="FD99"/>
  <c r="FE99" s="1"/>
  <c r="FF99" s="1"/>
  <c r="DG4"/>
  <c r="DH4"/>
  <c r="DI4" s="1"/>
  <c r="DJ4" s="1"/>
  <c r="DT35"/>
  <c r="DU35" s="1"/>
  <c r="DV35" s="1"/>
  <c r="DS35"/>
  <c r="IB90"/>
  <c r="IA90"/>
  <c r="GY97"/>
  <c r="GZ97"/>
  <c r="HA97" s="1"/>
  <c r="HB97" s="1"/>
  <c r="CB36"/>
  <c r="CC36" s="1"/>
  <c r="CD36" s="1"/>
  <c r="CA36"/>
  <c r="HO84"/>
  <c r="HP84"/>
  <c r="HQ84" s="1"/>
  <c r="HR84" s="1"/>
  <c r="HO93"/>
  <c r="HP93"/>
  <c r="HQ93" s="1"/>
  <c r="HR93" s="1"/>
  <c r="IA42"/>
  <c r="IB42"/>
  <c r="EN11"/>
  <c r="EO11" s="1"/>
  <c r="EP11" s="1"/>
  <c r="EM11"/>
  <c r="DT38"/>
  <c r="DU38" s="1"/>
  <c r="DV38" s="1"/>
  <c r="DS38"/>
  <c r="HG23"/>
  <c r="HH23"/>
  <c r="HI23" s="1"/>
  <c r="HJ23" s="1"/>
  <c r="FC69"/>
  <c r="FD69"/>
  <c r="FE69" s="1"/>
  <c r="FF69" s="1"/>
  <c r="HX47"/>
  <c r="HY47" s="1"/>
  <c r="HZ47" s="1"/>
  <c r="HW47"/>
  <c r="CA62"/>
  <c r="CB62"/>
  <c r="CC62" s="1"/>
  <c r="CD62" s="1"/>
  <c r="DH67"/>
  <c r="DI67" s="1"/>
  <c r="DJ67" s="1"/>
  <c r="DG67"/>
  <c r="E186" i="54"/>
  <c r="F185" s="1"/>
  <c r="J187" i="21"/>
  <c r="CJ12"/>
  <c r="CI12"/>
  <c r="CE12"/>
  <c r="CH12" s="1"/>
  <c r="BZ12"/>
  <c r="FH116" i="10" l="1"/>
  <c r="FI116" s="1"/>
  <c r="FJ116" s="1"/>
  <c r="FG116"/>
  <c r="DK141"/>
  <c r="DL141"/>
  <c r="DM141" s="1"/>
  <c r="DN141" s="1"/>
  <c r="FG114"/>
  <c r="FH114"/>
  <c r="FI114" s="1"/>
  <c r="FJ114" s="1"/>
  <c r="GR129"/>
  <c r="GS129" s="1"/>
  <c r="GT129" s="1"/>
  <c r="GQ129"/>
  <c r="FH106"/>
  <c r="FI106" s="1"/>
  <c r="FJ106" s="1"/>
  <c r="FG106"/>
  <c r="EQ120"/>
  <c r="ER120"/>
  <c r="ES120" s="1"/>
  <c r="ET120" s="1"/>
  <c r="GE134"/>
  <c r="GF134"/>
  <c r="GG134" s="1"/>
  <c r="GH134" s="1"/>
  <c r="FG125"/>
  <c r="FH125"/>
  <c r="FI125" s="1"/>
  <c r="FJ125" s="1"/>
  <c r="FH138"/>
  <c r="FI138" s="1"/>
  <c r="FJ138" s="1"/>
  <c r="FG138"/>
  <c r="FT130"/>
  <c r="FU130" s="1"/>
  <c r="FV130" s="1"/>
  <c r="FS130"/>
  <c r="DK67"/>
  <c r="DL67"/>
  <c r="DM67" s="1"/>
  <c r="DN67" s="1"/>
  <c r="IA47"/>
  <c r="IB47"/>
  <c r="FG69"/>
  <c r="FH69"/>
  <c r="FI69" s="1"/>
  <c r="FJ69" s="1"/>
  <c r="HS93"/>
  <c r="HT93"/>
  <c r="HU93" s="1"/>
  <c r="HV93" s="1"/>
  <c r="HT84"/>
  <c r="HU84" s="1"/>
  <c r="HV84" s="1"/>
  <c r="HS84"/>
  <c r="HD97"/>
  <c r="HE97" s="1"/>
  <c r="HF97" s="1"/>
  <c r="HC97"/>
  <c r="DL4"/>
  <c r="DM4" s="1"/>
  <c r="DN4" s="1"/>
  <c r="DK4"/>
  <c r="FG99"/>
  <c r="FH99"/>
  <c r="FI99" s="1"/>
  <c r="FJ99" s="1"/>
  <c r="HS77"/>
  <c r="HT77"/>
  <c r="HU77" s="1"/>
  <c r="HV77" s="1"/>
  <c r="CE62"/>
  <c r="CF62"/>
  <c r="CG62" s="1"/>
  <c r="CH62" s="1"/>
  <c r="ER11"/>
  <c r="ES11" s="1"/>
  <c r="ET11" s="1"/>
  <c r="EQ11"/>
  <c r="DW38"/>
  <c r="DX38"/>
  <c r="DY38" s="1"/>
  <c r="DZ38" s="1"/>
  <c r="HK23"/>
  <c r="HL23"/>
  <c r="HM23" s="1"/>
  <c r="HN23" s="1"/>
  <c r="CF36"/>
  <c r="CG36" s="1"/>
  <c r="CH36" s="1"/>
  <c r="CE36"/>
  <c r="DX35"/>
  <c r="DY35" s="1"/>
  <c r="DZ35" s="1"/>
  <c r="DW35"/>
  <c r="HS34"/>
  <c r="HT34"/>
  <c r="HU34" s="1"/>
  <c r="HV34" s="1"/>
  <c r="FT3"/>
  <c r="FU3" s="1"/>
  <c r="FV3" s="1"/>
  <c r="FS3"/>
  <c r="E187" i="54"/>
  <c r="F186" s="1"/>
  <c r="J188" i="21"/>
  <c r="CD12"/>
  <c r="CF12"/>
  <c r="CG12" s="1"/>
  <c r="DT9"/>
  <c r="DS9"/>
  <c r="DJ9"/>
  <c r="EY56"/>
  <c r="EY57"/>
  <c r="EY58"/>
  <c r="EY59"/>
  <c r="EY60"/>
  <c r="EY61"/>
  <c r="EY62"/>
  <c r="EY63"/>
  <c r="EY64"/>
  <c r="EY65"/>
  <c r="EY66"/>
  <c r="EY67"/>
  <c r="EY68"/>
  <c r="EY69"/>
  <c r="EY70"/>
  <c r="EY71"/>
  <c r="EY72"/>
  <c r="EY73"/>
  <c r="EY74"/>
  <c r="EY75"/>
  <c r="EY76"/>
  <c r="EY77"/>
  <c r="EY78"/>
  <c r="EY79"/>
  <c r="EY80"/>
  <c r="EY81"/>
  <c r="EY82"/>
  <c r="EY83"/>
  <c r="EY84"/>
  <c r="EY85"/>
  <c r="EY87"/>
  <c r="EY88"/>
  <c r="EY89"/>
  <c r="EY90"/>
  <c r="EY91"/>
  <c r="EY92"/>
  <c r="EY93"/>
  <c r="EY94"/>
  <c r="EY95"/>
  <c r="EY96"/>
  <c r="EY97"/>
  <c r="EY98"/>
  <c r="EY99"/>
  <c r="EY100"/>
  <c r="EY101"/>
  <c r="EY102"/>
  <c r="EY103"/>
  <c r="EY104"/>
  <c r="EY105"/>
  <c r="EY106"/>
  <c r="EY107"/>
  <c r="EY108"/>
  <c r="EY109"/>
  <c r="EY110"/>
  <c r="EY111"/>
  <c r="EY112"/>
  <c r="EY113"/>
  <c r="EY114"/>
  <c r="EY115"/>
  <c r="EY116"/>
  <c r="EY117"/>
  <c r="EY118"/>
  <c r="EY119"/>
  <c r="EY120"/>
  <c r="EY121"/>
  <c r="EY122"/>
  <c r="EY123"/>
  <c r="EY124"/>
  <c r="EY125"/>
  <c r="EY126"/>
  <c r="EY127"/>
  <c r="EY128"/>
  <c r="EY129"/>
  <c r="EY130"/>
  <c r="EY131"/>
  <c r="EY132"/>
  <c r="EY133"/>
  <c r="EY134"/>
  <c r="EY135"/>
  <c r="EY136"/>
  <c r="EY137"/>
  <c r="EY138"/>
  <c r="EY139"/>
  <c r="EY140"/>
  <c r="EY141"/>
  <c r="EY142"/>
  <c r="EY143"/>
  <c r="EY144"/>
  <c r="EY145"/>
  <c r="EY146"/>
  <c r="EY147"/>
  <c r="EY148"/>
  <c r="EY149"/>
  <c r="EY150"/>
  <c r="EY151"/>
  <c r="EY152"/>
  <c r="EY153"/>
  <c r="EY154"/>
  <c r="EY155"/>
  <c r="EY156"/>
  <c r="EY157"/>
  <c r="EY158"/>
  <c r="EY159"/>
  <c r="EY160"/>
  <c r="EY161"/>
  <c r="EY162"/>
  <c r="EY163"/>
  <c r="EY164"/>
  <c r="EY165"/>
  <c r="EY166"/>
  <c r="EY167"/>
  <c r="EY168"/>
  <c r="EY169"/>
  <c r="EY170"/>
  <c r="EY171"/>
  <c r="EY172"/>
  <c r="EY173"/>
  <c r="EY174"/>
  <c r="EY175"/>
  <c r="EY176"/>
  <c r="EY177"/>
  <c r="EY178"/>
  <c r="EY179"/>
  <c r="EY180"/>
  <c r="EY181"/>
  <c r="EY182"/>
  <c r="EY183"/>
  <c r="EY184"/>
  <c r="EY185"/>
  <c r="EY186"/>
  <c r="EY187"/>
  <c r="EY188"/>
  <c r="EY189"/>
  <c r="EY190"/>
  <c r="EY191"/>
  <c r="EY192"/>
  <c r="EY193"/>
  <c r="EY194"/>
  <c r="EY195"/>
  <c r="EY196"/>
  <c r="EY197"/>
  <c r="EY198"/>
  <c r="EY199"/>
  <c r="EY200"/>
  <c r="EY201"/>
  <c r="EY202"/>
  <c r="EY203"/>
  <c r="EY204"/>
  <c r="EY205"/>
  <c r="EY206"/>
  <c r="EY207"/>
  <c r="EY208"/>
  <c r="EY209"/>
  <c r="EY210"/>
  <c r="EY211"/>
  <c r="EY212"/>
  <c r="EY213"/>
  <c r="EY214"/>
  <c r="EY215"/>
  <c r="EY216"/>
  <c r="EY217"/>
  <c r="EY218"/>
  <c r="EY219"/>
  <c r="EY220"/>
  <c r="EY221"/>
  <c r="EY222"/>
  <c r="EY223"/>
  <c r="EY224"/>
  <c r="EY225"/>
  <c r="EY226"/>
  <c r="EY227"/>
  <c r="EY228"/>
  <c r="EY229"/>
  <c r="EY230"/>
  <c r="EY231"/>
  <c r="EY232"/>
  <c r="EY233"/>
  <c r="EY234"/>
  <c r="EY235"/>
  <c r="EY236"/>
  <c r="EY237"/>
  <c r="EY238"/>
  <c r="EY239"/>
  <c r="EY240"/>
  <c r="EY241"/>
  <c r="EY242"/>
  <c r="EY243"/>
  <c r="EY244"/>
  <c r="EY245"/>
  <c r="EY246"/>
  <c r="EY247"/>
  <c r="EY248"/>
  <c r="EY249"/>
  <c r="EY250"/>
  <c r="EY251"/>
  <c r="EY252"/>
  <c r="EY253"/>
  <c r="EY254"/>
  <c r="EY255"/>
  <c r="EY256"/>
  <c r="EY257"/>
  <c r="EY258"/>
  <c r="EY259"/>
  <c r="EY260"/>
  <c r="EY261"/>
  <c r="EY262"/>
  <c r="EY263"/>
  <c r="EY264"/>
  <c r="EY265"/>
  <c r="EY266"/>
  <c r="EY267"/>
  <c r="EY268"/>
  <c r="EY269"/>
  <c r="EY270"/>
  <c r="EY271"/>
  <c r="EY272"/>
  <c r="EY273"/>
  <c r="EY274"/>
  <c r="EY275"/>
  <c r="EY276"/>
  <c r="EY277"/>
  <c r="EY278"/>
  <c r="EY279"/>
  <c r="EY280"/>
  <c r="EY281"/>
  <c r="EY282"/>
  <c r="EY283"/>
  <c r="EY284"/>
  <c r="EY285"/>
  <c r="EY286"/>
  <c r="EY287"/>
  <c r="EY288"/>
  <c r="EY289"/>
  <c r="EY290"/>
  <c r="EY291"/>
  <c r="EY292"/>
  <c r="EY293"/>
  <c r="EY294"/>
  <c r="EY295"/>
  <c r="EY296"/>
  <c r="EY297"/>
  <c r="EY298"/>
  <c r="EY299"/>
  <c r="EY300"/>
  <c r="EY301"/>
  <c r="EG14"/>
  <c r="EG15"/>
  <c r="EG16"/>
  <c r="EG17"/>
  <c r="EG19"/>
  <c r="EG20"/>
  <c r="EG21"/>
  <c r="EG22"/>
  <c r="EG23"/>
  <c r="EG24"/>
  <c r="EG25"/>
  <c r="EG26"/>
  <c r="EG27"/>
  <c r="EG28"/>
  <c r="EG29"/>
  <c r="EG30"/>
  <c r="EG31"/>
  <c r="EG32"/>
  <c r="EG33"/>
  <c r="EG34"/>
  <c r="EG35"/>
  <c r="EG36"/>
  <c r="EG37"/>
  <c r="EG38"/>
  <c r="EG39"/>
  <c r="EG40"/>
  <c r="EG41"/>
  <c r="EG42"/>
  <c r="EG43"/>
  <c r="EG44"/>
  <c r="EG45"/>
  <c r="EG46"/>
  <c r="EG47"/>
  <c r="EG48"/>
  <c r="EG49"/>
  <c r="EG50"/>
  <c r="EG51"/>
  <c r="EG52"/>
  <c r="EG53"/>
  <c r="EG54"/>
  <c r="EG55"/>
  <c r="EG56"/>
  <c r="EG57"/>
  <c r="EG58"/>
  <c r="EG59"/>
  <c r="EG60"/>
  <c r="EG61"/>
  <c r="EG62"/>
  <c r="EG63"/>
  <c r="EG64"/>
  <c r="EG65"/>
  <c r="EG66"/>
  <c r="EG67"/>
  <c r="EG68"/>
  <c r="EG69"/>
  <c r="EG70"/>
  <c r="EG71"/>
  <c r="EG72"/>
  <c r="EG73"/>
  <c r="EG74"/>
  <c r="EG75"/>
  <c r="EG76"/>
  <c r="EG77"/>
  <c r="EG78"/>
  <c r="EG79"/>
  <c r="EG80"/>
  <c r="EG81"/>
  <c r="EG82"/>
  <c r="EG83"/>
  <c r="EG84"/>
  <c r="EG85"/>
  <c r="EG86"/>
  <c r="EG87"/>
  <c r="EG88"/>
  <c r="DJ12"/>
  <c r="DJ13"/>
  <c r="DJ14"/>
  <c r="DJ19"/>
  <c r="DJ22"/>
  <c r="DJ23"/>
  <c r="DJ30"/>
  <c r="DJ34"/>
  <c r="CR12"/>
  <c r="CR15"/>
  <c r="CR18"/>
  <c r="CR21"/>
  <c r="CR24"/>
  <c r="CR27"/>
  <c r="CR30"/>
  <c r="CR32"/>
  <c r="CR35"/>
  <c r="CR38"/>
  <c r="CR41"/>
  <c r="CR42"/>
  <c r="CR44"/>
  <c r="BZ15"/>
  <c r="BZ17"/>
  <c r="BZ18"/>
  <c r="BZ20"/>
  <c r="BZ21"/>
  <c r="BZ23"/>
  <c r="BZ26"/>
  <c r="BZ28"/>
  <c r="BZ30"/>
  <c r="BZ31"/>
  <c r="BZ33"/>
  <c r="BZ39"/>
  <c r="BZ40"/>
  <c r="BZ41"/>
  <c r="BZ42"/>
  <c r="Q29" i="10"/>
  <c r="BW29" s="1"/>
  <c r="BX29" s="1"/>
  <c r="BY29" s="1"/>
  <c r="BZ29" s="1"/>
  <c r="GU129" l="1"/>
  <c r="GV129"/>
  <c r="GW129" s="1"/>
  <c r="GX129" s="1"/>
  <c r="DP141"/>
  <c r="DQ141" s="1"/>
  <c r="DR141" s="1"/>
  <c r="DO141"/>
  <c r="FK138"/>
  <c r="FL138"/>
  <c r="FM138" s="1"/>
  <c r="FN138" s="1"/>
  <c r="GJ134"/>
  <c r="GK134" s="1"/>
  <c r="GL134" s="1"/>
  <c r="GI134"/>
  <c r="FL114"/>
  <c r="FM114" s="1"/>
  <c r="FN114" s="1"/>
  <c r="FK114"/>
  <c r="FL106"/>
  <c r="FM106" s="1"/>
  <c r="FN106" s="1"/>
  <c r="FK106"/>
  <c r="FW130"/>
  <c r="FX130"/>
  <c r="FY130" s="1"/>
  <c r="FZ130" s="1"/>
  <c r="FL125"/>
  <c r="FM125" s="1"/>
  <c r="FN125" s="1"/>
  <c r="FK125"/>
  <c r="EU120"/>
  <c r="EV120"/>
  <c r="EW120" s="1"/>
  <c r="EX120" s="1"/>
  <c r="FK116"/>
  <c r="FL116"/>
  <c r="FM116" s="1"/>
  <c r="FN116" s="1"/>
  <c r="HX34"/>
  <c r="HY34" s="1"/>
  <c r="HZ34" s="1"/>
  <c r="HW34"/>
  <c r="HO23"/>
  <c r="HP23"/>
  <c r="HQ23" s="1"/>
  <c r="HR23" s="1"/>
  <c r="EB38"/>
  <c r="EC38" s="1"/>
  <c r="ED38" s="1"/>
  <c r="EA38"/>
  <c r="DO4"/>
  <c r="DP4"/>
  <c r="DQ4" s="1"/>
  <c r="DR4" s="1"/>
  <c r="HH97"/>
  <c r="HI97" s="1"/>
  <c r="HJ97" s="1"/>
  <c r="HG97"/>
  <c r="CA29"/>
  <c r="CB29"/>
  <c r="CC29" s="1"/>
  <c r="CD29" s="1"/>
  <c r="EB35"/>
  <c r="EC35" s="1"/>
  <c r="ED35" s="1"/>
  <c r="EA35"/>
  <c r="FL99"/>
  <c r="FM99" s="1"/>
  <c r="FN99" s="1"/>
  <c r="FK99"/>
  <c r="CI62"/>
  <c r="CJ62"/>
  <c r="CK62" s="1"/>
  <c r="CL62" s="1"/>
  <c r="HX84"/>
  <c r="HY84" s="1"/>
  <c r="HZ84" s="1"/>
  <c r="HW84"/>
  <c r="FW3"/>
  <c r="FX3"/>
  <c r="FY3" s="1"/>
  <c r="FZ3" s="1"/>
  <c r="CI36"/>
  <c r="CJ36"/>
  <c r="CK36" s="1"/>
  <c r="CL36" s="1"/>
  <c r="EV11"/>
  <c r="EW11" s="1"/>
  <c r="EX11" s="1"/>
  <c r="EU11"/>
  <c r="HW77"/>
  <c r="HX77"/>
  <c r="HY77" s="1"/>
  <c r="HZ77" s="1"/>
  <c r="HX93"/>
  <c r="HY93" s="1"/>
  <c r="HZ93" s="1"/>
  <c r="HW93"/>
  <c r="FL69"/>
  <c r="FM69" s="1"/>
  <c r="FN69" s="1"/>
  <c r="FK69"/>
  <c r="DP67"/>
  <c r="DQ67" s="1"/>
  <c r="DR67" s="1"/>
  <c r="DO67"/>
  <c r="E188" i="54"/>
  <c r="F187" s="1"/>
  <c r="J189" i="21"/>
  <c r="DO9"/>
  <c r="DR9" s="1"/>
  <c r="Q75" i="10"/>
  <c r="BW75" s="1"/>
  <c r="BX75" s="1"/>
  <c r="BY75" s="1"/>
  <c r="BZ75" s="1"/>
  <c r="FP106" l="1"/>
  <c r="FQ106" s="1"/>
  <c r="FR106" s="1"/>
  <c r="FO106"/>
  <c r="GA130"/>
  <c r="GB130"/>
  <c r="GC130" s="1"/>
  <c r="GD130" s="1"/>
  <c r="FO114"/>
  <c r="FP114"/>
  <c r="FQ114" s="1"/>
  <c r="FR114" s="1"/>
  <c r="FP138"/>
  <c r="FQ138" s="1"/>
  <c r="FR138" s="1"/>
  <c r="FO138"/>
  <c r="DS141"/>
  <c r="DT141"/>
  <c r="DU141" s="1"/>
  <c r="DV141" s="1"/>
  <c r="FP116"/>
  <c r="FQ116" s="1"/>
  <c r="FR116" s="1"/>
  <c r="FO116"/>
  <c r="GZ129"/>
  <c r="HA129" s="1"/>
  <c r="HB129" s="1"/>
  <c r="GY129"/>
  <c r="FP125"/>
  <c r="FQ125" s="1"/>
  <c r="FR125" s="1"/>
  <c r="FO125"/>
  <c r="GN134"/>
  <c r="GO134" s="1"/>
  <c r="GP134" s="1"/>
  <c r="GM134"/>
  <c r="EY120"/>
  <c r="EZ120"/>
  <c r="FA120" s="1"/>
  <c r="FB120" s="1"/>
  <c r="FO69"/>
  <c r="FP69"/>
  <c r="FQ69" s="1"/>
  <c r="FR69" s="1"/>
  <c r="IA84"/>
  <c r="IB84"/>
  <c r="FP99"/>
  <c r="FQ99" s="1"/>
  <c r="FR99" s="1"/>
  <c r="FO99"/>
  <c r="CA75"/>
  <c r="CB75"/>
  <c r="CC75" s="1"/>
  <c r="CD75" s="1"/>
  <c r="CM36"/>
  <c r="CN36"/>
  <c r="CO36" s="1"/>
  <c r="CP36" s="1"/>
  <c r="CN62"/>
  <c r="CO62" s="1"/>
  <c r="CP62" s="1"/>
  <c r="CM62"/>
  <c r="DS67"/>
  <c r="DT67"/>
  <c r="DU67" s="1"/>
  <c r="DV67" s="1"/>
  <c r="IA93"/>
  <c r="IB93"/>
  <c r="EZ11"/>
  <c r="FA11" s="1"/>
  <c r="FB11" s="1"/>
  <c r="EY11"/>
  <c r="EF35"/>
  <c r="EG35" s="1"/>
  <c r="EH35" s="1"/>
  <c r="EE35"/>
  <c r="HL97"/>
  <c r="HM97" s="1"/>
  <c r="HN97" s="1"/>
  <c r="HK97"/>
  <c r="EF38"/>
  <c r="EG38" s="1"/>
  <c r="EH38" s="1"/>
  <c r="EE38"/>
  <c r="IA34"/>
  <c r="IB34"/>
  <c r="IB77"/>
  <c r="IA77"/>
  <c r="GA3"/>
  <c r="GB3"/>
  <c r="GC3" s="1"/>
  <c r="GD3" s="1"/>
  <c r="CF29"/>
  <c r="CG29" s="1"/>
  <c r="CH29" s="1"/>
  <c r="CE29"/>
  <c r="DT4"/>
  <c r="DU4" s="1"/>
  <c r="DV4" s="1"/>
  <c r="DS4"/>
  <c r="HS23"/>
  <c r="HT23"/>
  <c r="HU23" s="1"/>
  <c r="HV23" s="1"/>
  <c r="E189" i="54"/>
  <c r="F188" s="1"/>
  <c r="J190" i="21"/>
  <c r="DP9"/>
  <c r="DQ9" s="1"/>
  <c r="DN9"/>
  <c r="Q27" i="10"/>
  <c r="BW27" s="1"/>
  <c r="BX27" s="1"/>
  <c r="BY27" s="1"/>
  <c r="BZ27" s="1"/>
  <c r="C188"/>
  <c r="D188" s="1"/>
  <c r="C187"/>
  <c r="BC260"/>
  <c r="BC259"/>
  <c r="BF251"/>
  <c r="BG251" s="1"/>
  <c r="BF250"/>
  <c r="BG250" s="1"/>
  <c r="BG252"/>
  <c r="BC252"/>
  <c r="BE252" s="1"/>
  <c r="B219" i="21"/>
  <c r="CP10"/>
  <c r="CR10" s="1"/>
  <c r="DB10"/>
  <c r="DA10"/>
  <c r="CW10"/>
  <c r="CZ10" s="1"/>
  <c r="BX13"/>
  <c r="CJ13"/>
  <c r="CI13"/>
  <c r="CE13"/>
  <c r="CH13" s="1"/>
  <c r="FT116" i="10" l="1"/>
  <c r="FU116" s="1"/>
  <c r="FV116" s="1"/>
  <c r="FS116"/>
  <c r="FT138"/>
  <c r="FU138" s="1"/>
  <c r="FV138" s="1"/>
  <c r="FS138"/>
  <c r="FT114"/>
  <c r="FU114" s="1"/>
  <c r="FV114" s="1"/>
  <c r="FS114"/>
  <c r="FS106"/>
  <c r="FT106"/>
  <c r="FU106" s="1"/>
  <c r="FV106" s="1"/>
  <c r="FT125"/>
  <c r="FU125" s="1"/>
  <c r="FV125" s="1"/>
  <c r="FS125"/>
  <c r="GR134"/>
  <c r="GS134" s="1"/>
  <c r="GT134" s="1"/>
  <c r="GQ134"/>
  <c r="FD120"/>
  <c r="FE120" s="1"/>
  <c r="FF120" s="1"/>
  <c r="FC120"/>
  <c r="HC129"/>
  <c r="HD129"/>
  <c r="HE129" s="1"/>
  <c r="HF129" s="1"/>
  <c r="DX141"/>
  <c r="DY141" s="1"/>
  <c r="DZ141" s="1"/>
  <c r="DW141"/>
  <c r="GE130"/>
  <c r="GF130"/>
  <c r="GG130" s="1"/>
  <c r="GH130" s="1"/>
  <c r="CR36"/>
  <c r="CS36" s="1"/>
  <c r="CT36" s="1"/>
  <c r="CQ36"/>
  <c r="CI29"/>
  <c r="CJ29"/>
  <c r="CK29" s="1"/>
  <c r="CL29" s="1"/>
  <c r="DX67"/>
  <c r="DY67" s="1"/>
  <c r="DZ67" s="1"/>
  <c r="DW67"/>
  <c r="CB27"/>
  <c r="CC27" s="1"/>
  <c r="CD27" s="1"/>
  <c r="CA27"/>
  <c r="HW23"/>
  <c r="HX23"/>
  <c r="HY23" s="1"/>
  <c r="HZ23" s="1"/>
  <c r="GE3"/>
  <c r="GF3"/>
  <c r="GG3" s="1"/>
  <c r="GH3" s="1"/>
  <c r="HO97"/>
  <c r="HP97"/>
  <c r="HQ97" s="1"/>
  <c r="HR97" s="1"/>
  <c r="FC11"/>
  <c r="FD11"/>
  <c r="FE11" s="1"/>
  <c r="FF11" s="1"/>
  <c r="DX4"/>
  <c r="DY4" s="1"/>
  <c r="DZ4" s="1"/>
  <c r="DW4"/>
  <c r="FT99"/>
  <c r="FU99" s="1"/>
  <c r="FV99" s="1"/>
  <c r="FS99"/>
  <c r="EI38"/>
  <c r="EJ38"/>
  <c r="EK38" s="1"/>
  <c r="EL38" s="1"/>
  <c r="EI35"/>
  <c r="EJ35"/>
  <c r="EK35" s="1"/>
  <c r="EL35" s="1"/>
  <c r="CQ62"/>
  <c r="CR62"/>
  <c r="CS62" s="1"/>
  <c r="CT62" s="1"/>
  <c r="CE75"/>
  <c r="CF75"/>
  <c r="CG75" s="1"/>
  <c r="CH75" s="1"/>
  <c r="FS69"/>
  <c r="FT69"/>
  <c r="FU69" s="1"/>
  <c r="FV69" s="1"/>
  <c r="E190" i="54"/>
  <c r="F189" s="1"/>
  <c r="J191" i="21"/>
  <c r="BZ13"/>
  <c r="D187" i="10"/>
  <c r="D190" s="1"/>
  <c r="CV10" i="21"/>
  <c r="B220"/>
  <c r="CX10"/>
  <c r="CY10" s="1"/>
  <c r="CD13"/>
  <c r="CF13"/>
  <c r="CG13" s="1"/>
  <c r="Q39" i="10"/>
  <c r="BW39" s="1"/>
  <c r="BX39" s="1"/>
  <c r="BY39" s="1"/>
  <c r="BZ39" s="1"/>
  <c r="Q135"/>
  <c r="BW135" s="1"/>
  <c r="BX135" s="1"/>
  <c r="BY135" s="1"/>
  <c r="BZ135" s="1"/>
  <c r="GJ130" l="1"/>
  <c r="GK130" s="1"/>
  <c r="GL130" s="1"/>
  <c r="GI130"/>
  <c r="GV134"/>
  <c r="GW134" s="1"/>
  <c r="GX134" s="1"/>
  <c r="GU134"/>
  <c r="HH129"/>
  <c r="HI129" s="1"/>
  <c r="HJ129" s="1"/>
  <c r="HG129"/>
  <c r="FW138"/>
  <c r="FX138"/>
  <c r="FY138" s="1"/>
  <c r="FZ138" s="1"/>
  <c r="EA141"/>
  <c r="EB141"/>
  <c r="EC141" s="1"/>
  <c r="ED141" s="1"/>
  <c r="CA135"/>
  <c r="CB135"/>
  <c r="CC135" s="1"/>
  <c r="CD135" s="1"/>
  <c r="FW125"/>
  <c r="FX125"/>
  <c r="FY125" s="1"/>
  <c r="FZ125" s="1"/>
  <c r="FH120"/>
  <c r="FI120" s="1"/>
  <c r="FJ120" s="1"/>
  <c r="FG120"/>
  <c r="FX106"/>
  <c r="FY106" s="1"/>
  <c r="FZ106" s="1"/>
  <c r="FW106"/>
  <c r="FX114"/>
  <c r="FY114" s="1"/>
  <c r="FZ114" s="1"/>
  <c r="FW114"/>
  <c r="FW116"/>
  <c r="FX116"/>
  <c r="FY116" s="1"/>
  <c r="FZ116" s="1"/>
  <c r="CN29"/>
  <c r="CO29" s="1"/>
  <c r="CP29" s="1"/>
  <c r="CM29"/>
  <c r="CJ75"/>
  <c r="CK75" s="1"/>
  <c r="CL75" s="1"/>
  <c r="CI75"/>
  <c r="EN38"/>
  <c r="EO38" s="1"/>
  <c r="EP38" s="1"/>
  <c r="EM38"/>
  <c r="FG11"/>
  <c r="FH11"/>
  <c r="FI11" s="1"/>
  <c r="FJ11" s="1"/>
  <c r="HS97"/>
  <c r="HT97"/>
  <c r="HU97" s="1"/>
  <c r="HV97" s="1"/>
  <c r="CA39"/>
  <c r="CB39"/>
  <c r="CC39" s="1"/>
  <c r="CD39" s="1"/>
  <c r="FW99"/>
  <c r="FX99"/>
  <c r="FY99" s="1"/>
  <c r="FZ99" s="1"/>
  <c r="EA4"/>
  <c r="EB4"/>
  <c r="EC4" s="1"/>
  <c r="ED4" s="1"/>
  <c r="IA23"/>
  <c r="IB23"/>
  <c r="GJ3"/>
  <c r="GK3" s="1"/>
  <c r="GL3" s="1"/>
  <c r="GI3"/>
  <c r="EA67"/>
  <c r="EB67"/>
  <c r="EC67" s="1"/>
  <c r="ED67" s="1"/>
  <c r="CV36"/>
  <c r="CW36" s="1"/>
  <c r="CX36" s="1"/>
  <c r="CU36"/>
  <c r="FX69"/>
  <c r="FY69" s="1"/>
  <c r="FZ69" s="1"/>
  <c r="FW69"/>
  <c r="CU62"/>
  <c r="CV62"/>
  <c r="CW62" s="1"/>
  <c r="CX62" s="1"/>
  <c r="EN35"/>
  <c r="EO35" s="1"/>
  <c r="EP35" s="1"/>
  <c r="EM35"/>
  <c r="CE27"/>
  <c r="CF27"/>
  <c r="CG27" s="1"/>
  <c r="CH27" s="1"/>
  <c r="E191" i="54"/>
  <c r="F190" s="1"/>
  <c r="J192" i="21"/>
  <c r="C219"/>
  <c r="G219"/>
  <c r="F219"/>
  <c r="E219"/>
  <c r="D219"/>
  <c r="B221"/>
  <c r="GB114" i="10" l="1"/>
  <c r="GC114" s="1"/>
  <c r="GD114" s="1"/>
  <c r="GA114"/>
  <c r="CE135"/>
  <c r="CF135"/>
  <c r="CG135" s="1"/>
  <c r="CH135" s="1"/>
  <c r="FL120"/>
  <c r="FM120" s="1"/>
  <c r="FN120" s="1"/>
  <c r="FK120"/>
  <c r="GY134"/>
  <c r="GZ134"/>
  <c r="HA134" s="1"/>
  <c r="HB134" s="1"/>
  <c r="EE141"/>
  <c r="EF141"/>
  <c r="EG141" s="1"/>
  <c r="EH141" s="1"/>
  <c r="GM130"/>
  <c r="GN130"/>
  <c r="GO130" s="1"/>
  <c r="GP130" s="1"/>
  <c r="GB106"/>
  <c r="GC106" s="1"/>
  <c r="GD106" s="1"/>
  <c r="GA106"/>
  <c r="GB125"/>
  <c r="GC125" s="1"/>
  <c r="GD125" s="1"/>
  <c r="GA125"/>
  <c r="GB138"/>
  <c r="GC138" s="1"/>
  <c r="GD138" s="1"/>
  <c r="GA138"/>
  <c r="HK129"/>
  <c r="HL129"/>
  <c r="HM129" s="1"/>
  <c r="HN129" s="1"/>
  <c r="GB116"/>
  <c r="GC116" s="1"/>
  <c r="GD116" s="1"/>
  <c r="GA116"/>
  <c r="CY36"/>
  <c r="CZ36"/>
  <c r="DA36" s="1"/>
  <c r="DB36" s="1"/>
  <c r="GB99"/>
  <c r="GC99" s="1"/>
  <c r="GD99" s="1"/>
  <c r="GA99"/>
  <c r="FK11"/>
  <c r="FL11"/>
  <c r="FM11" s="1"/>
  <c r="FN11" s="1"/>
  <c r="GN3"/>
  <c r="GO3" s="1"/>
  <c r="GP3" s="1"/>
  <c r="GM3"/>
  <c r="CM75"/>
  <c r="CN75"/>
  <c r="CO75" s="1"/>
  <c r="CP75" s="1"/>
  <c r="ER35"/>
  <c r="ES35" s="1"/>
  <c r="ET35" s="1"/>
  <c r="EQ35"/>
  <c r="GA69"/>
  <c r="GB69"/>
  <c r="GC69" s="1"/>
  <c r="GD69" s="1"/>
  <c r="EE67"/>
  <c r="EF67"/>
  <c r="EG67" s="1"/>
  <c r="EH67" s="1"/>
  <c r="EF4"/>
  <c r="EG4" s="1"/>
  <c r="EH4" s="1"/>
  <c r="EE4"/>
  <c r="CF39"/>
  <c r="CG39" s="1"/>
  <c r="CH39" s="1"/>
  <c r="CE39"/>
  <c r="HW97"/>
  <c r="HX97"/>
  <c r="HY97" s="1"/>
  <c r="HZ97" s="1"/>
  <c r="CI27"/>
  <c r="CJ27"/>
  <c r="CK27" s="1"/>
  <c r="CL27" s="1"/>
  <c r="CZ62"/>
  <c r="DA62" s="1"/>
  <c r="DB62" s="1"/>
  <c r="CY62"/>
  <c r="ER38"/>
  <c r="ES38" s="1"/>
  <c r="ET38" s="1"/>
  <c r="EQ38"/>
  <c r="CQ29"/>
  <c r="CR29"/>
  <c r="CS29" s="1"/>
  <c r="CT29" s="1"/>
  <c r="E192" i="54"/>
  <c r="F191" s="1"/>
  <c r="J193" i="21"/>
  <c r="E220"/>
  <c r="G220"/>
  <c r="F220"/>
  <c r="C220"/>
  <c r="D220"/>
  <c r="B222"/>
  <c r="AZ426" i="10"/>
  <c r="AZ427" s="1"/>
  <c r="AY427"/>
  <c r="GF106" l="1"/>
  <c r="GG106" s="1"/>
  <c r="GH106" s="1"/>
  <c r="GE106"/>
  <c r="HP129"/>
  <c r="HQ129" s="1"/>
  <c r="HR129" s="1"/>
  <c r="HO129"/>
  <c r="GF125"/>
  <c r="GG125" s="1"/>
  <c r="GH125" s="1"/>
  <c r="GE125"/>
  <c r="GF116"/>
  <c r="GG116" s="1"/>
  <c r="GH116" s="1"/>
  <c r="GE116"/>
  <c r="GQ130"/>
  <c r="GR130"/>
  <c r="GS130" s="1"/>
  <c r="GT130" s="1"/>
  <c r="GF138"/>
  <c r="GG138" s="1"/>
  <c r="GH138" s="1"/>
  <c r="GE138"/>
  <c r="EJ141"/>
  <c r="EK141" s="1"/>
  <c r="EL141" s="1"/>
  <c r="EI141"/>
  <c r="FO120"/>
  <c r="FP120"/>
  <c r="FQ120" s="1"/>
  <c r="FR120" s="1"/>
  <c r="HD134"/>
  <c r="HE134" s="1"/>
  <c r="HF134" s="1"/>
  <c r="HC134"/>
  <c r="CI135"/>
  <c r="CJ135"/>
  <c r="CK135" s="1"/>
  <c r="CL135" s="1"/>
  <c r="GF114"/>
  <c r="GG114" s="1"/>
  <c r="GH114" s="1"/>
  <c r="GE114"/>
  <c r="EV38"/>
  <c r="EW38" s="1"/>
  <c r="EX38" s="1"/>
  <c r="EU38"/>
  <c r="DD62"/>
  <c r="DE62" s="1"/>
  <c r="DF62" s="1"/>
  <c r="DC62"/>
  <c r="IB97"/>
  <c r="IA97"/>
  <c r="CJ39"/>
  <c r="CK39" s="1"/>
  <c r="CL39" s="1"/>
  <c r="CI39"/>
  <c r="EI4"/>
  <c r="EJ4"/>
  <c r="EK4" s="1"/>
  <c r="EL4" s="1"/>
  <c r="EV35"/>
  <c r="EW35" s="1"/>
  <c r="EX35" s="1"/>
  <c r="EU35"/>
  <c r="CV29"/>
  <c r="CW29" s="1"/>
  <c r="CX29" s="1"/>
  <c r="CU29"/>
  <c r="CM27"/>
  <c r="CN27"/>
  <c r="CO27" s="1"/>
  <c r="CP27" s="1"/>
  <c r="GE69"/>
  <c r="GF69"/>
  <c r="GG69" s="1"/>
  <c r="GH69" s="1"/>
  <c r="FP11"/>
  <c r="FQ11" s="1"/>
  <c r="FR11" s="1"/>
  <c r="FO11"/>
  <c r="GR3"/>
  <c r="GS3" s="1"/>
  <c r="GT3" s="1"/>
  <c r="GQ3"/>
  <c r="GF99"/>
  <c r="GG99" s="1"/>
  <c r="GH99" s="1"/>
  <c r="GE99"/>
  <c r="EJ67"/>
  <c r="EK67" s="1"/>
  <c r="EL67" s="1"/>
  <c r="EI67"/>
  <c r="CR75"/>
  <c r="CS75" s="1"/>
  <c r="CT75" s="1"/>
  <c r="CQ75"/>
  <c r="DD36"/>
  <c r="DE36" s="1"/>
  <c r="DF36" s="1"/>
  <c r="DC36"/>
  <c r="E193" i="54"/>
  <c r="F192" s="1"/>
  <c r="J194" i="21"/>
  <c r="F221"/>
  <c r="D221"/>
  <c r="G221"/>
  <c r="C221"/>
  <c r="E221"/>
  <c r="B223"/>
  <c r="G84" i="22"/>
  <c r="BW6" i="10"/>
  <c r="BX6" s="1"/>
  <c r="BY6" s="1"/>
  <c r="BZ6" s="1"/>
  <c r="AZ108"/>
  <c r="DX15" i="21"/>
  <c r="DZ15" s="1"/>
  <c r="DX16"/>
  <c r="DZ16" s="1"/>
  <c r="DX17"/>
  <c r="DZ17" s="1"/>
  <c r="DX18"/>
  <c r="DZ18" s="1"/>
  <c r="DX19"/>
  <c r="DZ19" s="1"/>
  <c r="DX20"/>
  <c r="DZ20" s="1"/>
  <c r="DX21"/>
  <c r="DZ21" s="1"/>
  <c r="DX22"/>
  <c r="DZ22" s="1"/>
  <c r="DX23"/>
  <c r="DZ23" s="1"/>
  <c r="DX24"/>
  <c r="DZ24" s="1"/>
  <c r="DX25"/>
  <c r="DZ25" s="1"/>
  <c r="DX26"/>
  <c r="DZ26" s="1"/>
  <c r="DX27"/>
  <c r="DZ27" s="1"/>
  <c r="DX28"/>
  <c r="DZ28" s="1"/>
  <c r="DX29"/>
  <c r="DZ29" s="1"/>
  <c r="DX30"/>
  <c r="DZ30" s="1"/>
  <c r="DX31"/>
  <c r="DZ31" s="1"/>
  <c r="DX32"/>
  <c r="DZ32" s="1"/>
  <c r="DX33"/>
  <c r="DZ33" s="1"/>
  <c r="DX34"/>
  <c r="DZ34" s="1"/>
  <c r="DX35"/>
  <c r="DZ35" s="1"/>
  <c r="DX36"/>
  <c r="DZ36" s="1"/>
  <c r="DW11"/>
  <c r="DW13"/>
  <c r="DW14"/>
  <c r="DW16"/>
  <c r="DW18"/>
  <c r="DW19"/>
  <c r="DW20"/>
  <c r="DW21"/>
  <c r="DW22"/>
  <c r="DW23"/>
  <c r="DW24"/>
  <c r="DW25"/>
  <c r="DW26"/>
  <c r="DW27"/>
  <c r="DW28"/>
  <c r="DW29"/>
  <c r="DW30"/>
  <c r="DW31"/>
  <c r="DW32"/>
  <c r="DW33"/>
  <c r="DW34"/>
  <c r="DW36"/>
  <c r="DW15"/>
  <c r="HG134" i="10" l="1"/>
  <c r="HH134"/>
  <c r="HI134" s="1"/>
  <c r="HJ134" s="1"/>
  <c r="EN141"/>
  <c r="EO141" s="1"/>
  <c r="EP141" s="1"/>
  <c r="EM141"/>
  <c r="HT129"/>
  <c r="HU129" s="1"/>
  <c r="HV129" s="1"/>
  <c r="HS129"/>
  <c r="FS120"/>
  <c r="FT120"/>
  <c r="FU120" s="1"/>
  <c r="FV120" s="1"/>
  <c r="GJ114"/>
  <c r="GK114" s="1"/>
  <c r="GL114" s="1"/>
  <c r="GI114"/>
  <c r="GU130"/>
  <c r="GV130"/>
  <c r="GW130" s="1"/>
  <c r="GX130" s="1"/>
  <c r="GI125"/>
  <c r="GJ125"/>
  <c r="GK125" s="1"/>
  <c r="GL125" s="1"/>
  <c r="CM135"/>
  <c r="CN135"/>
  <c r="CO135" s="1"/>
  <c r="CP135" s="1"/>
  <c r="GJ138"/>
  <c r="GK138" s="1"/>
  <c r="GL138" s="1"/>
  <c r="GI138"/>
  <c r="GI116"/>
  <c r="GJ116"/>
  <c r="GK116" s="1"/>
  <c r="GL116" s="1"/>
  <c r="GJ106"/>
  <c r="GK106" s="1"/>
  <c r="GL106" s="1"/>
  <c r="GI106"/>
  <c r="I84" i="22"/>
  <c r="DH36" i="10"/>
  <c r="DI36" s="1"/>
  <c r="DJ36" s="1"/>
  <c r="DG36"/>
  <c r="EM4"/>
  <c r="EN4"/>
  <c r="EO4" s="1"/>
  <c r="EP4" s="1"/>
  <c r="CA6"/>
  <c r="CB6"/>
  <c r="CC6" s="1"/>
  <c r="CD6" s="1"/>
  <c r="EN67"/>
  <c r="EO67" s="1"/>
  <c r="EP67" s="1"/>
  <c r="EM67"/>
  <c r="GV3"/>
  <c r="GW3" s="1"/>
  <c r="GX3" s="1"/>
  <c r="GU3"/>
  <c r="EZ38"/>
  <c r="FA38" s="1"/>
  <c r="FB38" s="1"/>
  <c r="EY38"/>
  <c r="GI69"/>
  <c r="GJ69"/>
  <c r="GK69" s="1"/>
  <c r="GL69" s="1"/>
  <c r="CR27"/>
  <c r="CS27" s="1"/>
  <c r="CT27" s="1"/>
  <c r="CQ27"/>
  <c r="CV75"/>
  <c r="CW75" s="1"/>
  <c r="CX75" s="1"/>
  <c r="CU75"/>
  <c r="GI99"/>
  <c r="GJ99"/>
  <c r="GK99" s="1"/>
  <c r="GL99" s="1"/>
  <c r="FS11"/>
  <c r="FT11"/>
  <c r="FU11" s="1"/>
  <c r="FV11" s="1"/>
  <c r="CZ29"/>
  <c r="DA29" s="1"/>
  <c r="DB29" s="1"/>
  <c r="CY29"/>
  <c r="EY35"/>
  <c r="EZ35"/>
  <c r="FA35" s="1"/>
  <c r="FB35" s="1"/>
  <c r="CN39"/>
  <c r="CO39" s="1"/>
  <c r="CP39" s="1"/>
  <c r="CM39"/>
  <c r="DH62"/>
  <c r="DI62" s="1"/>
  <c r="DJ62" s="1"/>
  <c r="DG62"/>
  <c r="E194" i="54"/>
  <c r="F193" s="1"/>
  <c r="J195" i="21"/>
  <c r="E222"/>
  <c r="D222"/>
  <c r="G222"/>
  <c r="F222"/>
  <c r="C222"/>
  <c r="B224"/>
  <c r="DW10"/>
  <c r="DO10"/>
  <c r="DX12"/>
  <c r="DZ12" s="1"/>
  <c r="DW12"/>
  <c r="DX14"/>
  <c r="DZ14" s="1"/>
  <c r="DF33"/>
  <c r="DX10"/>
  <c r="DZ10" s="1"/>
  <c r="DX13"/>
  <c r="DZ13" s="1"/>
  <c r="DX11"/>
  <c r="DZ11" s="1"/>
  <c r="Q108" i="10"/>
  <c r="BW108" s="1"/>
  <c r="BX108" s="1"/>
  <c r="BY108" s="1"/>
  <c r="BZ108" s="1"/>
  <c r="CJ15" i="21"/>
  <c r="CJ16"/>
  <c r="CJ17"/>
  <c r="CJ18"/>
  <c r="CJ19"/>
  <c r="CJ20"/>
  <c r="CJ21"/>
  <c r="CJ22"/>
  <c r="CJ23"/>
  <c r="CJ24"/>
  <c r="CJ25"/>
  <c r="CJ26"/>
  <c r="CJ27"/>
  <c r="CJ28"/>
  <c r="CJ29"/>
  <c r="CJ30"/>
  <c r="CJ31"/>
  <c r="CJ32"/>
  <c r="CJ33"/>
  <c r="CJ34"/>
  <c r="CJ35"/>
  <c r="CJ36"/>
  <c r="CJ37"/>
  <c r="CJ38"/>
  <c r="CJ39"/>
  <c r="CJ40"/>
  <c r="CJ41"/>
  <c r="CJ42"/>
  <c r="CJ43"/>
  <c r="CI15"/>
  <c r="CI16"/>
  <c r="CI17"/>
  <c r="CI18"/>
  <c r="CI19"/>
  <c r="CI20"/>
  <c r="CI21"/>
  <c r="CI22"/>
  <c r="CI23"/>
  <c r="CI24"/>
  <c r="CI25"/>
  <c r="CI26"/>
  <c r="CI27"/>
  <c r="CI28"/>
  <c r="CI29"/>
  <c r="CI30"/>
  <c r="CI31"/>
  <c r="CI32"/>
  <c r="CI33"/>
  <c r="CI34"/>
  <c r="CI35"/>
  <c r="CI36"/>
  <c r="CI37"/>
  <c r="CI38"/>
  <c r="CI39"/>
  <c r="CI40"/>
  <c r="CI41"/>
  <c r="CI42"/>
  <c r="CI43"/>
  <c r="CJ14"/>
  <c r="CI14"/>
  <c r="DB12"/>
  <c r="DB13"/>
  <c r="DB14"/>
  <c r="DB15"/>
  <c r="DB16"/>
  <c r="DB17"/>
  <c r="DB18"/>
  <c r="DB19"/>
  <c r="DB20"/>
  <c r="DB21"/>
  <c r="DB22"/>
  <c r="DB23"/>
  <c r="DB24"/>
  <c r="DB25"/>
  <c r="DB26"/>
  <c r="DB27"/>
  <c r="DB28"/>
  <c r="DB29"/>
  <c r="DB30"/>
  <c r="DB31"/>
  <c r="DB32"/>
  <c r="DB33"/>
  <c r="DB34"/>
  <c r="DB35"/>
  <c r="DB36"/>
  <c r="DB37"/>
  <c r="DB38"/>
  <c r="DB39"/>
  <c r="DB40"/>
  <c r="DB41"/>
  <c r="DB42"/>
  <c r="DB43"/>
  <c r="DB44"/>
  <c r="DB45"/>
  <c r="DA12"/>
  <c r="DA13"/>
  <c r="DA14"/>
  <c r="DA15"/>
  <c r="DA16"/>
  <c r="DA17"/>
  <c r="DA18"/>
  <c r="DA19"/>
  <c r="DA20"/>
  <c r="DA21"/>
  <c r="DA22"/>
  <c r="DA23"/>
  <c r="DA24"/>
  <c r="DA25"/>
  <c r="DA26"/>
  <c r="DA27"/>
  <c r="DA28"/>
  <c r="DA29"/>
  <c r="DA30"/>
  <c r="DA31"/>
  <c r="DA32"/>
  <c r="DA33"/>
  <c r="DA34"/>
  <c r="DA35"/>
  <c r="DA36"/>
  <c r="DA37"/>
  <c r="DA38"/>
  <c r="DA39"/>
  <c r="DA40"/>
  <c r="DA41"/>
  <c r="DA42"/>
  <c r="DA43"/>
  <c r="DA44"/>
  <c r="DA45"/>
  <c r="DB11"/>
  <c r="DA11"/>
  <c r="DT11"/>
  <c r="DT12"/>
  <c r="DT13"/>
  <c r="DT14"/>
  <c r="DT15"/>
  <c r="DT16"/>
  <c r="DT17"/>
  <c r="DT18"/>
  <c r="DT19"/>
  <c r="DT20"/>
  <c r="DT21"/>
  <c r="DT22"/>
  <c r="DT23"/>
  <c r="DT24"/>
  <c r="DT25"/>
  <c r="DT26"/>
  <c r="DT27"/>
  <c r="DT28"/>
  <c r="DT29"/>
  <c r="DT30"/>
  <c r="DT31"/>
  <c r="DT32"/>
  <c r="DT33"/>
  <c r="DT34"/>
  <c r="DT35"/>
  <c r="DT36"/>
  <c r="DS11"/>
  <c r="DS12"/>
  <c r="DS13"/>
  <c r="DS14"/>
  <c r="DS15"/>
  <c r="DS16"/>
  <c r="DS17"/>
  <c r="DS18"/>
  <c r="DS19"/>
  <c r="DS20"/>
  <c r="DS21"/>
  <c r="DS22"/>
  <c r="DS23"/>
  <c r="DS24"/>
  <c r="DS25"/>
  <c r="DS26"/>
  <c r="DS27"/>
  <c r="DS28"/>
  <c r="DS29"/>
  <c r="DS30"/>
  <c r="DS31"/>
  <c r="DS32"/>
  <c r="DS33"/>
  <c r="DS34"/>
  <c r="DS35"/>
  <c r="DS36"/>
  <c r="DT10"/>
  <c r="DS10"/>
  <c r="Q74" i="10"/>
  <c r="BW74" s="1"/>
  <c r="BX74" s="1"/>
  <c r="BY74" s="1"/>
  <c r="BZ74" s="1"/>
  <c r="Q137"/>
  <c r="BW137" s="1"/>
  <c r="BX137" s="1"/>
  <c r="BY137" s="1"/>
  <c r="BZ137" s="1"/>
  <c r="Q2"/>
  <c r="Q68"/>
  <c r="BW68" s="1"/>
  <c r="BX68" s="1"/>
  <c r="BY68" s="1"/>
  <c r="BZ68" s="1"/>
  <c r="AB214"/>
  <c r="AY429"/>
  <c r="DE49" i="21" l="1"/>
  <c r="DE46"/>
  <c r="DE47"/>
  <c r="DE56"/>
  <c r="DE48"/>
  <c r="DE51"/>
  <c r="DE45"/>
  <c r="DE53"/>
  <c r="DE55"/>
  <c r="DE50"/>
  <c r="DE54"/>
  <c r="DE52"/>
  <c r="ER141" i="10"/>
  <c r="ES141" s="1"/>
  <c r="ET141" s="1"/>
  <c r="EQ141"/>
  <c r="CR135"/>
  <c r="CS135" s="1"/>
  <c r="CT135" s="1"/>
  <c r="CQ135"/>
  <c r="GM114"/>
  <c r="GN114"/>
  <c r="GO114" s="1"/>
  <c r="GP114" s="1"/>
  <c r="HX129"/>
  <c r="HY129" s="1"/>
  <c r="HZ129" s="1"/>
  <c r="HW129"/>
  <c r="CB108"/>
  <c r="CC108" s="1"/>
  <c r="CD108" s="1"/>
  <c r="CA108"/>
  <c r="GY130"/>
  <c r="GZ130"/>
  <c r="HA130" s="1"/>
  <c r="HB130" s="1"/>
  <c r="FX120"/>
  <c r="FY120" s="1"/>
  <c r="FZ120" s="1"/>
  <c r="FW120"/>
  <c r="GN116"/>
  <c r="GO116" s="1"/>
  <c r="GP116" s="1"/>
  <c r="GM116"/>
  <c r="GN106"/>
  <c r="GO106" s="1"/>
  <c r="GP106" s="1"/>
  <c r="GM106"/>
  <c r="CA137"/>
  <c r="CB137"/>
  <c r="CC137" s="1"/>
  <c r="CD137" s="1"/>
  <c r="GM138"/>
  <c r="GN138"/>
  <c r="GO138" s="1"/>
  <c r="GP138" s="1"/>
  <c r="GM125"/>
  <c r="GN125"/>
  <c r="GO125" s="1"/>
  <c r="GP125" s="1"/>
  <c r="HL134"/>
  <c r="HM134" s="1"/>
  <c r="HN134" s="1"/>
  <c r="HK134"/>
  <c r="DL36"/>
  <c r="DM36" s="1"/>
  <c r="DN36" s="1"/>
  <c r="DK36"/>
  <c r="FD35"/>
  <c r="FE35" s="1"/>
  <c r="FF35" s="1"/>
  <c r="FC35"/>
  <c r="FW11"/>
  <c r="FX11"/>
  <c r="FY11" s="1"/>
  <c r="FZ11" s="1"/>
  <c r="GN99"/>
  <c r="GO99" s="1"/>
  <c r="GP99" s="1"/>
  <c r="GM99"/>
  <c r="CU27"/>
  <c r="CV27"/>
  <c r="CW27" s="1"/>
  <c r="CX27" s="1"/>
  <c r="GZ3"/>
  <c r="HA3" s="1"/>
  <c r="HB3" s="1"/>
  <c r="GY3"/>
  <c r="CB68"/>
  <c r="CC68" s="1"/>
  <c r="CD68" s="1"/>
  <c r="CA68"/>
  <c r="CB74"/>
  <c r="CC74" s="1"/>
  <c r="CD74" s="1"/>
  <c r="CA74"/>
  <c r="DK62"/>
  <c r="DL62"/>
  <c r="DM62" s="1"/>
  <c r="DN62" s="1"/>
  <c r="GM69"/>
  <c r="GN69"/>
  <c r="GO69" s="1"/>
  <c r="GP69" s="1"/>
  <c r="CF6"/>
  <c r="CG6" s="1"/>
  <c r="CH6" s="1"/>
  <c r="CE6"/>
  <c r="FC38"/>
  <c r="FD38"/>
  <c r="FE38" s="1"/>
  <c r="FF38" s="1"/>
  <c r="EQ67"/>
  <c r="ER67"/>
  <c r="ES67" s="1"/>
  <c r="ET67" s="1"/>
  <c r="CR39"/>
  <c r="CS39" s="1"/>
  <c r="CT39" s="1"/>
  <c r="CQ39"/>
  <c r="DD29"/>
  <c r="DE29" s="1"/>
  <c r="DF29" s="1"/>
  <c r="DC29"/>
  <c r="CY75"/>
  <c r="CZ75"/>
  <c r="DA75" s="1"/>
  <c r="DB75" s="1"/>
  <c r="ER4"/>
  <c r="ES4" s="1"/>
  <c r="ET4" s="1"/>
  <c r="EQ4"/>
  <c r="E195" i="54"/>
  <c r="F194" s="1"/>
  <c r="J196" i="21"/>
  <c r="B225"/>
  <c r="C224" s="1"/>
  <c r="D223"/>
  <c r="F223"/>
  <c r="G223"/>
  <c r="C223"/>
  <c r="E223"/>
  <c r="BV17"/>
  <c r="BV23"/>
  <c r="BU25"/>
  <c r="BU20"/>
  <c r="BU16"/>
  <c r="BU23"/>
  <c r="BU21"/>
  <c r="BU22"/>
  <c r="BU19"/>
  <c r="BU24"/>
  <c r="BU17"/>
  <c r="BU26"/>
  <c r="BU18"/>
  <c r="BU15"/>
  <c r="D181" i="10"/>
  <c r="DH10" i="21"/>
  <c r="DJ10" s="1"/>
  <c r="DR10"/>
  <c r="DE57" l="1"/>
  <c r="DF52" s="1"/>
  <c r="GQ114" i="10"/>
  <c r="GR114"/>
  <c r="GS114" s="1"/>
  <c r="GT114" s="1"/>
  <c r="GR106"/>
  <c r="GS106" s="1"/>
  <c r="GT106" s="1"/>
  <c r="GQ106"/>
  <c r="HD130"/>
  <c r="HE130" s="1"/>
  <c r="HF130" s="1"/>
  <c r="HC130"/>
  <c r="GQ125"/>
  <c r="GR125"/>
  <c r="GS125" s="1"/>
  <c r="GT125" s="1"/>
  <c r="CE137"/>
  <c r="CF137"/>
  <c r="CG137" s="1"/>
  <c r="CH137" s="1"/>
  <c r="GA120"/>
  <c r="GB120"/>
  <c r="GC120" s="1"/>
  <c r="GD120" s="1"/>
  <c r="CU135"/>
  <c r="CV135"/>
  <c r="CW135" s="1"/>
  <c r="CX135" s="1"/>
  <c r="CE108"/>
  <c r="CF108"/>
  <c r="CG108" s="1"/>
  <c r="CH108" s="1"/>
  <c r="GQ138"/>
  <c r="GR138"/>
  <c r="GS138" s="1"/>
  <c r="GT138" s="1"/>
  <c r="GQ116"/>
  <c r="GR116"/>
  <c r="GS116" s="1"/>
  <c r="GT116" s="1"/>
  <c r="HO134"/>
  <c r="HP134"/>
  <c r="HQ134" s="1"/>
  <c r="HR134" s="1"/>
  <c r="IA129"/>
  <c r="IB129"/>
  <c r="EU141"/>
  <c r="EV141"/>
  <c r="EW141" s="1"/>
  <c r="EX141" s="1"/>
  <c r="FH35"/>
  <c r="FI35" s="1"/>
  <c r="FJ35" s="1"/>
  <c r="FG35"/>
  <c r="FH38"/>
  <c r="FI38" s="1"/>
  <c r="FJ38" s="1"/>
  <c r="FG38"/>
  <c r="GR69"/>
  <c r="GS69" s="1"/>
  <c r="GT69" s="1"/>
  <c r="GQ69"/>
  <c r="GR99"/>
  <c r="GS99" s="1"/>
  <c r="GT99" s="1"/>
  <c r="GQ99"/>
  <c r="CV39"/>
  <c r="CW39" s="1"/>
  <c r="CX39" s="1"/>
  <c r="CU39"/>
  <c r="CE68"/>
  <c r="CF68"/>
  <c r="CG68" s="1"/>
  <c r="CH68" s="1"/>
  <c r="DP36"/>
  <c r="DQ36" s="1"/>
  <c r="DR36" s="1"/>
  <c r="DO36"/>
  <c r="EV4"/>
  <c r="EW4" s="1"/>
  <c r="EX4" s="1"/>
  <c r="EU4"/>
  <c r="DC75"/>
  <c r="DD75"/>
  <c r="DE75" s="1"/>
  <c r="DF75" s="1"/>
  <c r="DH29"/>
  <c r="DI29" s="1"/>
  <c r="DJ29" s="1"/>
  <c r="DG29"/>
  <c r="CI6"/>
  <c r="CJ6"/>
  <c r="CK6" s="1"/>
  <c r="CL6" s="1"/>
  <c r="CE74"/>
  <c r="CF74"/>
  <c r="CG74" s="1"/>
  <c r="CH74" s="1"/>
  <c r="HD3"/>
  <c r="HE3" s="1"/>
  <c r="HF3" s="1"/>
  <c r="HC3"/>
  <c r="GB11"/>
  <c r="GC11" s="1"/>
  <c r="GD11" s="1"/>
  <c r="GA11"/>
  <c r="EV67"/>
  <c r="EW67" s="1"/>
  <c r="EX67" s="1"/>
  <c r="EU67"/>
  <c r="DP62"/>
  <c r="DQ62" s="1"/>
  <c r="DR62" s="1"/>
  <c r="DO62"/>
  <c r="CY27"/>
  <c r="CZ27"/>
  <c r="DA27" s="1"/>
  <c r="DB27" s="1"/>
  <c r="D224" i="21"/>
  <c r="E196" i="54"/>
  <c r="F195" s="1"/>
  <c r="F224" i="21"/>
  <c r="B226"/>
  <c r="D225" s="1"/>
  <c r="G224"/>
  <c r="E224"/>
  <c r="J197"/>
  <c r="BU27"/>
  <c r="DP10"/>
  <c r="DQ10" s="1"/>
  <c r="DN10"/>
  <c r="Q9" i="10"/>
  <c r="BW9" s="1"/>
  <c r="BX9" s="1"/>
  <c r="BY9" s="1"/>
  <c r="BZ9" s="1"/>
  <c r="BW46"/>
  <c r="BX46" s="1"/>
  <c r="BY46" s="1"/>
  <c r="BZ46" s="1"/>
  <c r="DF55" i="21" l="1"/>
  <c r="DF45"/>
  <c r="DF46"/>
  <c r="DF51"/>
  <c r="DF56"/>
  <c r="DF49"/>
  <c r="DF47"/>
  <c r="DF53"/>
  <c r="DF48"/>
  <c r="DF50"/>
  <c r="DF54"/>
  <c r="CY135" i="10"/>
  <c r="CZ135"/>
  <c r="DA135" s="1"/>
  <c r="DB135" s="1"/>
  <c r="GU114"/>
  <c r="GV114"/>
  <c r="GW114" s="1"/>
  <c r="GX114" s="1"/>
  <c r="GF120"/>
  <c r="GG120" s="1"/>
  <c r="GH120" s="1"/>
  <c r="GE120"/>
  <c r="GU125"/>
  <c r="GV125"/>
  <c r="GW125" s="1"/>
  <c r="GX125" s="1"/>
  <c r="HT134"/>
  <c r="HU134" s="1"/>
  <c r="HV134" s="1"/>
  <c r="HS134"/>
  <c r="HH130"/>
  <c r="HI130" s="1"/>
  <c r="HJ130" s="1"/>
  <c r="HG130"/>
  <c r="GV138"/>
  <c r="GW138" s="1"/>
  <c r="GX138" s="1"/>
  <c r="GU138"/>
  <c r="EY141"/>
  <c r="EZ141"/>
  <c r="FA141" s="1"/>
  <c r="FB141" s="1"/>
  <c r="GV116"/>
  <c r="GW116" s="1"/>
  <c r="GX116" s="1"/>
  <c r="GU116"/>
  <c r="GV106"/>
  <c r="GW106" s="1"/>
  <c r="GX106" s="1"/>
  <c r="GU106"/>
  <c r="CJ108"/>
  <c r="CK108" s="1"/>
  <c r="CL108" s="1"/>
  <c r="CI108"/>
  <c r="CI137"/>
  <c r="CJ137"/>
  <c r="CK137" s="1"/>
  <c r="CL137" s="1"/>
  <c r="CB46"/>
  <c r="CC46" s="1"/>
  <c r="CD46" s="1"/>
  <c r="CA46"/>
  <c r="DS62"/>
  <c r="DT62"/>
  <c r="DU62" s="1"/>
  <c r="DV62" s="1"/>
  <c r="EZ67"/>
  <c r="FA67" s="1"/>
  <c r="FB67" s="1"/>
  <c r="EY67"/>
  <c r="CI74"/>
  <c r="CJ74"/>
  <c r="CK74" s="1"/>
  <c r="CL74" s="1"/>
  <c r="GV99"/>
  <c r="GW99" s="1"/>
  <c r="GX99" s="1"/>
  <c r="GU99"/>
  <c r="GU69"/>
  <c r="GV69"/>
  <c r="GW69" s="1"/>
  <c r="GX69" s="1"/>
  <c r="CB9"/>
  <c r="CC9" s="1"/>
  <c r="CD9" s="1"/>
  <c r="CA9"/>
  <c r="DL29"/>
  <c r="DM29" s="1"/>
  <c r="DN29" s="1"/>
  <c r="DK29"/>
  <c r="EZ4"/>
  <c r="FA4" s="1"/>
  <c r="FB4" s="1"/>
  <c r="EY4"/>
  <c r="FL38"/>
  <c r="FM38" s="1"/>
  <c r="FN38" s="1"/>
  <c r="FK38"/>
  <c r="FL35"/>
  <c r="FM35" s="1"/>
  <c r="FN35" s="1"/>
  <c r="FK35"/>
  <c r="DD27"/>
  <c r="DE27" s="1"/>
  <c r="DF27" s="1"/>
  <c r="DC27"/>
  <c r="GF11"/>
  <c r="GG11" s="1"/>
  <c r="GH11" s="1"/>
  <c r="GE11"/>
  <c r="CN6"/>
  <c r="CO6" s="1"/>
  <c r="CP6" s="1"/>
  <c r="CM6"/>
  <c r="DH75"/>
  <c r="DI75" s="1"/>
  <c r="DJ75" s="1"/>
  <c r="DG75"/>
  <c r="DT36"/>
  <c r="DU36" s="1"/>
  <c r="DV36" s="1"/>
  <c r="DS36"/>
  <c r="HG3"/>
  <c r="HH3"/>
  <c r="HI3" s="1"/>
  <c r="HJ3" s="1"/>
  <c r="CI68"/>
  <c r="CJ68"/>
  <c r="CK68" s="1"/>
  <c r="CL68" s="1"/>
  <c r="CZ39"/>
  <c r="DA39" s="1"/>
  <c r="DB39" s="1"/>
  <c r="CY39"/>
  <c r="E197" i="54"/>
  <c r="F196" s="1"/>
  <c r="G225" i="21"/>
  <c r="C225"/>
  <c r="F225"/>
  <c r="B227"/>
  <c r="F226" s="1"/>
  <c r="E225"/>
  <c r="J198"/>
  <c r="Q111" i="10"/>
  <c r="BW111" s="1"/>
  <c r="BX111" s="1"/>
  <c r="BY111" s="1"/>
  <c r="BZ111" s="1"/>
  <c r="CP11" i="21"/>
  <c r="CR11" s="1"/>
  <c r="CW11"/>
  <c r="BX14"/>
  <c r="CE14"/>
  <c r="CH14" s="1"/>
  <c r="FD141" i="10" l="1"/>
  <c r="FE141" s="1"/>
  <c r="FF141" s="1"/>
  <c r="FC141"/>
  <c r="CN108"/>
  <c r="CO108" s="1"/>
  <c r="CP108" s="1"/>
  <c r="CM108"/>
  <c r="GY138"/>
  <c r="GZ138"/>
  <c r="HA138" s="1"/>
  <c r="HB138" s="1"/>
  <c r="CN137"/>
  <c r="CO137" s="1"/>
  <c r="CP137" s="1"/>
  <c r="CM137"/>
  <c r="GZ125"/>
  <c r="HA125" s="1"/>
  <c r="HB125" s="1"/>
  <c r="GY125"/>
  <c r="GY106"/>
  <c r="GZ106"/>
  <c r="HA106" s="1"/>
  <c r="HB106" s="1"/>
  <c r="HW134"/>
  <c r="HX134"/>
  <c r="HY134" s="1"/>
  <c r="HZ134" s="1"/>
  <c r="GZ116"/>
  <c r="HA116" s="1"/>
  <c r="HB116" s="1"/>
  <c r="GY116"/>
  <c r="HL130"/>
  <c r="HM130" s="1"/>
  <c r="HN130" s="1"/>
  <c r="HK130"/>
  <c r="GI120"/>
  <c r="GJ120"/>
  <c r="GK120" s="1"/>
  <c r="GL120" s="1"/>
  <c r="DD135"/>
  <c r="DE135" s="1"/>
  <c r="DF135" s="1"/>
  <c r="DC135"/>
  <c r="CB111"/>
  <c r="CC111" s="1"/>
  <c r="CD111" s="1"/>
  <c r="CA111"/>
  <c r="GZ114"/>
  <c r="HA114" s="1"/>
  <c r="HB114" s="1"/>
  <c r="GY114"/>
  <c r="CE9"/>
  <c r="CF9"/>
  <c r="CG9" s="1"/>
  <c r="CH9" s="1"/>
  <c r="DD39"/>
  <c r="DE39" s="1"/>
  <c r="DF39" s="1"/>
  <c r="DC39"/>
  <c r="DW36"/>
  <c r="DX36"/>
  <c r="DY36" s="1"/>
  <c r="DZ36" s="1"/>
  <c r="CQ6"/>
  <c r="CR6"/>
  <c r="CS6" s="1"/>
  <c r="CT6" s="1"/>
  <c r="DH27"/>
  <c r="DI27" s="1"/>
  <c r="DJ27" s="1"/>
  <c r="DG27"/>
  <c r="FP38"/>
  <c r="FQ38" s="1"/>
  <c r="FR38" s="1"/>
  <c r="FO38"/>
  <c r="FC4"/>
  <c r="FD4"/>
  <c r="FE4" s="1"/>
  <c r="FF4" s="1"/>
  <c r="CN74"/>
  <c r="CO74" s="1"/>
  <c r="CP74" s="1"/>
  <c r="CM74"/>
  <c r="DW62"/>
  <c r="DX62"/>
  <c r="DY62" s="1"/>
  <c r="DZ62" s="1"/>
  <c r="CM68"/>
  <c r="CN68"/>
  <c r="CO68" s="1"/>
  <c r="CP68" s="1"/>
  <c r="DK75"/>
  <c r="DL75"/>
  <c r="DM75" s="1"/>
  <c r="DN75" s="1"/>
  <c r="GI11"/>
  <c r="GJ11"/>
  <c r="GK11" s="1"/>
  <c r="GL11" s="1"/>
  <c r="FO35"/>
  <c r="FP35"/>
  <c r="FQ35" s="1"/>
  <c r="FR35" s="1"/>
  <c r="DP29"/>
  <c r="DQ29" s="1"/>
  <c r="DR29" s="1"/>
  <c r="DO29"/>
  <c r="GY99"/>
  <c r="GZ99"/>
  <c r="HA99" s="1"/>
  <c r="HB99" s="1"/>
  <c r="HK3"/>
  <c r="HL3"/>
  <c r="HM3" s="1"/>
  <c r="HN3" s="1"/>
  <c r="GY69"/>
  <c r="GZ69"/>
  <c r="HA69" s="1"/>
  <c r="HB69" s="1"/>
  <c r="FD67"/>
  <c r="FE67" s="1"/>
  <c r="FF67" s="1"/>
  <c r="FC67"/>
  <c r="CF46"/>
  <c r="CG46" s="1"/>
  <c r="CH46" s="1"/>
  <c r="CE46"/>
  <c r="E198" i="54"/>
  <c r="F197" s="1"/>
  <c r="G226" i="21"/>
  <c r="E226"/>
  <c r="D226"/>
  <c r="B228"/>
  <c r="G227" s="1"/>
  <c r="C226"/>
  <c r="J199"/>
  <c r="BZ14"/>
  <c r="CF14"/>
  <c r="CG14" s="1"/>
  <c r="CX11"/>
  <c r="CY11" s="1"/>
  <c r="CZ11"/>
  <c r="CV11"/>
  <c r="CD14"/>
  <c r="HC138" i="10" l="1"/>
  <c r="HD138"/>
  <c r="HE138" s="1"/>
  <c r="HF138" s="1"/>
  <c r="FG141"/>
  <c r="FH141"/>
  <c r="FI141" s="1"/>
  <c r="FJ141" s="1"/>
  <c r="HC116"/>
  <c r="HD116"/>
  <c r="HE116" s="1"/>
  <c r="HF116" s="1"/>
  <c r="GM120"/>
  <c r="GN120"/>
  <c r="GO120" s="1"/>
  <c r="GP120" s="1"/>
  <c r="HC106"/>
  <c r="HD106"/>
  <c r="HE106" s="1"/>
  <c r="HF106" s="1"/>
  <c r="CR108"/>
  <c r="CS108" s="1"/>
  <c r="CT108" s="1"/>
  <c r="CQ108"/>
  <c r="HD114"/>
  <c r="HE114" s="1"/>
  <c r="HF114" s="1"/>
  <c r="HC114"/>
  <c r="DG135"/>
  <c r="DH135"/>
  <c r="DI135" s="1"/>
  <c r="DJ135" s="1"/>
  <c r="IA134"/>
  <c r="IB134"/>
  <c r="CF111"/>
  <c r="CG111" s="1"/>
  <c r="CH111" s="1"/>
  <c r="CE111"/>
  <c r="HD125"/>
  <c r="HE125" s="1"/>
  <c r="HF125" s="1"/>
  <c r="HC125"/>
  <c r="HO130"/>
  <c r="HP130"/>
  <c r="HQ130" s="1"/>
  <c r="HR130" s="1"/>
  <c r="CR137"/>
  <c r="CS137" s="1"/>
  <c r="CT137" s="1"/>
  <c r="CQ137"/>
  <c r="HD69"/>
  <c r="HE69" s="1"/>
  <c r="HF69" s="1"/>
  <c r="HC69"/>
  <c r="HC99"/>
  <c r="HD99"/>
  <c r="HE99" s="1"/>
  <c r="HF99" s="1"/>
  <c r="GN11"/>
  <c r="GO11" s="1"/>
  <c r="GP11" s="1"/>
  <c r="GM11"/>
  <c r="DK27"/>
  <c r="DL27"/>
  <c r="DM27" s="1"/>
  <c r="DN27" s="1"/>
  <c r="CJ46"/>
  <c r="CK46" s="1"/>
  <c r="CL46" s="1"/>
  <c r="CI46"/>
  <c r="DS29"/>
  <c r="DT29"/>
  <c r="DU29" s="1"/>
  <c r="DV29" s="1"/>
  <c r="CR74"/>
  <c r="CS74" s="1"/>
  <c r="CT74" s="1"/>
  <c r="CQ74"/>
  <c r="CU6"/>
  <c r="CV6"/>
  <c r="CW6" s="1"/>
  <c r="CX6" s="1"/>
  <c r="EB36"/>
  <c r="EC36" s="1"/>
  <c r="ED36" s="1"/>
  <c r="EA36"/>
  <c r="CQ68"/>
  <c r="CR68"/>
  <c r="CS68" s="1"/>
  <c r="CT68" s="1"/>
  <c r="FT35"/>
  <c r="FU35" s="1"/>
  <c r="FV35" s="1"/>
  <c r="FS35"/>
  <c r="DP75"/>
  <c r="DQ75" s="1"/>
  <c r="DR75" s="1"/>
  <c r="DO75"/>
  <c r="EA62"/>
  <c r="EB62"/>
  <c r="EC62" s="1"/>
  <c r="ED62" s="1"/>
  <c r="FT38"/>
  <c r="FU38" s="1"/>
  <c r="FV38" s="1"/>
  <c r="FS38"/>
  <c r="CJ9"/>
  <c r="CK9" s="1"/>
  <c r="CL9" s="1"/>
  <c r="CI9"/>
  <c r="FH67"/>
  <c r="FI67" s="1"/>
  <c r="FJ67" s="1"/>
  <c r="FG67"/>
  <c r="HP3"/>
  <c r="HQ3" s="1"/>
  <c r="HR3" s="1"/>
  <c r="HO3"/>
  <c r="FH4"/>
  <c r="FI4" s="1"/>
  <c r="FJ4" s="1"/>
  <c r="FG4"/>
  <c r="DG39"/>
  <c r="DH39"/>
  <c r="DI39" s="1"/>
  <c r="DJ39" s="1"/>
  <c r="E199" i="54"/>
  <c r="F198" s="1"/>
  <c r="B229" i="21"/>
  <c r="D228" s="1"/>
  <c r="E227"/>
  <c r="F227"/>
  <c r="C227"/>
  <c r="D227"/>
  <c r="J200"/>
  <c r="J22" i="54"/>
  <c r="Q100" i="10"/>
  <c r="BW100" s="1"/>
  <c r="BX100" s="1"/>
  <c r="BY100" s="1"/>
  <c r="BZ100" s="1"/>
  <c r="E188"/>
  <c r="E187"/>
  <c r="Q146"/>
  <c r="BW146" s="1"/>
  <c r="BX146" s="1"/>
  <c r="BY146" s="1"/>
  <c r="BZ146" s="1"/>
  <c r="HG114" l="1"/>
  <c r="HH114"/>
  <c r="HI114" s="1"/>
  <c r="HJ114" s="1"/>
  <c r="DL135"/>
  <c r="DM135" s="1"/>
  <c r="DN135" s="1"/>
  <c r="DK135"/>
  <c r="HH106"/>
  <c r="HI106" s="1"/>
  <c r="HJ106" s="1"/>
  <c r="HG106"/>
  <c r="HH116"/>
  <c r="HI116" s="1"/>
  <c r="HJ116" s="1"/>
  <c r="HG116"/>
  <c r="FK141"/>
  <c r="FL141"/>
  <c r="FM141" s="1"/>
  <c r="FN141" s="1"/>
  <c r="CA146"/>
  <c r="CB146"/>
  <c r="CC146" s="1"/>
  <c r="CD146" s="1"/>
  <c r="CU137"/>
  <c r="CV137"/>
  <c r="CW137" s="1"/>
  <c r="CX137" s="1"/>
  <c r="HG125"/>
  <c r="HH125"/>
  <c r="HI125" s="1"/>
  <c r="HJ125" s="1"/>
  <c r="CV108"/>
  <c r="CW108" s="1"/>
  <c r="CX108" s="1"/>
  <c r="CU108"/>
  <c r="GR120"/>
  <c r="GS120" s="1"/>
  <c r="GT120" s="1"/>
  <c r="GQ120"/>
  <c r="HH138"/>
  <c r="HI138" s="1"/>
  <c r="HJ138" s="1"/>
  <c r="HG138"/>
  <c r="HT130"/>
  <c r="HU130" s="1"/>
  <c r="HV130" s="1"/>
  <c r="HS130"/>
  <c r="CJ111"/>
  <c r="CK111" s="1"/>
  <c r="CL111" s="1"/>
  <c r="CI111"/>
  <c r="DO27"/>
  <c r="DP27"/>
  <c r="DQ27" s="1"/>
  <c r="DR27" s="1"/>
  <c r="FK67"/>
  <c r="FL67"/>
  <c r="FM67" s="1"/>
  <c r="FN67" s="1"/>
  <c r="EE62"/>
  <c r="EF62"/>
  <c r="EG62" s="1"/>
  <c r="EH62" s="1"/>
  <c r="CU68"/>
  <c r="CV68"/>
  <c r="CW68" s="1"/>
  <c r="CX68" s="1"/>
  <c r="EE36"/>
  <c r="EF36"/>
  <c r="EG36" s="1"/>
  <c r="EH36" s="1"/>
  <c r="CU74"/>
  <c r="CV74"/>
  <c r="CW74" s="1"/>
  <c r="CX74" s="1"/>
  <c r="FK4"/>
  <c r="FL4"/>
  <c r="FM4" s="1"/>
  <c r="FN4" s="1"/>
  <c r="HT3"/>
  <c r="HU3" s="1"/>
  <c r="HV3" s="1"/>
  <c r="HS3"/>
  <c r="CN9"/>
  <c r="CO9" s="1"/>
  <c r="CP9" s="1"/>
  <c r="CM9"/>
  <c r="FX35"/>
  <c r="FY35" s="1"/>
  <c r="FZ35" s="1"/>
  <c r="FW35"/>
  <c r="CM46"/>
  <c r="CN46"/>
  <c r="CO46" s="1"/>
  <c r="CP46" s="1"/>
  <c r="CB100"/>
  <c r="CC100" s="1"/>
  <c r="CD100" s="1"/>
  <c r="CA100"/>
  <c r="FW38"/>
  <c r="FX38"/>
  <c r="FY38" s="1"/>
  <c r="FZ38" s="1"/>
  <c r="DS75"/>
  <c r="DT75"/>
  <c r="DU75" s="1"/>
  <c r="DV75" s="1"/>
  <c r="HH99"/>
  <c r="HI99" s="1"/>
  <c r="HJ99" s="1"/>
  <c r="HG99"/>
  <c r="DL39"/>
  <c r="DM39" s="1"/>
  <c r="DN39" s="1"/>
  <c r="DK39"/>
  <c r="CY6"/>
  <c r="CZ6"/>
  <c r="DA6" s="1"/>
  <c r="DB6" s="1"/>
  <c r="DW29"/>
  <c r="DX29"/>
  <c r="DY29" s="1"/>
  <c r="DZ29" s="1"/>
  <c r="GQ11"/>
  <c r="GR11"/>
  <c r="GS11" s="1"/>
  <c r="GT11" s="1"/>
  <c r="HG69"/>
  <c r="HH69"/>
  <c r="HI69" s="1"/>
  <c r="HJ69" s="1"/>
  <c r="E200" i="54"/>
  <c r="F199" s="1"/>
  <c r="C228" i="21"/>
  <c r="F228"/>
  <c r="G228"/>
  <c r="B230"/>
  <c r="C229" s="1"/>
  <c r="E228"/>
  <c r="J201"/>
  <c r="K18" i="54"/>
  <c r="F187" i="10"/>
  <c r="BI84"/>
  <c r="BI82"/>
  <c r="BI80"/>
  <c r="BI79"/>
  <c r="BH79" s="1"/>
  <c r="BI78"/>
  <c r="Q88"/>
  <c r="BW88" s="1"/>
  <c r="BX88" s="1"/>
  <c r="BY88" s="1"/>
  <c r="BZ88" s="1"/>
  <c r="CM111" l="1"/>
  <c r="CN111"/>
  <c r="CO111" s="1"/>
  <c r="CP111" s="1"/>
  <c r="HW130"/>
  <c r="HX130"/>
  <c r="HY130" s="1"/>
  <c r="HZ130" s="1"/>
  <c r="HK138"/>
  <c r="HL138"/>
  <c r="HM138" s="1"/>
  <c r="HN138" s="1"/>
  <c r="HL125"/>
  <c r="HM125" s="1"/>
  <c r="HN125" s="1"/>
  <c r="HK125"/>
  <c r="CF146"/>
  <c r="CG146" s="1"/>
  <c r="CH146" s="1"/>
  <c r="CE146"/>
  <c r="HL106"/>
  <c r="HM106" s="1"/>
  <c r="HN106" s="1"/>
  <c r="HK106"/>
  <c r="HK116"/>
  <c r="HL116"/>
  <c r="HM116" s="1"/>
  <c r="HN116" s="1"/>
  <c r="GU120"/>
  <c r="GV120"/>
  <c r="GW120" s="1"/>
  <c r="GX120" s="1"/>
  <c r="CZ108"/>
  <c r="DA108" s="1"/>
  <c r="DB108" s="1"/>
  <c r="CY108"/>
  <c r="CY137"/>
  <c r="CZ137"/>
  <c r="DA137" s="1"/>
  <c r="DB137" s="1"/>
  <c r="FO141"/>
  <c r="FP141"/>
  <c r="FQ141" s="1"/>
  <c r="FR141" s="1"/>
  <c r="DO135"/>
  <c r="DP135"/>
  <c r="DQ135" s="1"/>
  <c r="DR135" s="1"/>
  <c r="HL114"/>
  <c r="HM114" s="1"/>
  <c r="HN114" s="1"/>
  <c r="HK114"/>
  <c r="CB88"/>
  <c r="CC88" s="1"/>
  <c r="CD88" s="1"/>
  <c r="CA88"/>
  <c r="GU11"/>
  <c r="GV11"/>
  <c r="GW11" s="1"/>
  <c r="GX11" s="1"/>
  <c r="DW75"/>
  <c r="DX75"/>
  <c r="DY75" s="1"/>
  <c r="DZ75" s="1"/>
  <c r="CF100"/>
  <c r="CG100" s="1"/>
  <c r="CH100" s="1"/>
  <c r="CE100"/>
  <c r="HW3"/>
  <c r="HX3"/>
  <c r="HY3" s="1"/>
  <c r="HZ3" s="1"/>
  <c r="EI62"/>
  <c r="EJ62"/>
  <c r="EK62" s="1"/>
  <c r="EL62" s="1"/>
  <c r="HK99"/>
  <c r="HL99"/>
  <c r="HM99" s="1"/>
  <c r="HN99" s="1"/>
  <c r="CR46"/>
  <c r="CS46" s="1"/>
  <c r="CT46" s="1"/>
  <c r="CQ46"/>
  <c r="FO67"/>
  <c r="FP67"/>
  <c r="FQ67" s="1"/>
  <c r="FR67" s="1"/>
  <c r="DT27"/>
  <c r="DU27" s="1"/>
  <c r="DV27" s="1"/>
  <c r="DS27"/>
  <c r="DC6"/>
  <c r="DD6"/>
  <c r="DE6" s="1"/>
  <c r="DF6" s="1"/>
  <c r="GB38"/>
  <c r="GC38" s="1"/>
  <c r="GD38" s="1"/>
  <c r="GA38"/>
  <c r="GB35"/>
  <c r="GC35" s="1"/>
  <c r="GD35" s="1"/>
  <c r="GA35"/>
  <c r="HK69"/>
  <c r="HL69"/>
  <c r="HM69" s="1"/>
  <c r="HN69" s="1"/>
  <c r="EA29"/>
  <c r="EB29"/>
  <c r="EC29" s="1"/>
  <c r="ED29" s="1"/>
  <c r="CR9"/>
  <c r="CS9" s="1"/>
  <c r="CT9" s="1"/>
  <c r="CQ9"/>
  <c r="DO39"/>
  <c r="DP39"/>
  <c r="DQ39" s="1"/>
  <c r="DR39" s="1"/>
  <c r="FP4"/>
  <c r="FQ4" s="1"/>
  <c r="FR4" s="1"/>
  <c r="FO4"/>
  <c r="CY74"/>
  <c r="CZ74"/>
  <c r="DA74" s="1"/>
  <c r="DB74" s="1"/>
  <c r="EI36"/>
  <c r="EJ36"/>
  <c r="EK36" s="1"/>
  <c r="EL36" s="1"/>
  <c r="CY68"/>
  <c r="CZ68"/>
  <c r="DA68" s="1"/>
  <c r="DB68" s="1"/>
  <c r="E201" i="54"/>
  <c r="F200" s="1"/>
  <c r="G229" i="21"/>
  <c r="B231"/>
  <c r="D230" s="1"/>
  <c r="F229"/>
  <c r="D229"/>
  <c r="E229"/>
  <c r="J202"/>
  <c r="G187" i="10"/>
  <c r="M26" i="27"/>
  <c r="M31"/>
  <c r="DH11" i="21"/>
  <c r="DJ11" s="1"/>
  <c r="DR11"/>
  <c r="CE15"/>
  <c r="CH15" s="1"/>
  <c r="DD108" i="10" l="1"/>
  <c r="DE108" s="1"/>
  <c r="DF108" s="1"/>
  <c r="DC108"/>
  <c r="DS135"/>
  <c r="DT135"/>
  <c r="DU135" s="1"/>
  <c r="DV135" s="1"/>
  <c r="DC137"/>
  <c r="DD137"/>
  <c r="DE137" s="1"/>
  <c r="DF137" s="1"/>
  <c r="HP138"/>
  <c r="HQ138" s="1"/>
  <c r="HR138" s="1"/>
  <c r="HO138"/>
  <c r="HP116"/>
  <c r="HQ116" s="1"/>
  <c r="HR116" s="1"/>
  <c r="HO116"/>
  <c r="CJ146"/>
  <c r="CK146" s="1"/>
  <c r="CL146" s="1"/>
  <c r="CI146"/>
  <c r="IB130"/>
  <c r="IA130"/>
  <c r="GY120"/>
  <c r="GZ120"/>
  <c r="HA120" s="1"/>
  <c r="HB120" s="1"/>
  <c r="CQ111"/>
  <c r="CR111"/>
  <c r="CS111" s="1"/>
  <c r="CT111" s="1"/>
  <c r="HP114"/>
  <c r="HQ114" s="1"/>
  <c r="HR114" s="1"/>
  <c r="HO114"/>
  <c r="FS141"/>
  <c r="FT141"/>
  <c r="FU141" s="1"/>
  <c r="FV141" s="1"/>
  <c r="HP106"/>
  <c r="HQ106" s="1"/>
  <c r="HR106" s="1"/>
  <c r="HO106"/>
  <c r="HP125"/>
  <c r="HQ125" s="1"/>
  <c r="HR125" s="1"/>
  <c r="HO125"/>
  <c r="EN36"/>
  <c r="EO36" s="1"/>
  <c r="EP36" s="1"/>
  <c r="EM36"/>
  <c r="EE29"/>
  <c r="EF29"/>
  <c r="EG29" s="1"/>
  <c r="EH29" s="1"/>
  <c r="GF38"/>
  <c r="GG38" s="1"/>
  <c r="GH38" s="1"/>
  <c r="GE38"/>
  <c r="DW27"/>
  <c r="DX27"/>
  <c r="DY27" s="1"/>
  <c r="DZ27" s="1"/>
  <c r="CV46"/>
  <c r="CW46" s="1"/>
  <c r="CX46" s="1"/>
  <c r="CU46"/>
  <c r="CE88"/>
  <c r="CF88"/>
  <c r="CG88" s="1"/>
  <c r="CH88" s="1"/>
  <c r="DT39"/>
  <c r="DU39" s="1"/>
  <c r="DV39" s="1"/>
  <c r="DS39"/>
  <c r="DH6"/>
  <c r="DI6" s="1"/>
  <c r="DJ6" s="1"/>
  <c r="DG6"/>
  <c r="FS67"/>
  <c r="FT67"/>
  <c r="FU67" s="1"/>
  <c r="FV67" s="1"/>
  <c r="HP99"/>
  <c r="HQ99" s="1"/>
  <c r="HR99" s="1"/>
  <c r="HO99"/>
  <c r="EM62"/>
  <c r="EN62"/>
  <c r="EO62" s="1"/>
  <c r="EP62" s="1"/>
  <c r="GZ11"/>
  <c r="HA11" s="1"/>
  <c r="HB11" s="1"/>
  <c r="GY11"/>
  <c r="DC68"/>
  <c r="DD68"/>
  <c r="DE68" s="1"/>
  <c r="DF68" s="1"/>
  <c r="DD74"/>
  <c r="DE74" s="1"/>
  <c r="DF74" s="1"/>
  <c r="DC74"/>
  <c r="FT4"/>
  <c r="FU4" s="1"/>
  <c r="FV4" s="1"/>
  <c r="FS4"/>
  <c r="GF35"/>
  <c r="GG35" s="1"/>
  <c r="GH35" s="1"/>
  <c r="GE35"/>
  <c r="CJ100"/>
  <c r="CK100" s="1"/>
  <c r="CL100" s="1"/>
  <c r="CI100"/>
  <c r="CV9"/>
  <c r="CW9" s="1"/>
  <c r="CX9" s="1"/>
  <c r="CU9"/>
  <c r="HO69"/>
  <c r="HP69"/>
  <c r="HQ69" s="1"/>
  <c r="HR69" s="1"/>
  <c r="IB3"/>
  <c r="IA3"/>
  <c r="EA75"/>
  <c r="EB75"/>
  <c r="EC75" s="1"/>
  <c r="ED75" s="1"/>
  <c r="E202" i="54"/>
  <c r="F201" s="1"/>
  <c r="G230" i="21"/>
  <c r="E230"/>
  <c r="B232"/>
  <c r="C231" s="1"/>
  <c r="F230"/>
  <c r="C230"/>
  <c r="J203"/>
  <c r="DP11"/>
  <c r="DQ11" s="1"/>
  <c r="DN11"/>
  <c r="CF15"/>
  <c r="CG15" s="1"/>
  <c r="CD15"/>
  <c r="DH137" i="10" l="1"/>
  <c r="DI137" s="1"/>
  <c r="DJ137" s="1"/>
  <c r="DG137"/>
  <c r="FW141"/>
  <c r="FX141"/>
  <c r="FY141" s="1"/>
  <c r="FZ141" s="1"/>
  <c r="CN146"/>
  <c r="CO146" s="1"/>
  <c r="CP146" s="1"/>
  <c r="CM146"/>
  <c r="DW135"/>
  <c r="DX135"/>
  <c r="DY135" s="1"/>
  <c r="DZ135" s="1"/>
  <c r="HT125"/>
  <c r="HU125" s="1"/>
  <c r="HV125" s="1"/>
  <c r="HS125"/>
  <c r="CU111"/>
  <c r="CV111"/>
  <c r="CW111" s="1"/>
  <c r="CX111" s="1"/>
  <c r="HS116"/>
  <c r="HT116"/>
  <c r="HU116" s="1"/>
  <c r="HV116" s="1"/>
  <c r="HT106"/>
  <c r="HU106" s="1"/>
  <c r="HV106" s="1"/>
  <c r="HS106"/>
  <c r="HT114"/>
  <c r="HU114" s="1"/>
  <c r="HV114" s="1"/>
  <c r="HS114"/>
  <c r="HC120"/>
  <c r="HD120"/>
  <c r="HE120" s="1"/>
  <c r="HF120" s="1"/>
  <c r="HT138"/>
  <c r="HU138" s="1"/>
  <c r="HV138" s="1"/>
  <c r="HS138"/>
  <c r="DG108"/>
  <c r="DH108"/>
  <c r="DI108" s="1"/>
  <c r="DJ108" s="1"/>
  <c r="HS69"/>
  <c r="HT69"/>
  <c r="HU69" s="1"/>
  <c r="HV69" s="1"/>
  <c r="GJ35"/>
  <c r="GK35" s="1"/>
  <c r="GL35" s="1"/>
  <c r="GI35"/>
  <c r="FX4"/>
  <c r="FY4" s="1"/>
  <c r="FZ4" s="1"/>
  <c r="FW4"/>
  <c r="DH68"/>
  <c r="DI68" s="1"/>
  <c r="DJ68" s="1"/>
  <c r="DG68"/>
  <c r="EQ62"/>
  <c r="ER62"/>
  <c r="ES62" s="1"/>
  <c r="ET62" s="1"/>
  <c r="FX67"/>
  <c r="FY67" s="1"/>
  <c r="FZ67" s="1"/>
  <c r="FW67"/>
  <c r="CJ88"/>
  <c r="CK88" s="1"/>
  <c r="CL88" s="1"/>
  <c r="CI88"/>
  <c r="EB27"/>
  <c r="EC27" s="1"/>
  <c r="ED27" s="1"/>
  <c r="EA27"/>
  <c r="EI29"/>
  <c r="EJ29"/>
  <c r="EK29" s="1"/>
  <c r="EL29" s="1"/>
  <c r="CY9"/>
  <c r="CZ9"/>
  <c r="DA9" s="1"/>
  <c r="DB9" s="1"/>
  <c r="CN100"/>
  <c r="CO100" s="1"/>
  <c r="CP100" s="1"/>
  <c r="CM100"/>
  <c r="DK6"/>
  <c r="DL6"/>
  <c r="DM6" s="1"/>
  <c r="DN6" s="1"/>
  <c r="DH74"/>
  <c r="DI74" s="1"/>
  <c r="DJ74" s="1"/>
  <c r="DG74"/>
  <c r="EE75"/>
  <c r="EF75"/>
  <c r="EG75" s="1"/>
  <c r="EH75" s="1"/>
  <c r="HD11"/>
  <c r="HE11" s="1"/>
  <c r="HF11" s="1"/>
  <c r="HC11"/>
  <c r="HT99"/>
  <c r="HU99" s="1"/>
  <c r="HV99" s="1"/>
  <c r="HS99"/>
  <c r="DX39"/>
  <c r="DY39" s="1"/>
  <c r="DZ39" s="1"/>
  <c r="DW39"/>
  <c r="CZ46"/>
  <c r="DA46" s="1"/>
  <c r="DB46" s="1"/>
  <c r="CY46"/>
  <c r="GJ38"/>
  <c r="GK38" s="1"/>
  <c r="GL38" s="1"/>
  <c r="GI38"/>
  <c r="ER36"/>
  <c r="ES36" s="1"/>
  <c r="ET36" s="1"/>
  <c r="EQ36"/>
  <c r="E203" i="54"/>
  <c r="F202" s="1"/>
  <c r="D231" i="21"/>
  <c r="B233"/>
  <c r="D232" s="1"/>
  <c r="G231"/>
  <c r="F231"/>
  <c r="E231"/>
  <c r="J204"/>
  <c r="BA175" i="10"/>
  <c r="BA174"/>
  <c r="BA173"/>
  <c r="BA172"/>
  <c r="BA171"/>
  <c r="BA169"/>
  <c r="BA168"/>
  <c r="HX106" l="1"/>
  <c r="HY106" s="1"/>
  <c r="HZ106" s="1"/>
  <c r="HW106"/>
  <c r="CZ111"/>
  <c r="DA111" s="1"/>
  <c r="DB111" s="1"/>
  <c r="CY111"/>
  <c r="EA135"/>
  <c r="EB135"/>
  <c r="EC135" s="1"/>
  <c r="ED135" s="1"/>
  <c r="GA141"/>
  <c r="GB141"/>
  <c r="GC141" s="1"/>
  <c r="GD141" s="1"/>
  <c r="HW138"/>
  <c r="HX138"/>
  <c r="HY138" s="1"/>
  <c r="HZ138" s="1"/>
  <c r="HX114"/>
  <c r="HY114" s="1"/>
  <c r="HZ114" s="1"/>
  <c r="HW114"/>
  <c r="HX116"/>
  <c r="HY116" s="1"/>
  <c r="HZ116" s="1"/>
  <c r="HW116"/>
  <c r="DL108"/>
  <c r="DM108" s="1"/>
  <c r="DN108" s="1"/>
  <c r="DK108"/>
  <c r="HH120"/>
  <c r="HI120" s="1"/>
  <c r="HJ120" s="1"/>
  <c r="HG120"/>
  <c r="HX125"/>
  <c r="HY125" s="1"/>
  <c r="HZ125" s="1"/>
  <c r="HW125"/>
  <c r="CR146"/>
  <c r="CS146" s="1"/>
  <c r="CT146" s="1"/>
  <c r="CQ146"/>
  <c r="DK137"/>
  <c r="DL137"/>
  <c r="DM137" s="1"/>
  <c r="DN137" s="1"/>
  <c r="HW69"/>
  <c r="HX69"/>
  <c r="HY69" s="1"/>
  <c r="HZ69" s="1"/>
  <c r="EI75"/>
  <c r="EJ75"/>
  <c r="EK75" s="1"/>
  <c r="EL75" s="1"/>
  <c r="CR100"/>
  <c r="CS100" s="1"/>
  <c r="CT100" s="1"/>
  <c r="CQ100"/>
  <c r="EE27"/>
  <c r="EF27"/>
  <c r="EG27" s="1"/>
  <c r="EH27" s="1"/>
  <c r="GA67"/>
  <c r="GB67"/>
  <c r="GC67" s="1"/>
  <c r="GD67" s="1"/>
  <c r="DK68"/>
  <c r="DL68"/>
  <c r="DM68" s="1"/>
  <c r="DN68" s="1"/>
  <c r="GM38"/>
  <c r="GN38"/>
  <c r="GO38" s="1"/>
  <c r="GP38" s="1"/>
  <c r="EB39"/>
  <c r="EC39" s="1"/>
  <c r="ED39" s="1"/>
  <c r="EA39"/>
  <c r="HG11"/>
  <c r="HH11"/>
  <c r="HI11" s="1"/>
  <c r="HJ11" s="1"/>
  <c r="DD9"/>
  <c r="DE9" s="1"/>
  <c r="DF9" s="1"/>
  <c r="DC9"/>
  <c r="EU62"/>
  <c r="EV62"/>
  <c r="EW62" s="1"/>
  <c r="EX62" s="1"/>
  <c r="GN35"/>
  <c r="GO35" s="1"/>
  <c r="GP35" s="1"/>
  <c r="GM35"/>
  <c r="CN88"/>
  <c r="CO88" s="1"/>
  <c r="CP88" s="1"/>
  <c r="CM88"/>
  <c r="GB4"/>
  <c r="GC4" s="1"/>
  <c r="GD4" s="1"/>
  <c r="GA4"/>
  <c r="EU36"/>
  <c r="EV36"/>
  <c r="EW36" s="1"/>
  <c r="EX36" s="1"/>
  <c r="DD46"/>
  <c r="DE46" s="1"/>
  <c r="DF46" s="1"/>
  <c r="DC46"/>
  <c r="HX99"/>
  <c r="HY99" s="1"/>
  <c r="HZ99" s="1"/>
  <c r="HW99"/>
  <c r="DK74"/>
  <c r="DL74"/>
  <c r="DM74" s="1"/>
  <c r="DN74" s="1"/>
  <c r="DP6"/>
  <c r="DQ6" s="1"/>
  <c r="DR6" s="1"/>
  <c r="DO6"/>
  <c r="EN29"/>
  <c r="EO29" s="1"/>
  <c r="EP29" s="1"/>
  <c r="EM29"/>
  <c r="E204" i="54"/>
  <c r="F203" s="1"/>
  <c r="B234" i="21"/>
  <c r="C233" s="1"/>
  <c r="G232"/>
  <c r="E232"/>
  <c r="F232"/>
  <c r="C232"/>
  <c r="J205"/>
  <c r="IB138" i="10" l="1"/>
  <c r="IA138"/>
  <c r="DO137"/>
  <c r="DP137"/>
  <c r="DQ137" s="1"/>
  <c r="DR137" s="1"/>
  <c r="IA114"/>
  <c r="IB114"/>
  <c r="CU146"/>
  <c r="CV146"/>
  <c r="CW146" s="1"/>
  <c r="CX146" s="1"/>
  <c r="HL120"/>
  <c r="HM120" s="1"/>
  <c r="HN120" s="1"/>
  <c r="HK120"/>
  <c r="GE141"/>
  <c r="GF141"/>
  <c r="GG141" s="1"/>
  <c r="GH141" s="1"/>
  <c r="DD111"/>
  <c r="DE111" s="1"/>
  <c r="DF111" s="1"/>
  <c r="DC111"/>
  <c r="IB116"/>
  <c r="IA116"/>
  <c r="EE135"/>
  <c r="EF135"/>
  <c r="EG135" s="1"/>
  <c r="EH135" s="1"/>
  <c r="IA125"/>
  <c r="IB125"/>
  <c r="DP108"/>
  <c r="DQ108" s="1"/>
  <c r="DR108" s="1"/>
  <c r="DO108"/>
  <c r="IB106"/>
  <c r="IA106"/>
  <c r="GR35"/>
  <c r="GS35" s="1"/>
  <c r="GT35" s="1"/>
  <c r="GQ35"/>
  <c r="DS6"/>
  <c r="DT6"/>
  <c r="DU6" s="1"/>
  <c r="DV6" s="1"/>
  <c r="DH46"/>
  <c r="DI46" s="1"/>
  <c r="DJ46" s="1"/>
  <c r="DG46"/>
  <c r="DO74"/>
  <c r="DP74"/>
  <c r="DQ74" s="1"/>
  <c r="DR74" s="1"/>
  <c r="EY36"/>
  <c r="EZ36"/>
  <c r="FA36" s="1"/>
  <c r="FB36" s="1"/>
  <c r="GE4"/>
  <c r="GF4"/>
  <c r="GG4" s="1"/>
  <c r="GH4" s="1"/>
  <c r="DG9"/>
  <c r="DH9"/>
  <c r="DI9" s="1"/>
  <c r="DJ9" s="1"/>
  <c r="GE67"/>
  <c r="GF67"/>
  <c r="GG67" s="1"/>
  <c r="GH67" s="1"/>
  <c r="EQ29"/>
  <c r="ER29"/>
  <c r="ES29" s="1"/>
  <c r="ET29" s="1"/>
  <c r="IA99"/>
  <c r="IB99"/>
  <c r="EY62"/>
  <c r="EZ62"/>
  <c r="FA62" s="1"/>
  <c r="FB62" s="1"/>
  <c r="EF39"/>
  <c r="EG39" s="1"/>
  <c r="EH39" s="1"/>
  <c r="EE39"/>
  <c r="CU100"/>
  <c r="CV100"/>
  <c r="CW100" s="1"/>
  <c r="CX100" s="1"/>
  <c r="EM75"/>
  <c r="EN75"/>
  <c r="EO75" s="1"/>
  <c r="EP75" s="1"/>
  <c r="IA69"/>
  <c r="IB69"/>
  <c r="CQ88"/>
  <c r="CR88"/>
  <c r="CS88" s="1"/>
  <c r="CT88" s="1"/>
  <c r="HK11"/>
  <c r="HL11"/>
  <c r="HM11" s="1"/>
  <c r="HN11" s="1"/>
  <c r="GQ38"/>
  <c r="GR38"/>
  <c r="GS38" s="1"/>
  <c r="GT38" s="1"/>
  <c r="DO68"/>
  <c r="DP68"/>
  <c r="DQ68" s="1"/>
  <c r="DR68" s="1"/>
  <c r="EJ27"/>
  <c r="EK27" s="1"/>
  <c r="EL27" s="1"/>
  <c r="EI27"/>
  <c r="E205" i="54"/>
  <c r="F204" s="1"/>
  <c r="G233" i="21"/>
  <c r="F233"/>
  <c r="E233"/>
  <c r="D233"/>
  <c r="B235"/>
  <c r="C234" s="1"/>
  <c r="J206"/>
  <c r="L30" i="27"/>
  <c r="M30"/>
  <c r="L29" s="1"/>
  <c r="M27"/>
  <c r="L26" s="1"/>
  <c r="L18"/>
  <c r="L17"/>
  <c r="L19"/>
  <c r="L20"/>
  <c r="L21"/>
  <c r="L16"/>
  <c r="O2"/>
  <c r="M29"/>
  <c r="L28" s="1"/>
  <c r="M28"/>
  <c r="L27" s="1"/>
  <c r="N2"/>
  <c r="N82" i="10"/>
  <c r="GI141" l="1"/>
  <c r="GJ141"/>
  <c r="GK141" s="1"/>
  <c r="GL141" s="1"/>
  <c r="CY146"/>
  <c r="CZ146"/>
  <c r="DA146" s="1"/>
  <c r="DB146" s="1"/>
  <c r="DT137"/>
  <c r="DU137" s="1"/>
  <c r="DV137" s="1"/>
  <c r="DS137"/>
  <c r="EJ135"/>
  <c r="EK135" s="1"/>
  <c r="EL135" s="1"/>
  <c r="EI135"/>
  <c r="Q146" i="27"/>
  <c r="AQ146" i="10" s="1"/>
  <c r="Q145" i="27"/>
  <c r="AQ145" i="10" s="1"/>
  <c r="Q144" i="27"/>
  <c r="AQ144" i="10" s="1"/>
  <c r="DS108"/>
  <c r="DT108"/>
  <c r="DU108" s="1"/>
  <c r="DV108" s="1"/>
  <c r="DG111"/>
  <c r="DH111"/>
  <c r="DI111" s="1"/>
  <c r="DJ111" s="1"/>
  <c r="HO120"/>
  <c r="HP120"/>
  <c r="HQ120" s="1"/>
  <c r="HR120" s="1"/>
  <c r="EM27"/>
  <c r="EN27"/>
  <c r="EO27" s="1"/>
  <c r="EP27" s="1"/>
  <c r="GI67"/>
  <c r="GJ67"/>
  <c r="GK67" s="1"/>
  <c r="GL67" s="1"/>
  <c r="GJ4"/>
  <c r="GK4" s="1"/>
  <c r="GL4" s="1"/>
  <c r="GI4"/>
  <c r="DS74"/>
  <c r="DT74"/>
  <c r="DU74" s="1"/>
  <c r="DV74" s="1"/>
  <c r="DS68"/>
  <c r="DT68"/>
  <c r="DU68" s="1"/>
  <c r="DV68" s="1"/>
  <c r="HP11"/>
  <c r="HQ11" s="1"/>
  <c r="HR11" s="1"/>
  <c r="HO11"/>
  <c r="CU88"/>
  <c r="CV88"/>
  <c r="CW88" s="1"/>
  <c r="CX88" s="1"/>
  <c r="EQ75"/>
  <c r="ER75"/>
  <c r="ES75" s="1"/>
  <c r="ET75" s="1"/>
  <c r="EI39"/>
  <c r="EJ39"/>
  <c r="EK39" s="1"/>
  <c r="EL39" s="1"/>
  <c r="FC62"/>
  <c r="FD62"/>
  <c r="FE62" s="1"/>
  <c r="FF62" s="1"/>
  <c r="EU29"/>
  <c r="EV29"/>
  <c r="EW29" s="1"/>
  <c r="EX29" s="1"/>
  <c r="FD36"/>
  <c r="FE36" s="1"/>
  <c r="FF36" s="1"/>
  <c r="FC36"/>
  <c r="DL9"/>
  <c r="DM9" s="1"/>
  <c r="DN9" s="1"/>
  <c r="DK9"/>
  <c r="DW6"/>
  <c r="DX6"/>
  <c r="DY6" s="1"/>
  <c r="DZ6" s="1"/>
  <c r="GU38"/>
  <c r="GV38"/>
  <c r="GW38" s="1"/>
  <c r="GX38" s="1"/>
  <c r="CZ100"/>
  <c r="DA100" s="1"/>
  <c r="DB100" s="1"/>
  <c r="CY100"/>
  <c r="DL46"/>
  <c r="DM46" s="1"/>
  <c r="DN46" s="1"/>
  <c r="DK46"/>
  <c r="GU35"/>
  <c r="GV35"/>
  <c r="GW35" s="1"/>
  <c r="GX35" s="1"/>
  <c r="Q142" i="27"/>
  <c r="AQ142" i="10" s="1"/>
  <c r="Q143" i="27"/>
  <c r="AQ143" i="10" s="1"/>
  <c r="E206" i="54"/>
  <c r="F205" s="1"/>
  <c r="F234" i="21"/>
  <c r="G234"/>
  <c r="B236"/>
  <c r="F235" s="1"/>
  <c r="E234"/>
  <c r="D234"/>
  <c r="J207"/>
  <c r="Q75" i="27"/>
  <c r="AQ75" i="10" s="1"/>
  <c r="Q34" i="27"/>
  <c r="AQ34" i="10" s="1"/>
  <c r="Q141" i="27"/>
  <c r="AQ141" i="10" s="1"/>
  <c r="Q61" i="27"/>
  <c r="AQ61" i="10" s="1"/>
  <c r="Q112" i="27"/>
  <c r="AQ112" i="10" s="1"/>
  <c r="Q123" i="27"/>
  <c r="AQ123" i="10" s="1"/>
  <c r="Q46" i="27"/>
  <c r="AQ46" i="10" s="1"/>
  <c r="Q29" i="27"/>
  <c r="AQ29" i="10" s="1"/>
  <c r="Q13" i="27"/>
  <c r="AQ13" i="10" s="1"/>
  <c r="Q51" i="27"/>
  <c r="AQ51" i="10" s="1"/>
  <c r="Q20" i="27"/>
  <c r="AQ20" i="10" s="1"/>
  <c r="Q49" i="27"/>
  <c r="AQ49" i="10" s="1"/>
  <c r="Q7" i="27"/>
  <c r="AQ7" i="10" s="1"/>
  <c r="Q16" i="27"/>
  <c r="AQ16" i="10" s="1"/>
  <c r="Q122" i="27"/>
  <c r="AQ122" i="10" s="1"/>
  <c r="Q40" i="27"/>
  <c r="AQ40" i="10" s="1"/>
  <c r="Q19" i="27"/>
  <c r="AQ19" i="10" s="1"/>
  <c r="Q27" i="27"/>
  <c r="AQ27" i="10" s="1"/>
  <c r="Q88" i="27"/>
  <c r="AQ88" i="10" s="1"/>
  <c r="Q115" i="27"/>
  <c r="AQ115" i="10" s="1"/>
  <c r="Q121" i="27"/>
  <c r="AQ121" i="10" s="1"/>
  <c r="Q129" i="27"/>
  <c r="AQ129" i="10" s="1"/>
  <c r="Q22" i="27"/>
  <c r="AQ22" i="10" s="1"/>
  <c r="Q69" i="27"/>
  <c r="AQ69" i="10" s="1"/>
  <c r="Q62" i="27"/>
  <c r="AQ62" i="10" s="1"/>
  <c r="Q6" i="27"/>
  <c r="AQ6" i="10" s="1"/>
  <c r="Q55" i="27"/>
  <c r="AQ55" i="10" s="1"/>
  <c r="Q80" i="27"/>
  <c r="AQ80" i="10" s="1"/>
  <c r="Q70" i="27"/>
  <c r="AQ70" i="10" s="1"/>
  <c r="Q81" i="27"/>
  <c r="AQ81" i="10" s="1"/>
  <c r="Q119" i="27"/>
  <c r="AQ119" i="10" s="1"/>
  <c r="Q14" i="27"/>
  <c r="AQ14" i="10" s="1"/>
  <c r="Q135" i="27"/>
  <c r="AQ135" i="10" s="1"/>
  <c r="Q98" i="27"/>
  <c r="AQ98" i="10" s="1"/>
  <c r="Q105" i="27"/>
  <c r="AQ105" i="10" s="1"/>
  <c r="Q85" i="27"/>
  <c r="AQ85" i="10" s="1"/>
  <c r="Q124" i="27"/>
  <c r="AQ124" i="10" s="1"/>
  <c r="Q108" i="27"/>
  <c r="AQ108" i="10" s="1"/>
  <c r="Q58" i="27"/>
  <c r="AQ58" i="10" s="1"/>
  <c r="Q42" i="27"/>
  <c r="AQ42" i="10" s="1"/>
  <c r="Q25" i="27"/>
  <c r="AQ25" i="10" s="1"/>
  <c r="Q9" i="27"/>
  <c r="AQ9" i="10" s="1"/>
  <c r="Q41" i="27"/>
  <c r="AQ41" i="10" s="1"/>
  <c r="Q8" i="27"/>
  <c r="AQ8" i="10" s="1"/>
  <c r="Q140" i="27"/>
  <c r="AQ140" i="10" s="1"/>
  <c r="Q3" i="27"/>
  <c r="AQ3" i="10" s="1"/>
  <c r="Q4" i="27"/>
  <c r="AQ4" i="10" s="1"/>
  <c r="Q114" i="27"/>
  <c r="AQ114" i="10" s="1"/>
  <c r="Q56" i="27"/>
  <c r="AQ56" i="10" s="1"/>
  <c r="Q36" i="27"/>
  <c r="AQ36" i="10" s="1"/>
  <c r="Q53" i="27"/>
  <c r="AQ53" i="10" s="1"/>
  <c r="Q118" i="27"/>
  <c r="AQ118" i="10" s="1"/>
  <c r="Q39" i="27"/>
  <c r="AQ39" i="10" s="1"/>
  <c r="Q126" i="27"/>
  <c r="AQ126" i="10" s="1"/>
  <c r="Q87" i="27"/>
  <c r="AQ87" i="10" s="1"/>
  <c r="Q77" i="27"/>
  <c r="AQ77" i="10" s="1"/>
  <c r="Q30" i="27"/>
  <c r="AQ30" i="10" s="1"/>
  <c r="Q137" i="27"/>
  <c r="AQ137" i="10" s="1"/>
  <c r="Q130" i="27"/>
  <c r="AQ130" i="10" s="1"/>
  <c r="Q131" i="27"/>
  <c r="AQ131" i="10" s="1"/>
  <c r="Q10" i="27"/>
  <c r="AQ10" i="10" s="1"/>
  <c r="Q67" i="27"/>
  <c r="AQ67" i="10" s="1"/>
  <c r="Q92" i="27"/>
  <c r="AQ92" i="10" s="1"/>
  <c r="Q95" i="27"/>
  <c r="AQ95" i="10" s="1"/>
  <c r="Q97" i="27"/>
  <c r="AQ97" i="10" s="1"/>
  <c r="Q74" i="27"/>
  <c r="AQ74" i="10" s="1"/>
  <c r="Q18" i="27"/>
  <c r="AQ18" i="10" s="1"/>
  <c r="Q100" i="27"/>
  <c r="AQ100" i="10" s="1"/>
  <c r="Q71" i="27"/>
  <c r="AQ71" i="10" s="1"/>
  <c r="Q66" i="27"/>
  <c r="AQ66" i="10" s="1"/>
  <c r="Q101" i="27"/>
  <c r="AQ101" i="10" s="1"/>
  <c r="Q120" i="27"/>
  <c r="AQ120" i="10" s="1"/>
  <c r="Q104" i="27"/>
  <c r="AQ104" i="10" s="1"/>
  <c r="Q54" i="27"/>
  <c r="AQ54" i="10" s="1"/>
  <c r="Q38" i="27"/>
  <c r="AQ38" i="10" s="1"/>
  <c r="Q21" i="27"/>
  <c r="AQ21" i="10" s="1"/>
  <c r="Q5" i="27"/>
  <c r="AQ5" i="10" s="1"/>
  <c r="Q37" i="27"/>
  <c r="AQ37" i="10" s="1"/>
  <c r="Q63" i="27"/>
  <c r="AQ63" i="10" s="1"/>
  <c r="Q107" i="27"/>
  <c r="AQ107" i="10" s="1"/>
  <c r="Q45" i="27"/>
  <c r="AQ45" i="10" s="1"/>
  <c r="Q139" i="27"/>
  <c r="AQ139" i="10" s="1"/>
  <c r="Q106" i="27"/>
  <c r="AQ106" i="10" s="1"/>
  <c r="Q52" i="27"/>
  <c r="AQ52" i="10" s="1"/>
  <c r="Q31" i="27"/>
  <c r="AQ31" i="10" s="1"/>
  <c r="Q24" i="27"/>
  <c r="AQ24" i="10" s="1"/>
  <c r="Q47" i="27"/>
  <c r="AQ47" i="10" s="1"/>
  <c r="Q132" i="27"/>
  <c r="AQ132" i="10" s="1"/>
  <c r="Q86" i="27"/>
  <c r="AQ86" i="10" s="1"/>
  <c r="Q79" i="27"/>
  <c r="AQ79" i="10" s="1"/>
  <c r="Q93" i="27"/>
  <c r="AQ93" i="10" s="1"/>
  <c r="Q26" i="27"/>
  <c r="AQ26" i="10" s="1"/>
  <c r="Q73" i="27"/>
  <c r="AQ73" i="10" s="1"/>
  <c r="Q133" i="27"/>
  <c r="AQ133" i="10" s="1"/>
  <c r="Q89" i="27"/>
  <c r="AQ89" i="10" s="1"/>
  <c r="Q43" i="27"/>
  <c r="AQ43" i="10" s="1"/>
  <c r="Q96" i="27"/>
  <c r="AQ96" i="10" s="1"/>
  <c r="Q90" i="27"/>
  <c r="AQ90" i="10" s="1"/>
  <c r="Q91" i="27"/>
  <c r="AQ91" i="10" s="1"/>
  <c r="Q109" i="27"/>
  <c r="AQ109" i="10" s="1"/>
  <c r="Q72" i="27"/>
  <c r="AQ72" i="10" s="1"/>
  <c r="Q110" i="27"/>
  <c r="AQ110" i="10" s="1"/>
  <c r="Q65" i="27"/>
  <c r="AQ65" i="10" s="1"/>
  <c r="Q82" i="27"/>
  <c r="AQ82" i="10" s="1"/>
  <c r="Q99" i="27"/>
  <c r="AQ99" i="10" s="1"/>
  <c r="Q117" i="27"/>
  <c r="AQ117" i="10" s="1"/>
  <c r="Q116" i="27"/>
  <c r="AQ116" i="10" s="1"/>
  <c r="Q50" i="27"/>
  <c r="AQ50" i="10" s="1"/>
  <c r="Q33" i="27"/>
  <c r="AQ33" i="10" s="1"/>
  <c r="Q17" i="27"/>
  <c r="AQ17" i="10" s="1"/>
  <c r="Q59" i="27"/>
  <c r="AQ59" i="10" s="1"/>
  <c r="Q32" i="27"/>
  <c r="AQ32" i="10" s="1"/>
  <c r="Q57" i="27"/>
  <c r="AQ57" i="10" s="1"/>
  <c r="Q15" i="27"/>
  <c r="AQ15" i="10" s="1"/>
  <c r="Q28" i="27"/>
  <c r="AQ28" i="10" s="1"/>
  <c r="Q134" i="27"/>
  <c r="AQ134" i="10" s="1"/>
  <c r="Q138" i="27"/>
  <c r="AQ138" i="10" s="1"/>
  <c r="Q48" i="27"/>
  <c r="AQ48" i="10" s="1"/>
  <c r="Q23" i="27"/>
  <c r="AQ23" i="10" s="1"/>
  <c r="Q12" i="27"/>
  <c r="AQ12" i="10" s="1"/>
  <c r="Q35" i="27"/>
  <c r="AQ35" i="10" s="1"/>
  <c r="Q128" i="27"/>
  <c r="AQ128" i="10" s="1"/>
  <c r="Q84" i="27"/>
  <c r="AQ84" i="10" s="1"/>
  <c r="Q83" i="27"/>
  <c r="AQ83" i="10" s="1"/>
  <c r="Q127" i="27"/>
  <c r="AQ127" i="10" s="1"/>
  <c r="Q11" i="27"/>
  <c r="AQ11" i="10" s="1"/>
  <c r="Q94" i="27"/>
  <c r="AQ94" i="10" s="1"/>
  <c r="Q78" i="27"/>
  <c r="AQ78" i="10" s="1"/>
  <c r="Q125" i="27"/>
  <c r="AQ125" i="10" s="1"/>
  <c r="Q44" i="27"/>
  <c r="AQ44" i="10" s="1"/>
  <c r="Q102" i="27"/>
  <c r="AQ102" i="10" s="1"/>
  <c r="Q103" i="27"/>
  <c r="AQ103" i="10" s="1"/>
  <c r="Q64" i="27"/>
  <c r="AQ64" i="10" s="1"/>
  <c r="Q76" i="27"/>
  <c r="AQ76" i="10" s="1"/>
  <c r="Q113" i="27"/>
  <c r="AQ113" i="10" s="1"/>
  <c r="Q60" i="27"/>
  <c r="AQ60" i="10" s="1"/>
  <c r="Q136" i="27"/>
  <c r="AQ136" i="10" s="1"/>
  <c r="Q111" i="27"/>
  <c r="AQ111" i="10" s="1"/>
  <c r="Q68" i="27"/>
  <c r="AQ68" i="10" s="1"/>
  <c r="P2" i="27"/>
  <c r="AE181" i="10"/>
  <c r="AE189"/>
  <c r="AE190"/>
  <c r="AA224"/>
  <c r="Y163"/>
  <c r="DL111" l="1"/>
  <c r="DM111" s="1"/>
  <c r="DN111" s="1"/>
  <c r="DK111"/>
  <c r="DX137"/>
  <c r="DY137" s="1"/>
  <c r="DZ137" s="1"/>
  <c r="DW137"/>
  <c r="GM141"/>
  <c r="GN141"/>
  <c r="GO141" s="1"/>
  <c r="GP141" s="1"/>
  <c r="DX108"/>
  <c r="DY108" s="1"/>
  <c r="DZ108" s="1"/>
  <c r="DW108"/>
  <c r="HS120"/>
  <c r="HT120"/>
  <c r="HU120" s="1"/>
  <c r="HV120" s="1"/>
  <c r="EM135"/>
  <c r="EN135"/>
  <c r="EO135" s="1"/>
  <c r="EP135" s="1"/>
  <c r="DC146"/>
  <c r="DD146"/>
  <c r="DE146" s="1"/>
  <c r="DF146" s="1"/>
  <c r="EA6"/>
  <c r="EB6"/>
  <c r="EC6" s="1"/>
  <c r="ED6" s="1"/>
  <c r="EU75"/>
  <c r="EV75"/>
  <c r="EW75" s="1"/>
  <c r="EX75" s="1"/>
  <c r="DP46"/>
  <c r="DQ46" s="1"/>
  <c r="DR46" s="1"/>
  <c r="DO46"/>
  <c r="DC100"/>
  <c r="DD100"/>
  <c r="DE100" s="1"/>
  <c r="DF100" s="1"/>
  <c r="EZ29"/>
  <c r="FA29" s="1"/>
  <c r="FB29" s="1"/>
  <c r="EY29"/>
  <c r="HS11"/>
  <c r="HT11"/>
  <c r="HU11" s="1"/>
  <c r="HV11" s="1"/>
  <c r="GM4"/>
  <c r="GN4"/>
  <c r="GO4" s="1"/>
  <c r="GP4" s="1"/>
  <c r="GZ35"/>
  <c r="HA35" s="1"/>
  <c r="HB35" s="1"/>
  <c r="GY35"/>
  <c r="GZ38"/>
  <c r="HA38" s="1"/>
  <c r="HB38" s="1"/>
  <c r="GY38"/>
  <c r="FG36"/>
  <c r="FH36"/>
  <c r="FI36" s="1"/>
  <c r="FJ36" s="1"/>
  <c r="EN39"/>
  <c r="EO39" s="1"/>
  <c r="EP39" s="1"/>
  <c r="EM39"/>
  <c r="CY88"/>
  <c r="CZ88"/>
  <c r="DA88" s="1"/>
  <c r="DB88" s="1"/>
  <c r="DW68"/>
  <c r="DX68"/>
  <c r="DY68" s="1"/>
  <c r="DZ68" s="1"/>
  <c r="DW74"/>
  <c r="DX74"/>
  <c r="DY74" s="1"/>
  <c r="DZ74" s="1"/>
  <c r="GM67"/>
  <c r="GN67"/>
  <c r="GO67" s="1"/>
  <c r="GP67" s="1"/>
  <c r="EQ27"/>
  <c r="ER27"/>
  <c r="ES27" s="1"/>
  <c r="ET27" s="1"/>
  <c r="DP9"/>
  <c r="DQ9" s="1"/>
  <c r="DR9" s="1"/>
  <c r="DO9"/>
  <c r="FH62"/>
  <c r="FI62" s="1"/>
  <c r="FJ62" s="1"/>
  <c r="FG62"/>
  <c r="AV83"/>
  <c r="E207" i="54"/>
  <c r="F206" s="1"/>
  <c r="E235" i="21"/>
  <c r="C235"/>
  <c r="B237"/>
  <c r="F236" s="1"/>
  <c r="G235"/>
  <c r="D235"/>
  <c r="J208"/>
  <c r="Q2" i="27"/>
  <c r="AQ2" i="10" s="1"/>
  <c r="S2" i="27"/>
  <c r="G2" i="10" s="1"/>
  <c r="AZ165"/>
  <c r="AT175" s="1"/>
  <c r="AV444"/>
  <c r="C32" i="22"/>
  <c r="CP14" i="21"/>
  <c r="CR14" s="1"/>
  <c r="CW12"/>
  <c r="CZ12" s="1"/>
  <c r="DG146" i="10" l="1"/>
  <c r="DH146"/>
  <c r="DI146" s="1"/>
  <c r="DJ146" s="1"/>
  <c r="HX120"/>
  <c r="HY120" s="1"/>
  <c r="HZ120" s="1"/>
  <c r="HW120"/>
  <c r="EA108"/>
  <c r="EB108"/>
  <c r="EC108" s="1"/>
  <c r="ED108" s="1"/>
  <c r="EA137"/>
  <c r="EB137"/>
  <c r="EC137" s="1"/>
  <c r="ED137" s="1"/>
  <c r="GR141"/>
  <c r="GS141" s="1"/>
  <c r="GT141" s="1"/>
  <c r="GQ141"/>
  <c r="EQ135"/>
  <c r="ER135"/>
  <c r="ES135" s="1"/>
  <c r="ET135" s="1"/>
  <c r="DP111"/>
  <c r="DQ111" s="1"/>
  <c r="DR111" s="1"/>
  <c r="DO111"/>
  <c r="DT9"/>
  <c r="DU9" s="1"/>
  <c r="DV9" s="1"/>
  <c r="DS9"/>
  <c r="GQ67"/>
  <c r="GR67"/>
  <c r="GS67" s="1"/>
  <c r="GT67" s="1"/>
  <c r="EB68"/>
  <c r="EC68" s="1"/>
  <c r="ED68" s="1"/>
  <c r="EA68"/>
  <c r="HD38"/>
  <c r="HE38" s="1"/>
  <c r="HF38" s="1"/>
  <c r="HC38"/>
  <c r="FK62"/>
  <c r="FL62"/>
  <c r="FM62" s="1"/>
  <c r="FN62" s="1"/>
  <c r="ER39"/>
  <c r="ES39" s="1"/>
  <c r="ET39" s="1"/>
  <c r="EQ39"/>
  <c r="GQ4"/>
  <c r="GR4"/>
  <c r="GS4" s="1"/>
  <c r="GT4" s="1"/>
  <c r="EU27"/>
  <c r="EV27"/>
  <c r="EW27" s="1"/>
  <c r="EX27" s="1"/>
  <c r="EA74"/>
  <c r="EB74"/>
  <c r="EC74" s="1"/>
  <c r="ED74" s="1"/>
  <c r="DD88"/>
  <c r="DE88" s="1"/>
  <c r="DF88" s="1"/>
  <c r="DC88"/>
  <c r="FL36"/>
  <c r="FM36" s="1"/>
  <c r="FN36" s="1"/>
  <c r="FK36"/>
  <c r="HC35"/>
  <c r="HD35"/>
  <c r="HE35" s="1"/>
  <c r="HF35" s="1"/>
  <c r="FC29"/>
  <c r="FD29"/>
  <c r="FE29" s="1"/>
  <c r="FF29" s="1"/>
  <c r="DT46"/>
  <c r="DU46" s="1"/>
  <c r="DV46" s="1"/>
  <c r="DS46"/>
  <c r="EZ75"/>
  <c r="FA75" s="1"/>
  <c r="FB75" s="1"/>
  <c r="EY75"/>
  <c r="EF6"/>
  <c r="EG6" s="1"/>
  <c r="EH6" s="1"/>
  <c r="EE6"/>
  <c r="HX11"/>
  <c r="HY11" s="1"/>
  <c r="HZ11" s="1"/>
  <c r="HW11"/>
  <c r="DG100"/>
  <c r="DH100"/>
  <c r="DI100" s="1"/>
  <c r="DJ100" s="1"/>
  <c r="D236" i="21"/>
  <c r="E208" i="54"/>
  <c r="F207" s="1"/>
  <c r="G236" i="21"/>
  <c r="E236"/>
  <c r="B238"/>
  <c r="D237" s="1"/>
  <c r="C236"/>
  <c r="J209"/>
  <c r="C232" i="10"/>
  <c r="D232" s="1"/>
  <c r="C229"/>
  <c r="D229" s="1"/>
  <c r="C228"/>
  <c r="D228" s="1"/>
  <c r="C227"/>
  <c r="D227" s="1"/>
  <c r="C230"/>
  <c r="D230" s="1"/>
  <c r="C231"/>
  <c r="D231" s="1"/>
  <c r="AY102"/>
  <c r="AW102"/>
  <c r="AT83"/>
  <c r="BA83"/>
  <c r="AZ83"/>
  <c r="CV12" i="21"/>
  <c r="CX12"/>
  <c r="CY12" s="1"/>
  <c r="DK146" i="10" l="1"/>
  <c r="DL146"/>
  <c r="DM146" s="1"/>
  <c r="DN146" s="1"/>
  <c r="EU135"/>
  <c r="EV135"/>
  <c r="EW135" s="1"/>
  <c r="EX135" s="1"/>
  <c r="DT111"/>
  <c r="DU111" s="1"/>
  <c r="DV111" s="1"/>
  <c r="DS111"/>
  <c r="IB120"/>
  <c r="IA120"/>
  <c r="GU141"/>
  <c r="GV141"/>
  <c r="GW141" s="1"/>
  <c r="GX141" s="1"/>
  <c r="EE108"/>
  <c r="EF108"/>
  <c r="EG108" s="1"/>
  <c r="EH108" s="1"/>
  <c r="EF137"/>
  <c r="EG137" s="1"/>
  <c r="EH137" s="1"/>
  <c r="EE137"/>
  <c r="FG29"/>
  <c r="FH29"/>
  <c r="FI29" s="1"/>
  <c r="FJ29" s="1"/>
  <c r="EE74"/>
  <c r="EF74"/>
  <c r="EG74" s="1"/>
  <c r="EH74" s="1"/>
  <c r="FO62"/>
  <c r="FP62"/>
  <c r="FQ62" s="1"/>
  <c r="FR62" s="1"/>
  <c r="IA11"/>
  <c r="IB11"/>
  <c r="FD75"/>
  <c r="FE75" s="1"/>
  <c r="FF75" s="1"/>
  <c r="FC75"/>
  <c r="FO36"/>
  <c r="FP36"/>
  <c r="FQ36" s="1"/>
  <c r="FR36" s="1"/>
  <c r="EU39"/>
  <c r="EV39"/>
  <c r="EW39" s="1"/>
  <c r="EX39" s="1"/>
  <c r="EE68"/>
  <c r="EF68"/>
  <c r="EG68" s="1"/>
  <c r="EH68" s="1"/>
  <c r="DL100"/>
  <c r="DM100" s="1"/>
  <c r="DN100" s="1"/>
  <c r="DK100"/>
  <c r="HH35"/>
  <c r="HI35" s="1"/>
  <c r="HJ35" s="1"/>
  <c r="HG35"/>
  <c r="EY27"/>
  <c r="EZ27"/>
  <c r="FA27" s="1"/>
  <c r="FB27" s="1"/>
  <c r="GV4"/>
  <c r="GW4" s="1"/>
  <c r="GX4" s="1"/>
  <c r="GU4"/>
  <c r="GU67"/>
  <c r="GV67"/>
  <c r="GW67" s="1"/>
  <c r="GX67" s="1"/>
  <c r="EI6"/>
  <c r="EJ6"/>
  <c r="EK6" s="1"/>
  <c r="EL6" s="1"/>
  <c r="DX46"/>
  <c r="DY46" s="1"/>
  <c r="DZ46" s="1"/>
  <c r="DW46"/>
  <c r="DH88"/>
  <c r="DI88" s="1"/>
  <c r="DJ88" s="1"/>
  <c r="DG88"/>
  <c r="HG38"/>
  <c r="HH38"/>
  <c r="HI38" s="1"/>
  <c r="HJ38" s="1"/>
  <c r="DX9"/>
  <c r="DY9" s="1"/>
  <c r="DZ9" s="1"/>
  <c r="DW9"/>
  <c r="E209" i="54"/>
  <c r="F208" s="1"/>
  <c r="E237" i="21"/>
  <c r="C237"/>
  <c r="B239"/>
  <c r="C238" s="1"/>
  <c r="F237"/>
  <c r="G237"/>
  <c r="J210"/>
  <c r="N3" i="10"/>
  <c r="N6"/>
  <c r="N7"/>
  <c r="N8"/>
  <c r="N9"/>
  <c r="N10"/>
  <c r="N11"/>
  <c r="N12"/>
  <c r="N13"/>
  <c r="N14"/>
  <c r="N15"/>
  <c r="N16"/>
  <c r="N17"/>
  <c r="N18"/>
  <c r="N19"/>
  <c r="N20"/>
  <c r="N21"/>
  <c r="N22"/>
  <c r="N24"/>
  <c r="N25"/>
  <c r="N26"/>
  <c r="N27"/>
  <c r="N28"/>
  <c r="N29"/>
  <c r="N31"/>
  <c r="N32"/>
  <c r="N33"/>
  <c r="N36"/>
  <c r="N37"/>
  <c r="N38"/>
  <c r="N39"/>
  <c r="N40"/>
  <c r="N41"/>
  <c r="N42"/>
  <c r="N43"/>
  <c r="N44"/>
  <c r="N45"/>
  <c r="N46"/>
  <c r="N47"/>
  <c r="N48"/>
  <c r="N50"/>
  <c r="N51"/>
  <c r="N52"/>
  <c r="N53"/>
  <c r="N54"/>
  <c r="N55"/>
  <c r="N57"/>
  <c r="N58"/>
  <c r="N59"/>
  <c r="N60"/>
  <c r="N61"/>
  <c r="N63"/>
  <c r="N64"/>
  <c r="N65"/>
  <c r="N66"/>
  <c r="N67"/>
  <c r="N68"/>
  <c r="N70"/>
  <c r="N71"/>
  <c r="N72"/>
  <c r="N73"/>
  <c r="N74"/>
  <c r="N75"/>
  <c r="N77"/>
  <c r="N78"/>
  <c r="N79"/>
  <c r="N80"/>
  <c r="N81"/>
  <c r="N83"/>
  <c r="N84"/>
  <c r="N85"/>
  <c r="N86"/>
  <c r="N87"/>
  <c r="N88"/>
  <c r="N89"/>
  <c r="N90"/>
  <c r="N91"/>
  <c r="N92"/>
  <c r="N93"/>
  <c r="N94"/>
  <c r="N95"/>
  <c r="N96"/>
  <c r="N98"/>
  <c r="N100"/>
  <c r="N101"/>
  <c r="N103"/>
  <c r="N104"/>
  <c r="N105"/>
  <c r="N107"/>
  <c r="N108"/>
  <c r="N109"/>
  <c r="N110"/>
  <c r="N111"/>
  <c r="N112"/>
  <c r="N113"/>
  <c r="N114"/>
  <c r="N115"/>
  <c r="N117"/>
  <c r="N118"/>
  <c r="N119"/>
  <c r="N120"/>
  <c r="N122"/>
  <c r="N123"/>
  <c r="N124"/>
  <c r="N125"/>
  <c r="N126"/>
  <c r="N127"/>
  <c r="N129"/>
  <c r="N131"/>
  <c r="N132"/>
  <c r="N133"/>
  <c r="N134"/>
  <c r="N135"/>
  <c r="N136"/>
  <c r="N137"/>
  <c r="N138"/>
  <c r="N139"/>
  <c r="N140"/>
  <c r="N141"/>
  <c r="N142"/>
  <c r="N143"/>
  <c r="N144"/>
  <c r="N145"/>
  <c r="N146"/>
  <c r="N2"/>
  <c r="D47" i="22"/>
  <c r="GY141" i="10" l="1"/>
  <c r="GZ141"/>
  <c r="HA141" s="1"/>
  <c r="HB141" s="1"/>
  <c r="DO146"/>
  <c r="DP146"/>
  <c r="DQ146" s="1"/>
  <c r="DR146" s="1"/>
  <c r="EJ137"/>
  <c r="EK137" s="1"/>
  <c r="EL137" s="1"/>
  <c r="EI137"/>
  <c r="DX111"/>
  <c r="DY111" s="1"/>
  <c r="DZ111" s="1"/>
  <c r="DW111"/>
  <c r="EI108"/>
  <c r="EJ108"/>
  <c r="EK108" s="1"/>
  <c r="EL108" s="1"/>
  <c r="EY135"/>
  <c r="EZ135"/>
  <c r="FA135" s="1"/>
  <c r="FB135" s="1"/>
  <c r="EB9"/>
  <c r="EC9" s="1"/>
  <c r="ED9" s="1"/>
  <c r="EA9"/>
  <c r="DL88"/>
  <c r="DM88" s="1"/>
  <c r="DN88" s="1"/>
  <c r="DK88"/>
  <c r="DO100"/>
  <c r="DP100"/>
  <c r="DQ100" s="1"/>
  <c r="DR100" s="1"/>
  <c r="EY39"/>
  <c r="EZ39"/>
  <c r="FA39" s="1"/>
  <c r="FB39" s="1"/>
  <c r="FH75"/>
  <c r="FI75" s="1"/>
  <c r="FJ75" s="1"/>
  <c r="FG75"/>
  <c r="HK38"/>
  <c r="HL38"/>
  <c r="HM38" s="1"/>
  <c r="HN38" s="1"/>
  <c r="EI68"/>
  <c r="EJ68"/>
  <c r="EK68" s="1"/>
  <c r="EL68" s="1"/>
  <c r="FT36"/>
  <c r="FU36" s="1"/>
  <c r="FV36" s="1"/>
  <c r="FS36"/>
  <c r="FS62"/>
  <c r="FT62"/>
  <c r="FU62" s="1"/>
  <c r="FV62" s="1"/>
  <c r="FL29"/>
  <c r="FM29" s="1"/>
  <c r="FN29" s="1"/>
  <c r="FK29"/>
  <c r="EB46"/>
  <c r="EC46" s="1"/>
  <c r="ED46" s="1"/>
  <c r="EA46"/>
  <c r="GZ4"/>
  <c r="HA4" s="1"/>
  <c r="HB4" s="1"/>
  <c r="GY4"/>
  <c r="HK35"/>
  <c r="HL35"/>
  <c r="HM35" s="1"/>
  <c r="HN35" s="1"/>
  <c r="EN6"/>
  <c r="EO6" s="1"/>
  <c r="EP6" s="1"/>
  <c r="EM6"/>
  <c r="GY67"/>
  <c r="GZ67"/>
  <c r="HA67" s="1"/>
  <c r="HB67" s="1"/>
  <c r="FD27"/>
  <c r="FE27" s="1"/>
  <c r="FF27" s="1"/>
  <c r="FC27"/>
  <c r="EI74"/>
  <c r="EJ74"/>
  <c r="EK74" s="1"/>
  <c r="EL74" s="1"/>
  <c r="G238" i="21"/>
  <c r="E210" i="54"/>
  <c r="F209" s="1"/>
  <c r="F238" i="21"/>
  <c r="D238"/>
  <c r="B240"/>
  <c r="E239" s="1"/>
  <c r="E238"/>
  <c r="J211"/>
  <c r="HC141" i="10" l="1"/>
  <c r="HD141"/>
  <c r="HE141" s="1"/>
  <c r="HF141" s="1"/>
  <c r="FD135"/>
  <c r="FE135" s="1"/>
  <c r="FF135" s="1"/>
  <c r="FC135"/>
  <c r="EN137"/>
  <c r="EO137" s="1"/>
  <c r="EP137" s="1"/>
  <c r="EM137"/>
  <c r="EN108"/>
  <c r="EO108" s="1"/>
  <c r="EP108" s="1"/>
  <c r="EM108"/>
  <c r="EA111"/>
  <c r="EB111"/>
  <c r="EC111" s="1"/>
  <c r="ED111" s="1"/>
  <c r="DS146"/>
  <c r="DT146"/>
  <c r="DU146" s="1"/>
  <c r="DV146" s="1"/>
  <c r="HC67"/>
  <c r="HD67"/>
  <c r="HE67" s="1"/>
  <c r="HF67" s="1"/>
  <c r="HP35"/>
  <c r="HQ35" s="1"/>
  <c r="HR35" s="1"/>
  <c r="HO35"/>
  <c r="DT100"/>
  <c r="DU100" s="1"/>
  <c r="DV100" s="1"/>
  <c r="DS100"/>
  <c r="FP29"/>
  <c r="FQ29" s="1"/>
  <c r="FR29" s="1"/>
  <c r="FO29"/>
  <c r="FX36"/>
  <c r="FY36" s="1"/>
  <c r="FZ36" s="1"/>
  <c r="FW36"/>
  <c r="FK75"/>
  <c r="FL75"/>
  <c r="FM75" s="1"/>
  <c r="FN75" s="1"/>
  <c r="EF9"/>
  <c r="EG9" s="1"/>
  <c r="EH9" s="1"/>
  <c r="EE9"/>
  <c r="EM74"/>
  <c r="EN74"/>
  <c r="EO74" s="1"/>
  <c r="EP74" s="1"/>
  <c r="FX62"/>
  <c r="FY62" s="1"/>
  <c r="FZ62" s="1"/>
  <c r="FW62"/>
  <c r="EN68"/>
  <c r="EO68" s="1"/>
  <c r="EP68" s="1"/>
  <c r="EM68"/>
  <c r="HO38"/>
  <c r="HP38"/>
  <c r="HQ38" s="1"/>
  <c r="HR38" s="1"/>
  <c r="FD39"/>
  <c r="FE39" s="1"/>
  <c r="FF39" s="1"/>
  <c r="FC39"/>
  <c r="FH27"/>
  <c r="FI27" s="1"/>
  <c r="FJ27" s="1"/>
  <c r="FG27"/>
  <c r="EQ6"/>
  <c r="ER6"/>
  <c r="ES6" s="1"/>
  <c r="ET6" s="1"/>
  <c r="HD4"/>
  <c r="HE4" s="1"/>
  <c r="HF4" s="1"/>
  <c r="HC4"/>
  <c r="EF46"/>
  <c r="EG46" s="1"/>
  <c r="EH46" s="1"/>
  <c r="EE46"/>
  <c r="DP88"/>
  <c r="DQ88" s="1"/>
  <c r="DR88" s="1"/>
  <c r="DO88"/>
  <c r="E211" i="54"/>
  <c r="F210" s="1"/>
  <c r="F239" i="21"/>
  <c r="B241"/>
  <c r="E240" s="1"/>
  <c r="D239"/>
  <c r="G239"/>
  <c r="C239"/>
  <c r="J212"/>
  <c r="D48" i="22"/>
  <c r="F93" s="1"/>
  <c r="D51"/>
  <c r="AZ105" i="10"/>
  <c r="EF111" l="1"/>
  <c r="EG111" s="1"/>
  <c r="EH111" s="1"/>
  <c r="EE111"/>
  <c r="EQ137"/>
  <c r="ER137"/>
  <c r="ES137" s="1"/>
  <c r="ET137" s="1"/>
  <c r="EQ108"/>
  <c r="ER108"/>
  <c r="ES108" s="1"/>
  <c r="ET108" s="1"/>
  <c r="FH135"/>
  <c r="FI135" s="1"/>
  <c r="FJ135" s="1"/>
  <c r="FG135"/>
  <c r="DW146"/>
  <c r="DX146"/>
  <c r="DY146" s="1"/>
  <c r="DZ146" s="1"/>
  <c r="HG141"/>
  <c r="HH141"/>
  <c r="HI141" s="1"/>
  <c r="HJ141" s="1"/>
  <c r="H93" i="22"/>
  <c r="EQ74" i="10"/>
  <c r="ER74"/>
  <c r="ES74" s="1"/>
  <c r="ET74" s="1"/>
  <c r="FP75"/>
  <c r="FQ75" s="1"/>
  <c r="FR75" s="1"/>
  <c r="FO75"/>
  <c r="EI46"/>
  <c r="EJ46"/>
  <c r="EK46" s="1"/>
  <c r="EL46" s="1"/>
  <c r="FK27"/>
  <c r="FL27"/>
  <c r="FM27" s="1"/>
  <c r="FN27" s="1"/>
  <c r="FG39"/>
  <c r="FH39"/>
  <c r="FI39" s="1"/>
  <c r="FJ39" s="1"/>
  <c r="ER68"/>
  <c r="ES68" s="1"/>
  <c r="ET68" s="1"/>
  <c r="EQ68"/>
  <c r="FT29"/>
  <c r="FU29" s="1"/>
  <c r="FV29" s="1"/>
  <c r="FS29"/>
  <c r="HS35"/>
  <c r="HT35"/>
  <c r="HU35" s="1"/>
  <c r="HV35" s="1"/>
  <c r="EU6"/>
  <c r="EV6"/>
  <c r="EW6" s="1"/>
  <c r="EX6" s="1"/>
  <c r="HT38"/>
  <c r="HU38" s="1"/>
  <c r="HV38" s="1"/>
  <c r="HS38"/>
  <c r="DW100"/>
  <c r="DX100"/>
  <c r="DY100" s="1"/>
  <c r="DZ100" s="1"/>
  <c r="HH67"/>
  <c r="HI67" s="1"/>
  <c r="HJ67" s="1"/>
  <c r="HG67"/>
  <c r="DS88"/>
  <c r="DT88"/>
  <c r="DU88" s="1"/>
  <c r="DV88" s="1"/>
  <c r="HH4"/>
  <c r="HI4" s="1"/>
  <c r="HJ4" s="1"/>
  <c r="HG4"/>
  <c r="GA62"/>
  <c r="GB62"/>
  <c r="GC62" s="1"/>
  <c r="GD62" s="1"/>
  <c r="EI9"/>
  <c r="EJ9"/>
  <c r="EK9" s="1"/>
  <c r="EL9" s="1"/>
  <c r="GA36"/>
  <c r="GB36"/>
  <c r="GC36" s="1"/>
  <c r="GD36" s="1"/>
  <c r="E212" i="54"/>
  <c r="F211" s="1"/>
  <c r="D240" i="21"/>
  <c r="C240"/>
  <c r="F240"/>
  <c r="G240"/>
  <c r="B242"/>
  <c r="F241" s="1"/>
  <c r="G93" i="22"/>
  <c r="I93" s="1"/>
  <c r="E31" i="21"/>
  <c r="I35" s="1"/>
  <c r="EU137" i="10" l="1"/>
  <c r="EV137"/>
  <c r="EW137" s="1"/>
  <c r="EX137" s="1"/>
  <c r="EA146"/>
  <c r="EB146"/>
  <c r="EC146" s="1"/>
  <c r="ED146" s="1"/>
  <c r="EV108"/>
  <c r="EW108" s="1"/>
  <c r="EX108" s="1"/>
  <c r="EU108"/>
  <c r="HK141"/>
  <c r="HL141"/>
  <c r="HM141" s="1"/>
  <c r="HN141" s="1"/>
  <c r="FL135"/>
  <c r="FM135" s="1"/>
  <c r="FN135" s="1"/>
  <c r="FK135"/>
  <c r="EJ111"/>
  <c r="EK111" s="1"/>
  <c r="EL111" s="1"/>
  <c r="EI111"/>
  <c r="GF36"/>
  <c r="GG36" s="1"/>
  <c r="GH36" s="1"/>
  <c r="GE36"/>
  <c r="GE62"/>
  <c r="GF62"/>
  <c r="GG62" s="1"/>
  <c r="GH62" s="1"/>
  <c r="EB100"/>
  <c r="EC100" s="1"/>
  <c r="ED100" s="1"/>
  <c r="EA100"/>
  <c r="HX35"/>
  <c r="HY35" s="1"/>
  <c r="HZ35" s="1"/>
  <c r="HW35"/>
  <c r="FL39"/>
  <c r="FM39" s="1"/>
  <c r="FN39" s="1"/>
  <c r="FK39"/>
  <c r="FT75"/>
  <c r="FU75" s="1"/>
  <c r="FV75" s="1"/>
  <c r="FS75"/>
  <c r="HK4"/>
  <c r="HL4"/>
  <c r="HM4" s="1"/>
  <c r="HN4" s="1"/>
  <c r="HL67"/>
  <c r="HM67" s="1"/>
  <c r="HN67" s="1"/>
  <c r="HK67"/>
  <c r="HW38"/>
  <c r="HX38"/>
  <c r="HY38" s="1"/>
  <c r="HZ38" s="1"/>
  <c r="FW29"/>
  <c r="FX29"/>
  <c r="FY29" s="1"/>
  <c r="FZ29" s="1"/>
  <c r="EU74"/>
  <c r="EV74"/>
  <c r="EW74" s="1"/>
  <c r="EX74" s="1"/>
  <c r="EU68"/>
  <c r="EV68"/>
  <c r="EW68" s="1"/>
  <c r="EX68" s="1"/>
  <c r="EM9"/>
  <c r="EN9"/>
  <c r="EO9" s="1"/>
  <c r="EP9" s="1"/>
  <c r="DW88"/>
  <c r="DX88"/>
  <c r="DY88" s="1"/>
  <c r="DZ88" s="1"/>
  <c r="EZ6"/>
  <c r="FA6" s="1"/>
  <c r="FB6" s="1"/>
  <c r="EY6"/>
  <c r="FO27"/>
  <c r="FP27"/>
  <c r="FQ27" s="1"/>
  <c r="FR27" s="1"/>
  <c r="EN46"/>
  <c r="EO46" s="1"/>
  <c r="EP46" s="1"/>
  <c r="EM46"/>
  <c r="E213" i="54"/>
  <c r="F212" s="1"/>
  <c r="E241" i="21"/>
  <c r="C241"/>
  <c r="D241"/>
  <c r="B243"/>
  <c r="D242" s="1"/>
  <c r="G241"/>
  <c r="Q107" i="10"/>
  <c r="BW107" s="1"/>
  <c r="BX107" s="1"/>
  <c r="BY107" s="1"/>
  <c r="BZ107" s="1"/>
  <c r="HO141" l="1"/>
  <c r="HP141"/>
  <c r="HQ141" s="1"/>
  <c r="HR141" s="1"/>
  <c r="EF146"/>
  <c r="EG146" s="1"/>
  <c r="EH146" s="1"/>
  <c r="EE146"/>
  <c r="CB107"/>
  <c r="CC107" s="1"/>
  <c r="CD107" s="1"/>
  <c r="CA107"/>
  <c r="EM111"/>
  <c r="EN111"/>
  <c r="EO111" s="1"/>
  <c r="EP111" s="1"/>
  <c r="EY137"/>
  <c r="EZ137"/>
  <c r="FA137" s="1"/>
  <c r="FB137" s="1"/>
  <c r="FO135"/>
  <c r="FP135"/>
  <c r="FQ135" s="1"/>
  <c r="FR135" s="1"/>
  <c r="EY108"/>
  <c r="EZ108"/>
  <c r="FA108" s="1"/>
  <c r="FB108" s="1"/>
  <c r="EB88"/>
  <c r="EC88" s="1"/>
  <c r="ED88" s="1"/>
  <c r="EA88"/>
  <c r="FS27"/>
  <c r="FT27"/>
  <c r="FU27" s="1"/>
  <c r="FV27" s="1"/>
  <c r="EZ68"/>
  <c r="FA68" s="1"/>
  <c r="FB68" s="1"/>
  <c r="EY68"/>
  <c r="IA38"/>
  <c r="IB38"/>
  <c r="HP4"/>
  <c r="HQ4" s="1"/>
  <c r="HR4" s="1"/>
  <c r="HO4"/>
  <c r="GJ62"/>
  <c r="GK62" s="1"/>
  <c r="GL62" s="1"/>
  <c r="GI62"/>
  <c r="FC6"/>
  <c r="FD6"/>
  <c r="FE6" s="1"/>
  <c r="FF6" s="1"/>
  <c r="ER9"/>
  <c r="ES9" s="1"/>
  <c r="ET9" s="1"/>
  <c r="EQ9"/>
  <c r="IA35"/>
  <c r="IB35"/>
  <c r="EY74"/>
  <c r="EZ74"/>
  <c r="FA74" s="1"/>
  <c r="FB74" s="1"/>
  <c r="GB29"/>
  <c r="GC29" s="1"/>
  <c r="GD29" s="1"/>
  <c r="GA29"/>
  <c r="ER46"/>
  <c r="ES46" s="1"/>
  <c r="ET46" s="1"/>
  <c r="EQ46"/>
  <c r="HP67"/>
  <c r="HQ67" s="1"/>
  <c r="HR67" s="1"/>
  <c r="HO67"/>
  <c r="FX75"/>
  <c r="FY75" s="1"/>
  <c r="FZ75" s="1"/>
  <c r="FW75"/>
  <c r="FO39"/>
  <c r="FP39"/>
  <c r="FQ39" s="1"/>
  <c r="FR39" s="1"/>
  <c r="EF100"/>
  <c r="EG100" s="1"/>
  <c r="EH100" s="1"/>
  <c r="EE100"/>
  <c r="GJ36"/>
  <c r="GK36" s="1"/>
  <c r="GL36" s="1"/>
  <c r="GI36"/>
  <c r="E214" i="54"/>
  <c r="F213" s="1"/>
  <c r="G242" i="21"/>
  <c r="C242"/>
  <c r="E242"/>
  <c r="B244"/>
  <c r="F243" s="1"/>
  <c r="F242"/>
  <c r="H126" i="10"/>
  <c r="H140"/>
  <c r="H139"/>
  <c r="H138"/>
  <c r="H137"/>
  <c r="H136"/>
  <c r="H135"/>
  <c r="H134"/>
  <c r="H133"/>
  <c r="H132"/>
  <c r="H131"/>
  <c r="H129"/>
  <c r="H127"/>
  <c r="H125"/>
  <c r="H124"/>
  <c r="H123"/>
  <c r="H122"/>
  <c r="H146"/>
  <c r="H145"/>
  <c r="H144"/>
  <c r="H143"/>
  <c r="H142"/>
  <c r="H141"/>
  <c r="H120"/>
  <c r="H119"/>
  <c r="H118"/>
  <c r="H117"/>
  <c r="H115"/>
  <c r="H114"/>
  <c r="H113"/>
  <c r="H112"/>
  <c r="H111"/>
  <c r="H110"/>
  <c r="H109"/>
  <c r="H108"/>
  <c r="H107"/>
  <c r="H105"/>
  <c r="H104"/>
  <c r="H103"/>
  <c r="H101"/>
  <c r="H100"/>
  <c r="H98"/>
  <c r="H96"/>
  <c r="H95"/>
  <c r="H94"/>
  <c r="H93"/>
  <c r="H92"/>
  <c r="H91"/>
  <c r="H90"/>
  <c r="H89"/>
  <c r="H88"/>
  <c r="H87"/>
  <c r="H86"/>
  <c r="H85"/>
  <c r="H84"/>
  <c r="H83"/>
  <c r="H82"/>
  <c r="H81"/>
  <c r="H80"/>
  <c r="H79"/>
  <c r="H78"/>
  <c r="H77"/>
  <c r="H75"/>
  <c r="H74"/>
  <c r="H73"/>
  <c r="H72"/>
  <c r="H71"/>
  <c r="H70"/>
  <c r="H68"/>
  <c r="H67"/>
  <c r="H66"/>
  <c r="H65"/>
  <c r="H64"/>
  <c r="H63"/>
  <c r="H61"/>
  <c r="H60"/>
  <c r="H59"/>
  <c r="H58"/>
  <c r="H57"/>
  <c r="H55"/>
  <c r="H54"/>
  <c r="H53"/>
  <c r="H52"/>
  <c r="H51"/>
  <c r="H50"/>
  <c r="H48"/>
  <c r="H47"/>
  <c r="H46"/>
  <c r="H45"/>
  <c r="H44"/>
  <c r="H43"/>
  <c r="H42"/>
  <c r="H41"/>
  <c r="H40"/>
  <c r="H39"/>
  <c r="H38"/>
  <c r="H37"/>
  <c r="H36"/>
  <c r="H33"/>
  <c r="H32"/>
  <c r="H31"/>
  <c r="H29"/>
  <c r="H28"/>
  <c r="H27"/>
  <c r="H26"/>
  <c r="H25"/>
  <c r="H24"/>
  <c r="H22"/>
  <c r="H21"/>
  <c r="H20"/>
  <c r="H19"/>
  <c r="H18"/>
  <c r="H17"/>
  <c r="H16"/>
  <c r="H15"/>
  <c r="H14"/>
  <c r="H13"/>
  <c r="H12"/>
  <c r="H11"/>
  <c r="H10"/>
  <c r="H9"/>
  <c r="H8"/>
  <c r="H7"/>
  <c r="H6"/>
  <c r="H3"/>
  <c r="H2"/>
  <c r="Q26"/>
  <c r="BW26" s="1"/>
  <c r="BX26" s="1"/>
  <c r="BY26" s="1"/>
  <c r="BZ26" s="1"/>
  <c r="EI146" l="1"/>
  <c r="EJ146"/>
  <c r="EK146" s="1"/>
  <c r="EL146" s="1"/>
  <c r="FC137"/>
  <c r="FD137"/>
  <c r="FE137" s="1"/>
  <c r="FF137" s="1"/>
  <c r="FS135"/>
  <c r="FT135"/>
  <c r="FU135" s="1"/>
  <c r="FV135" s="1"/>
  <c r="CE107"/>
  <c r="CF107"/>
  <c r="CG107" s="1"/>
  <c r="CH107" s="1"/>
  <c r="HT141"/>
  <c r="HU141" s="1"/>
  <c r="HV141" s="1"/>
  <c r="HS141"/>
  <c r="FD108"/>
  <c r="FE108" s="1"/>
  <c r="FF108" s="1"/>
  <c r="FC108"/>
  <c r="ER111"/>
  <c r="ES111" s="1"/>
  <c r="ET111" s="1"/>
  <c r="EQ111"/>
  <c r="FX27"/>
  <c r="FY27" s="1"/>
  <c r="FZ27" s="1"/>
  <c r="FW27"/>
  <c r="EJ100"/>
  <c r="EK100" s="1"/>
  <c r="EL100" s="1"/>
  <c r="EI100"/>
  <c r="GA75"/>
  <c r="GB75"/>
  <c r="GC75" s="1"/>
  <c r="GD75" s="1"/>
  <c r="EV46"/>
  <c r="EW46" s="1"/>
  <c r="EX46" s="1"/>
  <c r="EU46"/>
  <c r="GM62"/>
  <c r="GN62"/>
  <c r="GO62" s="1"/>
  <c r="GP62" s="1"/>
  <c r="HT4"/>
  <c r="HU4" s="1"/>
  <c r="HV4" s="1"/>
  <c r="HS4"/>
  <c r="FT39"/>
  <c r="FU39" s="1"/>
  <c r="FV39" s="1"/>
  <c r="FS39"/>
  <c r="GN36"/>
  <c r="GO36" s="1"/>
  <c r="GP36" s="1"/>
  <c r="GM36"/>
  <c r="HS67"/>
  <c r="HT67"/>
  <c r="HU67" s="1"/>
  <c r="HV67" s="1"/>
  <c r="GE29"/>
  <c r="GF29"/>
  <c r="GG29" s="1"/>
  <c r="GH29" s="1"/>
  <c r="EV9"/>
  <c r="EW9" s="1"/>
  <c r="EX9" s="1"/>
  <c r="EU9"/>
  <c r="FD68"/>
  <c r="FE68" s="1"/>
  <c r="FF68" s="1"/>
  <c r="FC68"/>
  <c r="CA26"/>
  <c r="CB26"/>
  <c r="CC26" s="1"/>
  <c r="CD26" s="1"/>
  <c r="FC74"/>
  <c r="FD74"/>
  <c r="FE74" s="1"/>
  <c r="FF74" s="1"/>
  <c r="FG6"/>
  <c r="FH6"/>
  <c r="FI6" s="1"/>
  <c r="FJ6" s="1"/>
  <c r="EE88"/>
  <c r="EF88"/>
  <c r="EG88" s="1"/>
  <c r="EH88" s="1"/>
  <c r="E215" i="54"/>
  <c r="F214" s="1"/>
  <c r="C243" i="21"/>
  <c r="B245"/>
  <c r="E244" s="1"/>
  <c r="E243"/>
  <c r="G243"/>
  <c r="D243"/>
  <c r="L150" i="10"/>
  <c r="M150"/>
  <c r="N150"/>
  <c r="FG137" l="1"/>
  <c r="FH137"/>
  <c r="FI137" s="1"/>
  <c r="FJ137" s="1"/>
  <c r="CI107"/>
  <c r="CJ107"/>
  <c r="CK107" s="1"/>
  <c r="CL107" s="1"/>
  <c r="HW141"/>
  <c r="HX141"/>
  <c r="HY141" s="1"/>
  <c r="HZ141" s="1"/>
  <c r="FG108"/>
  <c r="FH108"/>
  <c r="FI108" s="1"/>
  <c r="FJ108" s="1"/>
  <c r="FX135"/>
  <c r="FY135" s="1"/>
  <c r="FZ135" s="1"/>
  <c r="FW135"/>
  <c r="EM146"/>
  <c r="EN146"/>
  <c r="EO146" s="1"/>
  <c r="EP146" s="1"/>
  <c r="EV111"/>
  <c r="EW111" s="1"/>
  <c r="EX111" s="1"/>
  <c r="EU111"/>
  <c r="FK6"/>
  <c r="FL6"/>
  <c r="FM6" s="1"/>
  <c r="FN6" s="1"/>
  <c r="FG74"/>
  <c r="FH74"/>
  <c r="FI74" s="1"/>
  <c r="FJ74" s="1"/>
  <c r="GI29"/>
  <c r="GJ29"/>
  <c r="GK29" s="1"/>
  <c r="GL29" s="1"/>
  <c r="FX39"/>
  <c r="FY39" s="1"/>
  <c r="FZ39" s="1"/>
  <c r="FW39"/>
  <c r="HX4"/>
  <c r="HY4" s="1"/>
  <c r="HZ4" s="1"/>
  <c r="HW4"/>
  <c r="FG68"/>
  <c r="FH68"/>
  <c r="FI68" s="1"/>
  <c r="FJ68" s="1"/>
  <c r="GR36"/>
  <c r="GS36" s="1"/>
  <c r="GT36" s="1"/>
  <c r="GQ36"/>
  <c r="GQ62"/>
  <c r="GR62"/>
  <c r="GS62" s="1"/>
  <c r="GT62" s="1"/>
  <c r="GE75"/>
  <c r="GF75"/>
  <c r="GG75" s="1"/>
  <c r="GH75" s="1"/>
  <c r="EN100"/>
  <c r="EO100" s="1"/>
  <c r="EP100" s="1"/>
  <c r="EM100"/>
  <c r="EJ88"/>
  <c r="EK88" s="1"/>
  <c r="EL88" s="1"/>
  <c r="EI88"/>
  <c r="CE26"/>
  <c r="CF26"/>
  <c r="CG26" s="1"/>
  <c r="CH26" s="1"/>
  <c r="HX67"/>
  <c r="HY67" s="1"/>
  <c r="HZ67" s="1"/>
  <c r="HW67"/>
  <c r="EY46"/>
  <c r="EZ46"/>
  <c r="FA46" s="1"/>
  <c r="FB46" s="1"/>
  <c r="EY9"/>
  <c r="EZ9"/>
  <c r="FA9" s="1"/>
  <c r="FB9" s="1"/>
  <c r="GB27"/>
  <c r="GC27" s="1"/>
  <c r="GD27" s="1"/>
  <c r="GA27"/>
  <c r="E216" i="54"/>
  <c r="F215" s="1"/>
  <c r="F244" i="21"/>
  <c r="C244"/>
  <c r="B246"/>
  <c r="E245" s="1"/>
  <c r="D244"/>
  <c r="G244"/>
  <c r="D28"/>
  <c r="BL133" i="10"/>
  <c r="BM133"/>
  <c r="BN133"/>
  <c r="BO133"/>
  <c r="EZ111" l="1"/>
  <c r="FA111" s="1"/>
  <c r="FB111" s="1"/>
  <c r="EY111"/>
  <c r="EQ146"/>
  <c r="ER146"/>
  <c r="ES146" s="1"/>
  <c r="ET146" s="1"/>
  <c r="IA141"/>
  <c r="IB141"/>
  <c r="FL137"/>
  <c r="FM137" s="1"/>
  <c r="FN137" s="1"/>
  <c r="FK137"/>
  <c r="FK108"/>
  <c r="FL108"/>
  <c r="FM108" s="1"/>
  <c r="FN108" s="1"/>
  <c r="GB135"/>
  <c r="GC135" s="1"/>
  <c r="GD135" s="1"/>
  <c r="GA135"/>
  <c r="CM107"/>
  <c r="CN107"/>
  <c r="CO107" s="1"/>
  <c r="CP107" s="1"/>
  <c r="GB39"/>
  <c r="GC39" s="1"/>
  <c r="GD39" s="1"/>
  <c r="GA39"/>
  <c r="GU62"/>
  <c r="GV62"/>
  <c r="GW62" s="1"/>
  <c r="GX62" s="1"/>
  <c r="FK68"/>
  <c r="FL68"/>
  <c r="FM68" s="1"/>
  <c r="FN68" s="1"/>
  <c r="GE27"/>
  <c r="GF27"/>
  <c r="GG27" s="1"/>
  <c r="GH27" s="1"/>
  <c r="IB67"/>
  <c r="IA67"/>
  <c r="GI75"/>
  <c r="GJ75"/>
  <c r="GK75" s="1"/>
  <c r="GL75" s="1"/>
  <c r="FD46"/>
  <c r="FE46" s="1"/>
  <c r="FF46" s="1"/>
  <c r="FC46"/>
  <c r="CI26"/>
  <c r="CJ26"/>
  <c r="CK26" s="1"/>
  <c r="CL26" s="1"/>
  <c r="ER100"/>
  <c r="ES100" s="1"/>
  <c r="ET100" s="1"/>
  <c r="EQ100"/>
  <c r="IB4"/>
  <c r="IA4"/>
  <c r="GN29"/>
  <c r="GO29" s="1"/>
  <c r="GP29" s="1"/>
  <c r="GM29"/>
  <c r="FK74"/>
  <c r="FL74"/>
  <c r="FM74" s="1"/>
  <c r="FN74" s="1"/>
  <c r="FD9"/>
  <c r="FE9" s="1"/>
  <c r="FF9" s="1"/>
  <c r="FC9"/>
  <c r="EN88"/>
  <c r="EO88" s="1"/>
  <c r="EP88" s="1"/>
  <c r="EM88"/>
  <c r="GV36"/>
  <c r="GW36" s="1"/>
  <c r="GX36" s="1"/>
  <c r="GU36"/>
  <c r="FO6"/>
  <c r="FP6"/>
  <c r="FQ6" s="1"/>
  <c r="FR6" s="1"/>
  <c r="E217" i="54"/>
  <c r="F216" s="1"/>
  <c r="B247" i="21"/>
  <c r="E246" s="1"/>
  <c r="G245"/>
  <c r="D245"/>
  <c r="C245"/>
  <c r="F245"/>
  <c r="BD83" i="10"/>
  <c r="AV282"/>
  <c r="AX283" s="1"/>
  <c r="AX284" s="1"/>
  <c r="AX285" s="1"/>
  <c r="AZ429"/>
  <c r="GE135" l="1"/>
  <c r="GF135"/>
  <c r="GG135" s="1"/>
  <c r="GH135" s="1"/>
  <c r="CR107"/>
  <c r="CS107" s="1"/>
  <c r="CT107" s="1"/>
  <c r="CQ107"/>
  <c r="FO108"/>
  <c r="FP108"/>
  <c r="FQ108" s="1"/>
  <c r="FR108" s="1"/>
  <c r="FO137"/>
  <c r="FP137"/>
  <c r="FQ137" s="1"/>
  <c r="FR137" s="1"/>
  <c r="EU146"/>
  <c r="EV146"/>
  <c r="EW146" s="1"/>
  <c r="EX146" s="1"/>
  <c r="FD111"/>
  <c r="FE111" s="1"/>
  <c r="FF111" s="1"/>
  <c r="FC111"/>
  <c r="GE39"/>
  <c r="GF39"/>
  <c r="GG39" s="1"/>
  <c r="GH39" s="1"/>
  <c r="FT6"/>
  <c r="FU6" s="1"/>
  <c r="FV6" s="1"/>
  <c r="FS6"/>
  <c r="FG9"/>
  <c r="FH9"/>
  <c r="FI9" s="1"/>
  <c r="FJ9" s="1"/>
  <c r="GY62"/>
  <c r="GZ62"/>
  <c r="HA62" s="1"/>
  <c r="HB62" s="1"/>
  <c r="GZ36"/>
  <c r="HA36" s="1"/>
  <c r="HB36" s="1"/>
  <c r="GY36"/>
  <c r="CM26"/>
  <c r="CN26"/>
  <c r="CO26" s="1"/>
  <c r="CP26" s="1"/>
  <c r="GQ29"/>
  <c r="GR29"/>
  <c r="GS29" s="1"/>
  <c r="GT29" s="1"/>
  <c r="EQ88"/>
  <c r="ER88"/>
  <c r="ES88" s="1"/>
  <c r="ET88" s="1"/>
  <c r="FP74"/>
  <c r="FQ74" s="1"/>
  <c r="FR74" s="1"/>
  <c r="FO74"/>
  <c r="GN75"/>
  <c r="GO75" s="1"/>
  <c r="GP75" s="1"/>
  <c r="GM75"/>
  <c r="GJ27"/>
  <c r="GK27" s="1"/>
  <c r="GL27" s="1"/>
  <c r="GI27"/>
  <c r="EV100"/>
  <c r="EW100" s="1"/>
  <c r="EX100" s="1"/>
  <c r="EU100"/>
  <c r="FG46"/>
  <c r="FH46"/>
  <c r="FI46" s="1"/>
  <c r="FJ46" s="1"/>
  <c r="FO68"/>
  <c r="FP68"/>
  <c r="FQ68" s="1"/>
  <c r="FR68" s="1"/>
  <c r="E218" i="54"/>
  <c r="F217" s="1"/>
  <c r="F246" i="21"/>
  <c r="D246"/>
  <c r="G246"/>
  <c r="B248"/>
  <c r="F247" s="1"/>
  <c r="C246"/>
  <c r="AT116" i="10"/>
  <c r="AX116"/>
  <c r="AZ428"/>
  <c r="AZ431"/>
  <c r="AZ430"/>
  <c r="AZ437"/>
  <c r="AZ439"/>
  <c r="AZ438"/>
  <c r="Q58"/>
  <c r="BW58" s="1"/>
  <c r="BX58" s="1"/>
  <c r="BY58" s="1"/>
  <c r="BZ58" s="1"/>
  <c r="F188"/>
  <c r="EY146" l="1"/>
  <c r="EZ146"/>
  <c r="FA146" s="1"/>
  <c r="FB146" s="1"/>
  <c r="CV107"/>
  <c r="CW107" s="1"/>
  <c r="CX107" s="1"/>
  <c r="CU107"/>
  <c r="FH111"/>
  <c r="FI111" s="1"/>
  <c r="FJ111" s="1"/>
  <c r="FG111"/>
  <c r="FT137"/>
  <c r="FU137" s="1"/>
  <c r="FV137" s="1"/>
  <c r="FS137"/>
  <c r="FS108"/>
  <c r="FT108"/>
  <c r="FU108" s="1"/>
  <c r="FV108" s="1"/>
  <c r="GI135"/>
  <c r="GJ135"/>
  <c r="GK135" s="1"/>
  <c r="GL135" s="1"/>
  <c r="GI39"/>
  <c r="GJ39"/>
  <c r="GK39" s="1"/>
  <c r="GL39" s="1"/>
  <c r="FK46"/>
  <c r="FL46"/>
  <c r="FM46" s="1"/>
  <c r="FN46" s="1"/>
  <c r="EU88"/>
  <c r="EV88"/>
  <c r="EW88" s="1"/>
  <c r="EX88" s="1"/>
  <c r="CQ26"/>
  <c r="CR26"/>
  <c r="CS26" s="1"/>
  <c r="CT26" s="1"/>
  <c r="FT68"/>
  <c r="FU68" s="1"/>
  <c r="FV68" s="1"/>
  <c r="FS68"/>
  <c r="GQ75"/>
  <c r="GR75"/>
  <c r="GS75" s="1"/>
  <c r="GT75" s="1"/>
  <c r="CA58"/>
  <c r="CB58"/>
  <c r="CC58" s="1"/>
  <c r="CD58" s="1"/>
  <c r="GV29"/>
  <c r="GW29" s="1"/>
  <c r="GX29" s="1"/>
  <c r="GU29"/>
  <c r="HC62"/>
  <c r="HD62"/>
  <c r="HE62" s="1"/>
  <c r="HF62" s="1"/>
  <c r="FW6"/>
  <c r="FX6"/>
  <c r="FY6" s="1"/>
  <c r="FZ6" s="1"/>
  <c r="EY100"/>
  <c r="EZ100"/>
  <c r="FA100" s="1"/>
  <c r="FB100" s="1"/>
  <c r="GN27"/>
  <c r="GO27" s="1"/>
  <c r="GP27" s="1"/>
  <c r="GM27"/>
  <c r="FS74"/>
  <c r="FT74"/>
  <c r="FU74" s="1"/>
  <c r="FV74" s="1"/>
  <c r="HD36"/>
  <c r="HE36" s="1"/>
  <c r="HF36" s="1"/>
  <c r="HC36"/>
  <c r="FK9"/>
  <c r="FL9"/>
  <c r="FM9" s="1"/>
  <c r="FN9" s="1"/>
  <c r="E219" i="54"/>
  <c r="F218" s="1"/>
  <c r="G247" i="21"/>
  <c r="C247"/>
  <c r="B249"/>
  <c r="F248" s="1"/>
  <c r="D247"/>
  <c r="E247"/>
  <c r="G188" i="10"/>
  <c r="F190"/>
  <c r="H62"/>
  <c r="N149" s="1"/>
  <c r="N62"/>
  <c r="G6" i="14"/>
  <c r="H6"/>
  <c r="I6"/>
  <c r="J6"/>
  <c r="F6"/>
  <c r="G3"/>
  <c r="H3"/>
  <c r="I3"/>
  <c r="J3"/>
  <c r="BD59" i="10"/>
  <c r="BD60"/>
  <c r="BD128" l="1"/>
  <c r="BC135"/>
  <c r="BD84"/>
  <c r="BH84" s="1"/>
  <c r="CY107"/>
  <c r="CZ107"/>
  <c r="DA107" s="1"/>
  <c r="DB107" s="1"/>
  <c r="GN135"/>
  <c r="GO135" s="1"/>
  <c r="GP135" s="1"/>
  <c r="GM135"/>
  <c r="FW108"/>
  <c r="FX108"/>
  <c r="FY108" s="1"/>
  <c r="FZ108" s="1"/>
  <c r="FK111"/>
  <c r="FL111"/>
  <c r="FM111" s="1"/>
  <c r="FN111" s="1"/>
  <c r="FD146"/>
  <c r="FE146" s="1"/>
  <c r="FF146" s="1"/>
  <c r="FC146"/>
  <c r="FW137"/>
  <c r="FX137"/>
  <c r="FY137" s="1"/>
  <c r="FZ137" s="1"/>
  <c r="FP9"/>
  <c r="FQ9" s="1"/>
  <c r="FR9" s="1"/>
  <c r="FO9"/>
  <c r="FW74"/>
  <c r="FX74"/>
  <c r="FY74" s="1"/>
  <c r="FZ74" s="1"/>
  <c r="FD100"/>
  <c r="FE100" s="1"/>
  <c r="FF100" s="1"/>
  <c r="FC100"/>
  <c r="HG62"/>
  <c r="HH62"/>
  <c r="HI62" s="1"/>
  <c r="HJ62" s="1"/>
  <c r="GY29"/>
  <c r="GZ29"/>
  <c r="HA29" s="1"/>
  <c r="HB29" s="1"/>
  <c r="GB6"/>
  <c r="GC6" s="1"/>
  <c r="GD6" s="1"/>
  <c r="GA6"/>
  <c r="FX68"/>
  <c r="FY68" s="1"/>
  <c r="FZ68" s="1"/>
  <c r="FW68"/>
  <c r="EY88"/>
  <c r="EZ88"/>
  <c r="FA88" s="1"/>
  <c r="FB88" s="1"/>
  <c r="FO46"/>
  <c r="FP46"/>
  <c r="FQ46" s="1"/>
  <c r="FR46" s="1"/>
  <c r="GN39"/>
  <c r="GO39" s="1"/>
  <c r="GP39" s="1"/>
  <c r="GM39"/>
  <c r="CE58"/>
  <c r="CF58"/>
  <c r="CG58" s="1"/>
  <c r="CH58" s="1"/>
  <c r="HH36"/>
  <c r="HI36" s="1"/>
  <c r="HJ36" s="1"/>
  <c r="HG36"/>
  <c r="GQ27"/>
  <c r="GR27"/>
  <c r="GS27" s="1"/>
  <c r="GT27" s="1"/>
  <c r="GU75"/>
  <c r="GV75"/>
  <c r="GW75" s="1"/>
  <c r="GX75" s="1"/>
  <c r="CV26"/>
  <c r="CW26" s="1"/>
  <c r="CX26" s="1"/>
  <c r="CU26"/>
  <c r="E220" i="54"/>
  <c r="F219" s="1"/>
  <c r="E248" i="21"/>
  <c r="B250"/>
  <c r="D249" s="1"/>
  <c r="C248"/>
  <c r="D248"/>
  <c r="G248"/>
  <c r="L149" i="10"/>
  <c r="M149"/>
  <c r="K6" i="14"/>
  <c r="L6" s="1"/>
  <c r="GB108" i="10" l="1"/>
  <c r="GC108" s="1"/>
  <c r="GD108" s="1"/>
  <c r="GA108"/>
  <c r="GR135"/>
  <c r="GS135" s="1"/>
  <c r="GT135" s="1"/>
  <c r="GQ135"/>
  <c r="FH146"/>
  <c r="FI146" s="1"/>
  <c r="FJ146" s="1"/>
  <c r="FG146"/>
  <c r="DD107"/>
  <c r="DE107" s="1"/>
  <c r="DF107" s="1"/>
  <c r="DC107"/>
  <c r="GA137"/>
  <c r="GB137"/>
  <c r="GC137" s="1"/>
  <c r="GD137" s="1"/>
  <c r="FO111"/>
  <c r="FP111"/>
  <c r="FQ111" s="1"/>
  <c r="FR111" s="1"/>
  <c r="HL62"/>
  <c r="HM62" s="1"/>
  <c r="HN62" s="1"/>
  <c r="HK62"/>
  <c r="HL36"/>
  <c r="HM36" s="1"/>
  <c r="HN36" s="1"/>
  <c r="HK36"/>
  <c r="GQ39"/>
  <c r="GR39"/>
  <c r="GS39" s="1"/>
  <c r="GT39" s="1"/>
  <c r="FT9"/>
  <c r="FU9" s="1"/>
  <c r="FV9" s="1"/>
  <c r="FS9"/>
  <c r="GY75"/>
  <c r="GZ75"/>
  <c r="HA75" s="1"/>
  <c r="HB75" s="1"/>
  <c r="FG100"/>
  <c r="FH100"/>
  <c r="FI100" s="1"/>
  <c r="FJ100" s="1"/>
  <c r="CY26"/>
  <c r="CZ26"/>
  <c r="DA26" s="1"/>
  <c r="DB26" s="1"/>
  <c r="FD88"/>
  <c r="FE88" s="1"/>
  <c r="FF88" s="1"/>
  <c r="FC88"/>
  <c r="GF6"/>
  <c r="GG6" s="1"/>
  <c r="GH6" s="1"/>
  <c r="GE6"/>
  <c r="GA74"/>
  <c r="GB74"/>
  <c r="GC74" s="1"/>
  <c r="GD74" s="1"/>
  <c r="GU27"/>
  <c r="GV27"/>
  <c r="GW27" s="1"/>
  <c r="GX27" s="1"/>
  <c r="CI58"/>
  <c r="CJ58"/>
  <c r="CK58" s="1"/>
  <c r="CL58" s="1"/>
  <c r="FT46"/>
  <c r="FU46" s="1"/>
  <c r="FV46" s="1"/>
  <c r="FS46"/>
  <c r="GB68"/>
  <c r="GC68" s="1"/>
  <c r="GD68" s="1"/>
  <c r="GA68"/>
  <c r="HC29"/>
  <c r="HD29"/>
  <c r="HE29" s="1"/>
  <c r="HF29" s="1"/>
  <c r="E221" i="54"/>
  <c r="F220" s="1"/>
  <c r="F249" i="21"/>
  <c r="E249"/>
  <c r="G249"/>
  <c r="B251"/>
  <c r="D250" s="1"/>
  <c r="C249"/>
  <c r="M6" i="14"/>
  <c r="T6" s="1"/>
  <c r="N6"/>
  <c r="P6"/>
  <c r="W6" s="1"/>
  <c r="O6"/>
  <c r="V6" s="1"/>
  <c r="Q98" i="10"/>
  <c r="BW98" s="1"/>
  <c r="BX98" s="1"/>
  <c r="BY98" s="1"/>
  <c r="BZ98" s="1"/>
  <c r="GE137" l="1"/>
  <c r="GF137"/>
  <c r="GG137" s="1"/>
  <c r="GH137" s="1"/>
  <c r="DH107"/>
  <c r="DI107" s="1"/>
  <c r="DJ107" s="1"/>
  <c r="DG107"/>
  <c r="GU135"/>
  <c r="GV135"/>
  <c r="GW135" s="1"/>
  <c r="GX135" s="1"/>
  <c r="FS111"/>
  <c r="FT111"/>
  <c r="FU111" s="1"/>
  <c r="FV111" s="1"/>
  <c r="FL146"/>
  <c r="FM146" s="1"/>
  <c r="FN146" s="1"/>
  <c r="FK146"/>
  <c r="GF108"/>
  <c r="GG108" s="1"/>
  <c r="GH108" s="1"/>
  <c r="GE108"/>
  <c r="GF68"/>
  <c r="GG68" s="1"/>
  <c r="GH68" s="1"/>
  <c r="GE68"/>
  <c r="GJ6"/>
  <c r="GK6" s="1"/>
  <c r="GL6" s="1"/>
  <c r="GI6"/>
  <c r="GU39"/>
  <c r="GV39"/>
  <c r="GW39" s="1"/>
  <c r="GX39" s="1"/>
  <c r="HG29"/>
  <c r="HH29"/>
  <c r="HI29" s="1"/>
  <c r="HJ29" s="1"/>
  <c r="FL100"/>
  <c r="FM100" s="1"/>
  <c r="FN100" s="1"/>
  <c r="FK100"/>
  <c r="FW9"/>
  <c r="FX9"/>
  <c r="FY9" s="1"/>
  <c r="FZ9" s="1"/>
  <c r="HP62"/>
  <c r="HQ62" s="1"/>
  <c r="HR62" s="1"/>
  <c r="HO62"/>
  <c r="CA98"/>
  <c r="CB98"/>
  <c r="CC98" s="1"/>
  <c r="CD98" s="1"/>
  <c r="FX46"/>
  <c r="FY46" s="1"/>
  <c r="FZ46" s="1"/>
  <c r="FW46"/>
  <c r="FH88"/>
  <c r="FI88" s="1"/>
  <c r="FJ88" s="1"/>
  <c r="FG88"/>
  <c r="HC75"/>
  <c r="HD75"/>
  <c r="HE75" s="1"/>
  <c r="HF75" s="1"/>
  <c r="CM58"/>
  <c r="CN58"/>
  <c r="CO58" s="1"/>
  <c r="CP58" s="1"/>
  <c r="GY27"/>
  <c r="GZ27"/>
  <c r="HA27" s="1"/>
  <c r="HB27" s="1"/>
  <c r="GE74"/>
  <c r="GF74"/>
  <c r="GG74" s="1"/>
  <c r="GH74" s="1"/>
  <c r="DD26"/>
  <c r="DE26" s="1"/>
  <c r="DF26" s="1"/>
  <c r="DC26"/>
  <c r="HP36"/>
  <c r="HQ36" s="1"/>
  <c r="HR36" s="1"/>
  <c r="HO36"/>
  <c r="E222" i="54"/>
  <c r="F221" s="1"/>
  <c r="E250" i="21"/>
  <c r="G250"/>
  <c r="B252"/>
  <c r="G251" s="1"/>
  <c r="F250"/>
  <c r="C250"/>
  <c r="Q6" i="14"/>
  <c r="R6" s="1"/>
  <c r="U6" s="1"/>
  <c r="BX16" i="21"/>
  <c r="CE16"/>
  <c r="CH16" s="1"/>
  <c r="CP13"/>
  <c r="CR13" s="1"/>
  <c r="CW13"/>
  <c r="CZ13" s="1"/>
  <c r="AU396" i="10"/>
  <c r="DL107" l="1"/>
  <c r="DM107" s="1"/>
  <c r="DN107" s="1"/>
  <c r="DK107"/>
  <c r="GJ108"/>
  <c r="GK108" s="1"/>
  <c r="GL108" s="1"/>
  <c r="GI108"/>
  <c r="GY135"/>
  <c r="GZ135"/>
  <c r="HA135" s="1"/>
  <c r="HB135" s="1"/>
  <c r="FP146"/>
  <c r="FQ146" s="1"/>
  <c r="FR146" s="1"/>
  <c r="FO146"/>
  <c r="GJ137"/>
  <c r="GK137" s="1"/>
  <c r="GL137" s="1"/>
  <c r="GI137"/>
  <c r="FX111"/>
  <c r="FY111" s="1"/>
  <c r="FZ111" s="1"/>
  <c r="FW111"/>
  <c r="GN6"/>
  <c r="GO6" s="1"/>
  <c r="GP6" s="1"/>
  <c r="GM6"/>
  <c r="DH26"/>
  <c r="DI26" s="1"/>
  <c r="DJ26" s="1"/>
  <c r="DG26"/>
  <c r="GY39"/>
  <c r="GZ39"/>
  <c r="HA39" s="1"/>
  <c r="HB39" s="1"/>
  <c r="HC27"/>
  <c r="HD27"/>
  <c r="HE27" s="1"/>
  <c r="HF27" s="1"/>
  <c r="HG75"/>
  <c r="HH75"/>
  <c r="HI75" s="1"/>
  <c r="HJ75" s="1"/>
  <c r="HS36"/>
  <c r="HT36"/>
  <c r="HU36" s="1"/>
  <c r="HV36" s="1"/>
  <c r="GJ74"/>
  <c r="GK74" s="1"/>
  <c r="GL74" s="1"/>
  <c r="GI74"/>
  <c r="CR58"/>
  <c r="CS58" s="1"/>
  <c r="CT58" s="1"/>
  <c r="CQ58"/>
  <c r="GB46"/>
  <c r="GC46" s="1"/>
  <c r="GD46" s="1"/>
  <c r="GA46"/>
  <c r="HT62"/>
  <c r="HU62" s="1"/>
  <c r="HV62" s="1"/>
  <c r="HS62"/>
  <c r="FO100"/>
  <c r="FP100"/>
  <c r="FQ100" s="1"/>
  <c r="FR100" s="1"/>
  <c r="FK88"/>
  <c r="FL88"/>
  <c r="FM88" s="1"/>
  <c r="FN88" s="1"/>
  <c r="CF98"/>
  <c r="CG98" s="1"/>
  <c r="CH98" s="1"/>
  <c r="CE98"/>
  <c r="GA9"/>
  <c r="GB9"/>
  <c r="GC9" s="1"/>
  <c r="GD9" s="1"/>
  <c r="HK29"/>
  <c r="HL29"/>
  <c r="HM29" s="1"/>
  <c r="HN29" s="1"/>
  <c r="GI68"/>
  <c r="GJ68"/>
  <c r="GK68" s="1"/>
  <c r="GL68" s="1"/>
  <c r="E223" i="54"/>
  <c r="F222" s="1"/>
  <c r="D251" i="21"/>
  <c r="E251"/>
  <c r="C251"/>
  <c r="B253"/>
  <c r="C252" s="1"/>
  <c r="F251"/>
  <c r="BZ16"/>
  <c r="S6" i="14"/>
  <c r="X6" s="1"/>
  <c r="CF16" i="21"/>
  <c r="CG16" s="1"/>
  <c r="CD16"/>
  <c r="CV13"/>
  <c r="CX13"/>
  <c r="CY13" s="1"/>
  <c r="AB219" i="10"/>
  <c r="AC219"/>
  <c r="AC214"/>
  <c r="GN137" l="1"/>
  <c r="GO137" s="1"/>
  <c r="GP137" s="1"/>
  <c r="GM137"/>
  <c r="GB111"/>
  <c r="GC111" s="1"/>
  <c r="GD111" s="1"/>
  <c r="GA111"/>
  <c r="FS146"/>
  <c r="FT146"/>
  <c r="FU146" s="1"/>
  <c r="FV146" s="1"/>
  <c r="GM108"/>
  <c r="GN108"/>
  <c r="GO108" s="1"/>
  <c r="GP108" s="1"/>
  <c r="HD135"/>
  <c r="HE135" s="1"/>
  <c r="HF135" s="1"/>
  <c r="HC135"/>
  <c r="DO107"/>
  <c r="DP107"/>
  <c r="DQ107" s="1"/>
  <c r="DR107" s="1"/>
  <c r="GM68"/>
  <c r="GN68"/>
  <c r="GO68" s="1"/>
  <c r="GP68" s="1"/>
  <c r="GE9"/>
  <c r="GF9"/>
  <c r="GG9" s="1"/>
  <c r="GH9" s="1"/>
  <c r="HW36"/>
  <c r="HX36"/>
  <c r="HY36" s="1"/>
  <c r="HZ36" s="1"/>
  <c r="HH27"/>
  <c r="HI27" s="1"/>
  <c r="HJ27" s="1"/>
  <c r="HG27"/>
  <c r="HW62"/>
  <c r="HX62"/>
  <c r="HY62" s="1"/>
  <c r="HZ62" s="1"/>
  <c r="CV58"/>
  <c r="CW58" s="1"/>
  <c r="CX58" s="1"/>
  <c r="CU58"/>
  <c r="DK26"/>
  <c r="DL26"/>
  <c r="DM26" s="1"/>
  <c r="DN26" s="1"/>
  <c r="CI98"/>
  <c r="CJ98"/>
  <c r="CK98" s="1"/>
  <c r="CL98" s="1"/>
  <c r="FP88"/>
  <c r="FQ88" s="1"/>
  <c r="FR88" s="1"/>
  <c r="FO88"/>
  <c r="GF46"/>
  <c r="GG46" s="1"/>
  <c r="GH46" s="1"/>
  <c r="GE46"/>
  <c r="GM74"/>
  <c r="GN74"/>
  <c r="GO74" s="1"/>
  <c r="GP74" s="1"/>
  <c r="GQ6"/>
  <c r="GR6"/>
  <c r="GS6" s="1"/>
  <c r="GT6" s="1"/>
  <c r="HO29"/>
  <c r="HP29"/>
  <c r="HQ29" s="1"/>
  <c r="HR29" s="1"/>
  <c r="FT100"/>
  <c r="FU100" s="1"/>
  <c r="FV100" s="1"/>
  <c r="FS100"/>
  <c r="HK75"/>
  <c r="HL75"/>
  <c r="HM75" s="1"/>
  <c r="HN75" s="1"/>
  <c r="HD39"/>
  <c r="HE39" s="1"/>
  <c r="HF39" s="1"/>
  <c r="HC39"/>
  <c r="E224" i="54"/>
  <c r="F223" s="1"/>
  <c r="F252" i="21"/>
  <c r="E252"/>
  <c r="D252"/>
  <c r="B254"/>
  <c r="E253" s="1"/>
  <c r="G252"/>
  <c r="AB216" i="10"/>
  <c r="AY428"/>
  <c r="AY430"/>
  <c r="AY431"/>
  <c r="AY437"/>
  <c r="AY438"/>
  <c r="AY439"/>
  <c r="AX433"/>
  <c r="AX434"/>
  <c r="FW146" l="1"/>
  <c r="FX146"/>
  <c r="FY146" s="1"/>
  <c r="FZ146" s="1"/>
  <c r="HH135"/>
  <c r="HI135" s="1"/>
  <c r="HJ135" s="1"/>
  <c r="HG135"/>
  <c r="GF111"/>
  <c r="GG111" s="1"/>
  <c r="GH111" s="1"/>
  <c r="GE111"/>
  <c r="DS107"/>
  <c r="DT107"/>
  <c r="DU107" s="1"/>
  <c r="DV107" s="1"/>
  <c r="GR108"/>
  <c r="GS108" s="1"/>
  <c r="GT108" s="1"/>
  <c r="GQ108"/>
  <c r="GQ137"/>
  <c r="GR137"/>
  <c r="GS137" s="1"/>
  <c r="GT137" s="1"/>
  <c r="CN98"/>
  <c r="CO98" s="1"/>
  <c r="CP98" s="1"/>
  <c r="CM98"/>
  <c r="GU6"/>
  <c r="GV6"/>
  <c r="GW6" s="1"/>
  <c r="GX6" s="1"/>
  <c r="CY58"/>
  <c r="CZ58"/>
  <c r="DA58" s="1"/>
  <c r="DB58" s="1"/>
  <c r="FX100"/>
  <c r="FY100" s="1"/>
  <c r="FZ100" s="1"/>
  <c r="FW100"/>
  <c r="GQ74"/>
  <c r="GR74"/>
  <c r="GS74" s="1"/>
  <c r="GT74" s="1"/>
  <c r="IA62"/>
  <c r="IB62"/>
  <c r="IA36"/>
  <c r="IB36"/>
  <c r="HT29"/>
  <c r="HU29" s="1"/>
  <c r="HV29" s="1"/>
  <c r="HS29"/>
  <c r="FT88"/>
  <c r="FU88" s="1"/>
  <c r="FV88" s="1"/>
  <c r="FS88"/>
  <c r="HK27"/>
  <c r="HL27"/>
  <c r="HM27" s="1"/>
  <c r="HN27" s="1"/>
  <c r="HO75"/>
  <c r="HP75"/>
  <c r="HQ75" s="1"/>
  <c r="HR75" s="1"/>
  <c r="GI46"/>
  <c r="GJ46"/>
  <c r="GK46" s="1"/>
  <c r="GL46" s="1"/>
  <c r="DO26"/>
  <c r="DP26"/>
  <c r="DQ26" s="1"/>
  <c r="DR26" s="1"/>
  <c r="GQ68"/>
  <c r="GR68"/>
  <c r="GS68" s="1"/>
  <c r="GT68" s="1"/>
  <c r="HH39"/>
  <c r="HI39" s="1"/>
  <c r="HJ39" s="1"/>
  <c r="HG39"/>
  <c r="GI9"/>
  <c r="GJ9"/>
  <c r="GK9" s="1"/>
  <c r="GL9" s="1"/>
  <c r="E225" i="54"/>
  <c r="F224" s="1"/>
  <c r="F253" i="21"/>
  <c r="B255"/>
  <c r="E254" s="1"/>
  <c r="D253"/>
  <c r="C253"/>
  <c r="G253"/>
  <c r="AW434" i="10"/>
  <c r="AY434" s="1"/>
  <c r="AW433"/>
  <c r="AY433" s="1"/>
  <c r="Q57"/>
  <c r="BW57" s="1"/>
  <c r="BX57" s="1"/>
  <c r="BY57" s="1"/>
  <c r="BZ57" s="1"/>
  <c r="Q60"/>
  <c r="BW60" s="1"/>
  <c r="BX60" s="1"/>
  <c r="BY60" s="1"/>
  <c r="BZ60" s="1"/>
  <c r="CE18" i="21"/>
  <c r="CD18" s="1"/>
  <c r="CE17"/>
  <c r="CD17" s="1"/>
  <c r="CE19"/>
  <c r="CD19" s="1"/>
  <c r="CE20"/>
  <c r="CD20" s="1"/>
  <c r="CE21"/>
  <c r="CD21" s="1"/>
  <c r="CE22"/>
  <c r="CD22" s="1"/>
  <c r="CE23"/>
  <c r="CD23" s="1"/>
  <c r="CE24"/>
  <c r="CD24" s="1"/>
  <c r="CE25"/>
  <c r="CD25" s="1"/>
  <c r="CE26"/>
  <c r="CD26" s="1"/>
  <c r="CE27"/>
  <c r="CD27" s="1"/>
  <c r="CE28"/>
  <c r="CD28" s="1"/>
  <c r="CE29"/>
  <c r="CD29" s="1"/>
  <c r="CE30"/>
  <c r="CD30" s="1"/>
  <c r="CE31"/>
  <c r="CD31" s="1"/>
  <c r="CE32"/>
  <c r="CD32" s="1"/>
  <c r="CE33"/>
  <c r="CD33" s="1"/>
  <c r="CE34"/>
  <c r="CD34" s="1"/>
  <c r="CE35"/>
  <c r="CD35" s="1"/>
  <c r="CE36"/>
  <c r="CD36" s="1"/>
  <c r="CE37"/>
  <c r="CD37" s="1"/>
  <c r="CE38"/>
  <c r="CD38" s="1"/>
  <c r="CE39"/>
  <c r="CD39" s="1"/>
  <c r="CE40"/>
  <c r="CD40" s="1"/>
  <c r="CE41"/>
  <c r="CD41" s="1"/>
  <c r="CE42"/>
  <c r="CD42" s="1"/>
  <c r="CE43"/>
  <c r="CD43" s="1"/>
  <c r="DP14"/>
  <c r="DQ14" s="1"/>
  <c r="HK135" i="10" l="1"/>
  <c r="HL135"/>
  <c r="HM135" s="1"/>
  <c r="HN135" s="1"/>
  <c r="GV108"/>
  <c r="GW108" s="1"/>
  <c r="GX108" s="1"/>
  <c r="GU108"/>
  <c r="GA146"/>
  <c r="GB146"/>
  <c r="GC146" s="1"/>
  <c r="GD146" s="1"/>
  <c r="GU137"/>
  <c r="GV137"/>
  <c r="GW137" s="1"/>
  <c r="GX137" s="1"/>
  <c r="DW107"/>
  <c r="DX107"/>
  <c r="DY107" s="1"/>
  <c r="DZ107" s="1"/>
  <c r="GI111"/>
  <c r="GJ111"/>
  <c r="GK111" s="1"/>
  <c r="GL111" s="1"/>
  <c r="FX88"/>
  <c r="FY88" s="1"/>
  <c r="FZ88" s="1"/>
  <c r="FW88"/>
  <c r="GB100"/>
  <c r="GC100" s="1"/>
  <c r="GD100" s="1"/>
  <c r="GA100"/>
  <c r="GN46"/>
  <c r="GO46" s="1"/>
  <c r="GP46" s="1"/>
  <c r="GM46"/>
  <c r="CB60"/>
  <c r="CC60" s="1"/>
  <c r="CD60" s="1"/>
  <c r="CA60"/>
  <c r="GN9"/>
  <c r="GO9" s="1"/>
  <c r="GP9" s="1"/>
  <c r="GM9"/>
  <c r="GU68"/>
  <c r="GV68"/>
  <c r="GW68" s="1"/>
  <c r="GX68" s="1"/>
  <c r="HS75"/>
  <c r="HT75"/>
  <c r="HU75" s="1"/>
  <c r="HV75" s="1"/>
  <c r="GZ6"/>
  <c r="HA6" s="1"/>
  <c r="HB6" s="1"/>
  <c r="GY6"/>
  <c r="CB57"/>
  <c r="CC57" s="1"/>
  <c r="CD57" s="1"/>
  <c r="CA57"/>
  <c r="DS26"/>
  <c r="DT26"/>
  <c r="DU26" s="1"/>
  <c r="DV26" s="1"/>
  <c r="HO27"/>
  <c r="HP27"/>
  <c r="HQ27" s="1"/>
  <c r="HR27" s="1"/>
  <c r="GU74"/>
  <c r="GV74"/>
  <c r="GW74" s="1"/>
  <c r="GX74" s="1"/>
  <c r="DC58"/>
  <c r="DD58"/>
  <c r="DE58" s="1"/>
  <c r="DF58" s="1"/>
  <c r="CQ98"/>
  <c r="CR98"/>
  <c r="CS98" s="1"/>
  <c r="CT98" s="1"/>
  <c r="HK39"/>
  <c r="HL39"/>
  <c r="HM39" s="1"/>
  <c r="HN39" s="1"/>
  <c r="HW29"/>
  <c r="HX29"/>
  <c r="HY29" s="1"/>
  <c r="HZ29" s="1"/>
  <c r="F254" i="21"/>
  <c r="E226" i="54"/>
  <c r="F225" s="1"/>
  <c r="C254" i="21"/>
  <c r="G254"/>
  <c r="D254"/>
  <c r="B256"/>
  <c r="F255" s="1"/>
  <c r="BV19"/>
  <c r="BV22"/>
  <c r="BV16"/>
  <c r="BV21"/>
  <c r="BV15"/>
  <c r="BV26"/>
  <c r="BV20"/>
  <c r="BV6"/>
  <c r="BV25"/>
  <c r="BV24"/>
  <c r="BV18"/>
  <c r="AZ433" i="10"/>
  <c r="AZ434"/>
  <c r="CH27" i="21"/>
  <c r="CH22"/>
  <c r="CH30"/>
  <c r="CH19"/>
  <c r="CH36"/>
  <c r="CH28"/>
  <c r="CH31"/>
  <c r="CH35"/>
  <c r="CH38"/>
  <c r="CH37"/>
  <c r="CH34"/>
  <c r="CH40"/>
  <c r="CH39"/>
  <c r="CF30"/>
  <c r="CG30" s="1"/>
  <c r="CH29"/>
  <c r="CH25"/>
  <c r="CH24"/>
  <c r="CH20"/>
  <c r="CH32"/>
  <c r="CF28"/>
  <c r="CG28" s="1"/>
  <c r="CH18"/>
  <c r="CH33"/>
  <c r="CH21"/>
  <c r="CH17"/>
  <c r="CH43"/>
  <c r="CH42"/>
  <c r="CH41"/>
  <c r="CF41"/>
  <c r="CG41" s="1"/>
  <c r="CF40"/>
  <c r="CG40" s="1"/>
  <c r="CH26"/>
  <c r="CF18"/>
  <c r="CG18" s="1"/>
  <c r="CF26"/>
  <c r="CG26" s="1"/>
  <c r="CF20"/>
  <c r="CG20" s="1"/>
  <c r="CF17"/>
  <c r="CG17" s="1"/>
  <c r="CF42"/>
  <c r="CG42" s="1"/>
  <c r="CF39"/>
  <c r="CG39" s="1"/>
  <c r="CF33"/>
  <c r="CG33" s="1"/>
  <c r="CF31"/>
  <c r="CG31" s="1"/>
  <c r="CH23"/>
  <c r="CF23"/>
  <c r="CG23" s="1"/>
  <c r="CF21"/>
  <c r="CG21" s="1"/>
  <c r="DR14"/>
  <c r="DN14"/>
  <c r="BW65" i="10"/>
  <c r="BX65" s="1"/>
  <c r="BY65" s="1"/>
  <c r="BZ65" s="1"/>
  <c r="GY108" l="1"/>
  <c r="GZ108"/>
  <c r="HA108" s="1"/>
  <c r="HB108" s="1"/>
  <c r="EB107"/>
  <c r="EC107" s="1"/>
  <c r="ED107" s="1"/>
  <c r="EA107"/>
  <c r="GN111"/>
  <c r="GO111" s="1"/>
  <c r="GP111" s="1"/>
  <c r="GM111"/>
  <c r="GY137"/>
  <c r="GZ137"/>
  <c r="HA137" s="1"/>
  <c r="HB137" s="1"/>
  <c r="GE146"/>
  <c r="GF146"/>
  <c r="GG146" s="1"/>
  <c r="GH146" s="1"/>
  <c r="HO135"/>
  <c r="HP135"/>
  <c r="HQ135" s="1"/>
  <c r="HR135" s="1"/>
  <c r="HC6"/>
  <c r="HD6"/>
  <c r="HE6" s="1"/>
  <c r="HF6" s="1"/>
  <c r="CF60"/>
  <c r="CG60" s="1"/>
  <c r="CH60" s="1"/>
  <c r="CE60"/>
  <c r="GQ46"/>
  <c r="GR46"/>
  <c r="GS46" s="1"/>
  <c r="GT46" s="1"/>
  <c r="CB65"/>
  <c r="CC65" s="1"/>
  <c r="CD65" s="1"/>
  <c r="CA65"/>
  <c r="IA29"/>
  <c r="IB29"/>
  <c r="HO39"/>
  <c r="HP39"/>
  <c r="HQ39" s="1"/>
  <c r="HR39" s="1"/>
  <c r="HT27"/>
  <c r="HU27" s="1"/>
  <c r="HV27" s="1"/>
  <c r="HS27"/>
  <c r="CU98"/>
  <c r="CV98"/>
  <c r="CW98" s="1"/>
  <c r="CX98" s="1"/>
  <c r="GZ74"/>
  <c r="HA74" s="1"/>
  <c r="HB74" s="1"/>
  <c r="GY74"/>
  <c r="DW26"/>
  <c r="DX26"/>
  <c r="DY26" s="1"/>
  <c r="DZ26" s="1"/>
  <c r="GY68"/>
  <c r="GZ68"/>
  <c r="HA68" s="1"/>
  <c r="HB68" s="1"/>
  <c r="DH58"/>
  <c r="DI58" s="1"/>
  <c r="DJ58" s="1"/>
  <c r="DG58"/>
  <c r="HW75"/>
  <c r="HX75"/>
  <c r="HY75" s="1"/>
  <c r="HZ75" s="1"/>
  <c r="CE57"/>
  <c r="CF57"/>
  <c r="CG57" s="1"/>
  <c r="CH57" s="1"/>
  <c r="GQ9"/>
  <c r="GR9"/>
  <c r="GS9" s="1"/>
  <c r="GT9" s="1"/>
  <c r="GF100"/>
  <c r="GG100" s="1"/>
  <c r="GH100" s="1"/>
  <c r="GE100"/>
  <c r="GA88"/>
  <c r="GB88"/>
  <c r="GC88" s="1"/>
  <c r="GD88" s="1"/>
  <c r="E227" i="54"/>
  <c r="F226" s="1"/>
  <c r="BV30" i="21"/>
  <c r="G255"/>
  <c r="D255"/>
  <c r="C255"/>
  <c r="E255"/>
  <c r="B257"/>
  <c r="D256" s="1"/>
  <c r="BV27"/>
  <c r="BW66" i="10"/>
  <c r="BX66" s="1"/>
  <c r="BY66" s="1"/>
  <c r="BZ66" s="1"/>
  <c r="Q32"/>
  <c r="BW32" s="1"/>
  <c r="BX32" s="1"/>
  <c r="BY32" s="1"/>
  <c r="BZ32" s="1"/>
  <c r="Q112"/>
  <c r="BW112" s="1"/>
  <c r="BX112" s="1"/>
  <c r="BY112" s="1"/>
  <c r="BZ112" s="1"/>
  <c r="BW12"/>
  <c r="BX12" s="1"/>
  <c r="BY12" s="1"/>
  <c r="BZ12" s="1"/>
  <c r="CA112" l="1"/>
  <c r="CB112"/>
  <c r="CC112" s="1"/>
  <c r="CD112" s="1"/>
  <c r="GI146"/>
  <c r="GJ146"/>
  <c r="GK146" s="1"/>
  <c r="GL146" s="1"/>
  <c r="GR111"/>
  <c r="GS111" s="1"/>
  <c r="GT111" s="1"/>
  <c r="GQ111"/>
  <c r="HD108"/>
  <c r="HE108" s="1"/>
  <c r="HF108" s="1"/>
  <c r="HC108"/>
  <c r="HT135"/>
  <c r="HU135" s="1"/>
  <c r="HV135" s="1"/>
  <c r="HS135"/>
  <c r="HD137"/>
  <c r="HE137" s="1"/>
  <c r="HF137" s="1"/>
  <c r="HC137"/>
  <c r="EE107"/>
  <c r="EF107"/>
  <c r="EG107" s="1"/>
  <c r="EH107" s="1"/>
  <c r="GE88"/>
  <c r="GF88"/>
  <c r="GG88" s="1"/>
  <c r="GH88" s="1"/>
  <c r="GU9"/>
  <c r="GV9"/>
  <c r="GW9" s="1"/>
  <c r="GX9" s="1"/>
  <c r="DK58"/>
  <c r="DL58"/>
  <c r="DM58" s="1"/>
  <c r="DN58" s="1"/>
  <c r="HT39"/>
  <c r="HU39" s="1"/>
  <c r="HV39" s="1"/>
  <c r="HS39"/>
  <c r="HG6"/>
  <c r="HH6"/>
  <c r="HI6" s="1"/>
  <c r="HJ6" s="1"/>
  <c r="CA12"/>
  <c r="CB12"/>
  <c r="CC12" s="1"/>
  <c r="CD12" s="1"/>
  <c r="CA66"/>
  <c r="CB66"/>
  <c r="CC66" s="1"/>
  <c r="CD66" s="1"/>
  <c r="CI57"/>
  <c r="CJ57"/>
  <c r="CK57" s="1"/>
  <c r="CL57" s="1"/>
  <c r="IA75"/>
  <c r="IB75"/>
  <c r="HD68"/>
  <c r="HE68" s="1"/>
  <c r="HF68" s="1"/>
  <c r="HC68"/>
  <c r="CE65"/>
  <c r="CF65"/>
  <c r="CG65" s="1"/>
  <c r="CH65" s="1"/>
  <c r="CI60"/>
  <c r="CJ60"/>
  <c r="CK60" s="1"/>
  <c r="CL60" s="1"/>
  <c r="HD74"/>
  <c r="HE74" s="1"/>
  <c r="HF74" s="1"/>
  <c r="HC74"/>
  <c r="GU46"/>
  <c r="GV46"/>
  <c r="GW46" s="1"/>
  <c r="GX46" s="1"/>
  <c r="CB32"/>
  <c r="CC32" s="1"/>
  <c r="CD32" s="1"/>
  <c r="CA32"/>
  <c r="GJ100"/>
  <c r="GK100" s="1"/>
  <c r="GL100" s="1"/>
  <c r="GI100"/>
  <c r="EB26"/>
  <c r="EC26" s="1"/>
  <c r="ED26" s="1"/>
  <c r="EA26"/>
  <c r="CY98"/>
  <c r="CZ98"/>
  <c r="DA98" s="1"/>
  <c r="DB98" s="1"/>
  <c r="HW27"/>
  <c r="HX27"/>
  <c r="HY27" s="1"/>
  <c r="HZ27" s="1"/>
  <c r="E228" i="54"/>
  <c r="F227" s="1"/>
  <c r="B258" i="21"/>
  <c r="F257" s="1"/>
  <c r="F256"/>
  <c r="C256"/>
  <c r="G256"/>
  <c r="E256"/>
  <c r="HW135" i="10" l="1"/>
  <c r="HX135"/>
  <c r="HY135" s="1"/>
  <c r="HZ135" s="1"/>
  <c r="HG137"/>
  <c r="HH137"/>
  <c r="HI137" s="1"/>
  <c r="HJ137" s="1"/>
  <c r="GM146"/>
  <c r="GN146"/>
  <c r="GO146" s="1"/>
  <c r="GP146" s="1"/>
  <c r="HH108"/>
  <c r="HI108" s="1"/>
  <c r="HJ108" s="1"/>
  <c r="HG108"/>
  <c r="EI107"/>
  <c r="EJ107"/>
  <c r="EK107" s="1"/>
  <c r="EL107" s="1"/>
  <c r="CF112"/>
  <c r="CG112" s="1"/>
  <c r="CH112" s="1"/>
  <c r="CE112"/>
  <c r="GV111"/>
  <c r="GW111" s="1"/>
  <c r="GX111" s="1"/>
  <c r="GU111"/>
  <c r="GZ46"/>
  <c r="HA46" s="1"/>
  <c r="HB46" s="1"/>
  <c r="GY46"/>
  <c r="DD98"/>
  <c r="DE98" s="1"/>
  <c r="DF98" s="1"/>
  <c r="DC98"/>
  <c r="GM100"/>
  <c r="GN100"/>
  <c r="GO100" s="1"/>
  <c r="GP100" s="1"/>
  <c r="CE32"/>
  <c r="CF32"/>
  <c r="CG32" s="1"/>
  <c r="CH32" s="1"/>
  <c r="CM60"/>
  <c r="CN60"/>
  <c r="CO60" s="1"/>
  <c r="CP60" s="1"/>
  <c r="GZ9"/>
  <c r="HA9" s="1"/>
  <c r="HB9" s="1"/>
  <c r="GY9"/>
  <c r="CM57"/>
  <c r="CN57"/>
  <c r="CO57" s="1"/>
  <c r="CP57" s="1"/>
  <c r="CF12"/>
  <c r="CG12" s="1"/>
  <c r="CH12" s="1"/>
  <c r="CE12"/>
  <c r="GI88"/>
  <c r="GJ88"/>
  <c r="GK88" s="1"/>
  <c r="GL88" s="1"/>
  <c r="EF26"/>
  <c r="EG26" s="1"/>
  <c r="EH26" s="1"/>
  <c r="EE26"/>
  <c r="HG74"/>
  <c r="HH74"/>
  <c r="HI74" s="1"/>
  <c r="HJ74" s="1"/>
  <c r="HG68"/>
  <c r="HH68"/>
  <c r="HI68" s="1"/>
  <c r="HJ68" s="1"/>
  <c r="CE66"/>
  <c r="CF66"/>
  <c r="CG66" s="1"/>
  <c r="CH66" s="1"/>
  <c r="HK6"/>
  <c r="HL6"/>
  <c r="HM6" s="1"/>
  <c r="HN6" s="1"/>
  <c r="DO58"/>
  <c r="DP58"/>
  <c r="DQ58" s="1"/>
  <c r="DR58" s="1"/>
  <c r="IA27"/>
  <c r="IB27"/>
  <c r="CI65"/>
  <c r="CJ65"/>
  <c r="CK65" s="1"/>
  <c r="CL65" s="1"/>
  <c r="HX39"/>
  <c r="HY39" s="1"/>
  <c r="HZ39" s="1"/>
  <c r="HW39"/>
  <c r="E229" i="54"/>
  <c r="F228" s="1"/>
  <c r="B259" i="21"/>
  <c r="C258" s="1"/>
  <c r="C257"/>
  <c r="G257"/>
  <c r="E257"/>
  <c r="D257"/>
  <c r="Y221" i="10"/>
  <c r="BO114"/>
  <c r="BO115"/>
  <c r="BO116"/>
  <c r="BO117"/>
  <c r="BO118"/>
  <c r="BO119"/>
  <c r="BO120"/>
  <c r="BO121"/>
  <c r="BO122"/>
  <c r="BO123"/>
  <c r="BO124"/>
  <c r="BO125"/>
  <c r="BO126"/>
  <c r="BO127"/>
  <c r="BO128"/>
  <c r="BO129"/>
  <c r="BO130"/>
  <c r="BO131"/>
  <c r="BO132"/>
  <c r="BO113"/>
  <c r="HL137" l="1"/>
  <c r="HM137" s="1"/>
  <c r="HN137" s="1"/>
  <c r="HK137"/>
  <c r="EM107"/>
  <c r="EN107"/>
  <c r="EO107" s="1"/>
  <c r="EP107" s="1"/>
  <c r="CI112"/>
  <c r="CJ112"/>
  <c r="CK112" s="1"/>
  <c r="CL112" s="1"/>
  <c r="GQ146"/>
  <c r="GR146"/>
  <c r="GS146" s="1"/>
  <c r="GT146" s="1"/>
  <c r="GZ111"/>
  <c r="HA111" s="1"/>
  <c r="HB111" s="1"/>
  <c r="GY111"/>
  <c r="HL108"/>
  <c r="HM108" s="1"/>
  <c r="HN108" s="1"/>
  <c r="HK108"/>
  <c r="IA135"/>
  <c r="IB135"/>
  <c r="IA39"/>
  <c r="IB39"/>
  <c r="GR100"/>
  <c r="GS100" s="1"/>
  <c r="GT100" s="1"/>
  <c r="GQ100"/>
  <c r="EJ26"/>
  <c r="EK26" s="1"/>
  <c r="EL26" s="1"/>
  <c r="EI26"/>
  <c r="CJ12"/>
  <c r="CK12" s="1"/>
  <c r="CL12" s="1"/>
  <c r="CI12"/>
  <c r="HC9"/>
  <c r="HD9"/>
  <c r="HE9" s="1"/>
  <c r="HF9" s="1"/>
  <c r="CI32"/>
  <c r="CJ32"/>
  <c r="CK32" s="1"/>
  <c r="CL32" s="1"/>
  <c r="DT58"/>
  <c r="DU58" s="1"/>
  <c r="DV58" s="1"/>
  <c r="DS58"/>
  <c r="CJ66"/>
  <c r="CK66" s="1"/>
  <c r="CL66" s="1"/>
  <c r="CI66"/>
  <c r="HK74"/>
  <c r="HL74"/>
  <c r="HM74" s="1"/>
  <c r="HN74" s="1"/>
  <c r="GM88"/>
  <c r="GN88"/>
  <c r="GO88" s="1"/>
  <c r="GP88" s="1"/>
  <c r="CQ57"/>
  <c r="CR57"/>
  <c r="CS57" s="1"/>
  <c r="CT57" s="1"/>
  <c r="DH98"/>
  <c r="DI98" s="1"/>
  <c r="DJ98" s="1"/>
  <c r="DG98"/>
  <c r="CM65"/>
  <c r="CN65"/>
  <c r="CO65" s="1"/>
  <c r="CP65" s="1"/>
  <c r="HO6"/>
  <c r="HP6"/>
  <c r="HQ6" s="1"/>
  <c r="HR6" s="1"/>
  <c r="HL68"/>
  <c r="HM68" s="1"/>
  <c r="HN68" s="1"/>
  <c r="HK68"/>
  <c r="CR60"/>
  <c r="CS60" s="1"/>
  <c r="CT60" s="1"/>
  <c r="CQ60"/>
  <c r="HD46"/>
  <c r="HE46" s="1"/>
  <c r="HF46" s="1"/>
  <c r="HC46"/>
  <c r="E230" i="54"/>
  <c r="F229" s="1"/>
  <c r="D258" i="21"/>
  <c r="G258"/>
  <c r="B260"/>
  <c r="F259" s="1"/>
  <c r="F258"/>
  <c r="E258"/>
  <c r="CW14"/>
  <c r="CX14" s="1"/>
  <c r="CY14" s="1"/>
  <c r="AZ101" i="10"/>
  <c r="Z209"/>
  <c r="Z210"/>
  <c r="Z211"/>
  <c r="Z212"/>
  <c r="Z213"/>
  <c r="Z214"/>
  <c r="Z215"/>
  <c r="Z216"/>
  <c r="Z217"/>
  <c r="Z218"/>
  <c r="Z219"/>
  <c r="Z220"/>
  <c r="Z208"/>
  <c r="AA205"/>
  <c r="BA145"/>
  <c r="BL132"/>
  <c r="BM132"/>
  <c r="BN132"/>
  <c r="AZ107"/>
  <c r="AZ106"/>
  <c r="AC224" l="1"/>
  <c r="HC111"/>
  <c r="HD111"/>
  <c r="HE111" s="1"/>
  <c r="HF111" s="1"/>
  <c r="ER107"/>
  <c r="ES107" s="1"/>
  <c r="ET107" s="1"/>
  <c r="EQ107"/>
  <c r="CM112"/>
  <c r="CN112"/>
  <c r="CO112" s="1"/>
  <c r="CP112" s="1"/>
  <c r="HO108"/>
  <c r="HP108"/>
  <c r="HQ108" s="1"/>
  <c r="HR108" s="1"/>
  <c r="GV146"/>
  <c r="GW146" s="1"/>
  <c r="GX146" s="1"/>
  <c r="GU146"/>
  <c r="HO137"/>
  <c r="HP137"/>
  <c r="HQ137" s="1"/>
  <c r="HR137" s="1"/>
  <c r="CU60"/>
  <c r="CV60"/>
  <c r="CW60" s="1"/>
  <c r="CX60" s="1"/>
  <c r="CQ65"/>
  <c r="CR65"/>
  <c r="CS65" s="1"/>
  <c r="CT65" s="1"/>
  <c r="HP74"/>
  <c r="HQ74" s="1"/>
  <c r="HR74" s="1"/>
  <c r="HO74"/>
  <c r="GV100"/>
  <c r="GW100" s="1"/>
  <c r="GX100" s="1"/>
  <c r="GU100"/>
  <c r="HO68"/>
  <c r="HP68"/>
  <c r="HQ68" s="1"/>
  <c r="HR68" s="1"/>
  <c r="DW58"/>
  <c r="DX58"/>
  <c r="DY58" s="1"/>
  <c r="DZ58" s="1"/>
  <c r="CN12"/>
  <c r="CO12" s="1"/>
  <c r="CP12" s="1"/>
  <c r="CM12"/>
  <c r="CM66"/>
  <c r="CN66"/>
  <c r="CO66" s="1"/>
  <c r="CP66" s="1"/>
  <c r="EN26"/>
  <c r="EO26" s="1"/>
  <c r="EP26" s="1"/>
  <c r="EM26"/>
  <c r="HH46"/>
  <c r="HI46" s="1"/>
  <c r="HJ46" s="1"/>
  <c r="HG46"/>
  <c r="CU57"/>
  <c r="CV57"/>
  <c r="CW57" s="1"/>
  <c r="CX57" s="1"/>
  <c r="HG9"/>
  <c r="HH9"/>
  <c r="HI9" s="1"/>
  <c r="HJ9" s="1"/>
  <c r="HS6"/>
  <c r="HT6"/>
  <c r="HU6" s="1"/>
  <c r="HV6" s="1"/>
  <c r="DK98"/>
  <c r="DL98"/>
  <c r="DM98" s="1"/>
  <c r="DN98" s="1"/>
  <c r="GQ88"/>
  <c r="GR88"/>
  <c r="GS88" s="1"/>
  <c r="GT88" s="1"/>
  <c r="CM32"/>
  <c r="CN32"/>
  <c r="CO32" s="1"/>
  <c r="CP32" s="1"/>
  <c r="E231" i="54"/>
  <c r="F230" s="1"/>
  <c r="G259" i="21"/>
  <c r="B261"/>
  <c r="F260" s="1"/>
  <c r="C259"/>
  <c r="E259"/>
  <c r="D259"/>
  <c r="AC205" i="10"/>
  <c r="AC208"/>
  <c r="CZ14" i="21"/>
  <c r="CV14"/>
  <c r="AF208" i="10"/>
  <c r="AF209"/>
  <c r="AF210"/>
  <c r="AF213"/>
  <c r="AF214"/>
  <c r="AF215"/>
  <c r="AF216"/>
  <c r="AF217"/>
  <c r="AF218"/>
  <c r="AF219"/>
  <c r="AF220"/>
  <c r="AF221"/>
  <c r="AF222"/>
  <c r="AF223"/>
  <c r="AF224"/>
  <c r="AF225"/>
  <c r="AF226"/>
  <c r="AF227"/>
  <c r="AF228"/>
  <c r="AF229"/>
  <c r="AF230"/>
  <c r="AF231"/>
  <c r="AF232"/>
  <c r="AF233"/>
  <c r="AF207"/>
  <c r="AE196"/>
  <c r="AE198"/>
  <c r="EV107" l="1"/>
  <c r="EW107" s="1"/>
  <c r="EX107" s="1"/>
  <c r="EU107"/>
  <c r="HS137"/>
  <c r="HT137"/>
  <c r="HU137" s="1"/>
  <c r="HV137" s="1"/>
  <c r="GY146"/>
  <c r="GZ146"/>
  <c r="HA146" s="1"/>
  <c r="HB146" s="1"/>
  <c r="CQ112"/>
  <c r="CR112"/>
  <c r="CS112" s="1"/>
  <c r="CT112" s="1"/>
  <c r="HH111"/>
  <c r="HI111" s="1"/>
  <c r="HJ111" s="1"/>
  <c r="HG111"/>
  <c r="HT108"/>
  <c r="HU108" s="1"/>
  <c r="HV108" s="1"/>
  <c r="HS108"/>
  <c r="CU65"/>
  <c r="CV65"/>
  <c r="CW65" s="1"/>
  <c r="CX65" s="1"/>
  <c r="EQ26"/>
  <c r="ER26"/>
  <c r="ES26" s="1"/>
  <c r="ET26" s="1"/>
  <c r="HS74"/>
  <c r="HT74"/>
  <c r="HU74" s="1"/>
  <c r="HV74" s="1"/>
  <c r="CR32"/>
  <c r="CS32" s="1"/>
  <c r="CT32" s="1"/>
  <c r="CQ32"/>
  <c r="DP98"/>
  <c r="DQ98" s="1"/>
  <c r="DR98" s="1"/>
  <c r="DO98"/>
  <c r="HK9"/>
  <c r="HL9"/>
  <c r="HM9" s="1"/>
  <c r="HN9" s="1"/>
  <c r="CR12"/>
  <c r="CS12" s="1"/>
  <c r="CT12" s="1"/>
  <c r="CQ12"/>
  <c r="CZ60"/>
  <c r="DA60" s="1"/>
  <c r="DB60" s="1"/>
  <c r="CY60"/>
  <c r="GV88"/>
  <c r="GW88" s="1"/>
  <c r="GX88" s="1"/>
  <c r="GU88"/>
  <c r="HW6"/>
  <c r="HX6"/>
  <c r="HY6" s="1"/>
  <c r="HZ6" s="1"/>
  <c r="CY57"/>
  <c r="CZ57"/>
  <c r="DA57" s="1"/>
  <c r="DB57" s="1"/>
  <c r="CQ66"/>
  <c r="CR66"/>
  <c r="CS66" s="1"/>
  <c r="CT66" s="1"/>
  <c r="HT68"/>
  <c r="HU68" s="1"/>
  <c r="HV68" s="1"/>
  <c r="HS68"/>
  <c r="HL46"/>
  <c r="HM46" s="1"/>
  <c r="HN46" s="1"/>
  <c r="HK46"/>
  <c r="EA58"/>
  <c r="EB58"/>
  <c r="EC58" s="1"/>
  <c r="ED58" s="1"/>
  <c r="GY100"/>
  <c r="GZ100"/>
  <c r="HA100" s="1"/>
  <c r="HB100" s="1"/>
  <c r="E232" i="54"/>
  <c r="F231" s="1"/>
  <c r="C260" i="21"/>
  <c r="B262"/>
  <c r="C261" s="1"/>
  <c r="G260"/>
  <c r="D260"/>
  <c r="E260"/>
  <c r="AV82" i="10"/>
  <c r="AW101" s="1"/>
  <c r="AA208"/>
  <c r="AA211" s="1"/>
  <c r="AG208"/>
  <c r="AG231"/>
  <c r="AG227"/>
  <c r="AG223"/>
  <c r="AG219"/>
  <c r="AG215"/>
  <c r="AG211"/>
  <c r="AG207"/>
  <c r="AG230"/>
  <c r="AG226"/>
  <c r="AG222"/>
  <c r="AG218"/>
  <c r="AG214"/>
  <c r="AG210"/>
  <c r="AG233"/>
  <c r="AG229"/>
  <c r="AG225"/>
  <c r="AG221"/>
  <c r="AG217"/>
  <c r="AG213"/>
  <c r="AG209"/>
  <c r="AG232"/>
  <c r="AG228"/>
  <c r="AG224"/>
  <c r="AG220"/>
  <c r="AG216"/>
  <c r="AG212"/>
  <c r="Y197"/>
  <c r="AY6"/>
  <c r="HX108" l="1"/>
  <c r="HY108" s="1"/>
  <c r="HZ108" s="1"/>
  <c r="HW108"/>
  <c r="HD146"/>
  <c r="HE146" s="1"/>
  <c r="HF146" s="1"/>
  <c r="HC146"/>
  <c r="HL111"/>
  <c r="HM111" s="1"/>
  <c r="HN111" s="1"/>
  <c r="HK111"/>
  <c r="CU112"/>
  <c r="CV112"/>
  <c r="CW112" s="1"/>
  <c r="CX112" s="1"/>
  <c r="HW137"/>
  <c r="HX137"/>
  <c r="HY137" s="1"/>
  <c r="HZ137" s="1"/>
  <c r="EZ107"/>
  <c r="FA107" s="1"/>
  <c r="FB107" s="1"/>
  <c r="EY107"/>
  <c r="EE58"/>
  <c r="EF58"/>
  <c r="EG58" s="1"/>
  <c r="EH58" s="1"/>
  <c r="HW74"/>
  <c r="HX74"/>
  <c r="HY74" s="1"/>
  <c r="HZ74" s="1"/>
  <c r="DD60"/>
  <c r="DE60" s="1"/>
  <c r="DF60" s="1"/>
  <c r="DC60"/>
  <c r="HP9"/>
  <c r="HQ9" s="1"/>
  <c r="HR9" s="1"/>
  <c r="HO9"/>
  <c r="HP46"/>
  <c r="HQ46" s="1"/>
  <c r="HR46" s="1"/>
  <c r="HO46"/>
  <c r="HX68"/>
  <c r="HY68" s="1"/>
  <c r="HZ68" s="1"/>
  <c r="HW68"/>
  <c r="GY88"/>
  <c r="GZ88"/>
  <c r="HA88" s="1"/>
  <c r="HB88" s="1"/>
  <c r="CU32"/>
  <c r="CV32"/>
  <c r="CW32" s="1"/>
  <c r="CX32" s="1"/>
  <c r="CU66"/>
  <c r="CV66"/>
  <c r="CW66" s="1"/>
  <c r="CX66" s="1"/>
  <c r="IA6"/>
  <c r="IB6"/>
  <c r="CV12"/>
  <c r="CW12" s="1"/>
  <c r="CX12" s="1"/>
  <c r="CU12"/>
  <c r="DT98"/>
  <c r="DU98" s="1"/>
  <c r="DV98" s="1"/>
  <c r="DS98"/>
  <c r="HD100"/>
  <c r="HE100" s="1"/>
  <c r="HF100" s="1"/>
  <c r="HC100"/>
  <c r="DD57"/>
  <c r="DE57" s="1"/>
  <c r="DF57" s="1"/>
  <c r="DC57"/>
  <c r="EU26"/>
  <c r="EV26"/>
  <c r="EW26" s="1"/>
  <c r="EX26" s="1"/>
  <c r="CY65"/>
  <c r="CZ65"/>
  <c r="DA65" s="1"/>
  <c r="DB65" s="1"/>
  <c r="E233" i="54"/>
  <c r="F232" s="1"/>
  <c r="D261" i="21"/>
  <c r="AY101" i="10"/>
  <c r="F261" i="21"/>
  <c r="G261"/>
  <c r="B263"/>
  <c r="G262" s="1"/>
  <c r="E261"/>
  <c r="BA101" i="10"/>
  <c r="BA82"/>
  <c r="BB101"/>
  <c r="BC82"/>
  <c r="BA452"/>
  <c r="AZ82"/>
  <c r="BA451"/>
  <c r="BB451"/>
  <c r="AT82"/>
  <c r="V149"/>
  <c r="AD64"/>
  <c r="DR12" i="21"/>
  <c r="BN113" i="10"/>
  <c r="BN114"/>
  <c r="BN115"/>
  <c r="BN116"/>
  <c r="BN117"/>
  <c r="BN118"/>
  <c r="BN119"/>
  <c r="BN120"/>
  <c r="BN121"/>
  <c r="BN122"/>
  <c r="BN123"/>
  <c r="BN124"/>
  <c r="BN125"/>
  <c r="BN126"/>
  <c r="BN127"/>
  <c r="BN128"/>
  <c r="BN129"/>
  <c r="BN130"/>
  <c r="BN131"/>
  <c r="BN112"/>
  <c r="BM113"/>
  <c r="BM114"/>
  <c r="BM115"/>
  <c r="BM116"/>
  <c r="BM117"/>
  <c r="BM118"/>
  <c r="BM119"/>
  <c r="BM120"/>
  <c r="BM121"/>
  <c r="BM122"/>
  <c r="BM123"/>
  <c r="BM124"/>
  <c r="BM125"/>
  <c r="BM126"/>
  <c r="BM127"/>
  <c r="BM128"/>
  <c r="BM129"/>
  <c r="BM130"/>
  <c r="BM131"/>
  <c r="BL114"/>
  <c r="BL115"/>
  <c r="BL116"/>
  <c r="BL117"/>
  <c r="BL118"/>
  <c r="BL119"/>
  <c r="BL120"/>
  <c r="BL121"/>
  <c r="BL122"/>
  <c r="BL123"/>
  <c r="BL124"/>
  <c r="BL125"/>
  <c r="BL126"/>
  <c r="BL127"/>
  <c r="BL128"/>
  <c r="BL129"/>
  <c r="BL130"/>
  <c r="BL131"/>
  <c r="BL113"/>
  <c r="K86" i="21"/>
  <c r="HG146" i="10" l="1"/>
  <c r="HH146"/>
  <c r="HI146" s="1"/>
  <c r="HJ146" s="1"/>
  <c r="FC107"/>
  <c r="FD107"/>
  <c r="FE107" s="1"/>
  <c r="FF107" s="1"/>
  <c r="IA137"/>
  <c r="IB137"/>
  <c r="HO111"/>
  <c r="HP111"/>
  <c r="HQ111" s="1"/>
  <c r="HR111" s="1"/>
  <c r="CY112"/>
  <c r="CZ112"/>
  <c r="DA112" s="1"/>
  <c r="DB112" s="1"/>
  <c r="IB108"/>
  <c r="IA108"/>
  <c r="DC65"/>
  <c r="DD65"/>
  <c r="DE65" s="1"/>
  <c r="DF65" s="1"/>
  <c r="HD88"/>
  <c r="HE88" s="1"/>
  <c r="HF88" s="1"/>
  <c r="HC88"/>
  <c r="IA74"/>
  <c r="IB74"/>
  <c r="IA68"/>
  <c r="IB68"/>
  <c r="DH60"/>
  <c r="DI60" s="1"/>
  <c r="DJ60" s="1"/>
  <c r="DG60"/>
  <c r="HH100"/>
  <c r="HI100" s="1"/>
  <c r="HJ100" s="1"/>
  <c r="HG100"/>
  <c r="DW98"/>
  <c r="DX98"/>
  <c r="DY98" s="1"/>
  <c r="DZ98" s="1"/>
  <c r="HS46"/>
  <c r="HT46"/>
  <c r="HU46" s="1"/>
  <c r="HV46" s="1"/>
  <c r="HS9"/>
  <c r="HT9"/>
  <c r="HU9" s="1"/>
  <c r="HV9" s="1"/>
  <c r="EJ58"/>
  <c r="EK58" s="1"/>
  <c r="EL58" s="1"/>
  <c r="EI58"/>
  <c r="DH57"/>
  <c r="DI57" s="1"/>
  <c r="DJ57" s="1"/>
  <c r="DG57"/>
  <c r="CY12"/>
  <c r="CZ12"/>
  <c r="DA12" s="1"/>
  <c r="DB12" s="1"/>
  <c r="EZ26"/>
  <c r="FA26" s="1"/>
  <c r="FB26" s="1"/>
  <c r="EY26"/>
  <c r="CY66"/>
  <c r="CZ66"/>
  <c r="DA66" s="1"/>
  <c r="DB66" s="1"/>
  <c r="CZ32"/>
  <c r="DA32" s="1"/>
  <c r="DB32" s="1"/>
  <c r="CY32"/>
  <c r="E234" i="54"/>
  <c r="F233" s="1"/>
  <c r="E262" i="21"/>
  <c r="B264"/>
  <c r="F263" s="1"/>
  <c r="D262"/>
  <c r="C262"/>
  <c r="F262"/>
  <c r="BC101" i="10"/>
  <c r="AE64"/>
  <c r="L64"/>
  <c r="S64"/>
  <c r="V64"/>
  <c r="DN12" i="21"/>
  <c r="DQ12"/>
  <c r="HT111" i="10" l="1"/>
  <c r="HU111" s="1"/>
  <c r="HV111" s="1"/>
  <c r="HS111"/>
  <c r="DC112"/>
  <c r="DD112"/>
  <c r="DE112" s="1"/>
  <c r="DF112" s="1"/>
  <c r="HK146"/>
  <c r="HL146"/>
  <c r="HM146" s="1"/>
  <c r="HN146" s="1"/>
  <c r="FH107"/>
  <c r="FI107" s="1"/>
  <c r="FJ107" s="1"/>
  <c r="FG107"/>
  <c r="AV53"/>
  <c r="AV65" s="1"/>
  <c r="BC122"/>
  <c r="R55" i="22" s="1"/>
  <c r="S57" s="1"/>
  <c r="S58" s="1"/>
  <c r="G111" s="1"/>
  <c r="DD12" i="10"/>
  <c r="DE12" s="1"/>
  <c r="DF12" s="1"/>
  <c r="DC12"/>
  <c r="EM58"/>
  <c r="EN58"/>
  <c r="EO58" s="1"/>
  <c r="EP58" s="1"/>
  <c r="HL100"/>
  <c r="HM100" s="1"/>
  <c r="HN100" s="1"/>
  <c r="HK100"/>
  <c r="HG88"/>
  <c r="HH88"/>
  <c r="HI88" s="1"/>
  <c r="HJ88" s="1"/>
  <c r="DK57"/>
  <c r="DL57"/>
  <c r="DM57" s="1"/>
  <c r="DN57" s="1"/>
  <c r="HX9"/>
  <c r="HY9" s="1"/>
  <c r="HZ9" s="1"/>
  <c r="HW9"/>
  <c r="DC32"/>
  <c r="DD32"/>
  <c r="DE32" s="1"/>
  <c r="DF32" s="1"/>
  <c r="FC26"/>
  <c r="FD26"/>
  <c r="FE26" s="1"/>
  <c r="FF26" s="1"/>
  <c r="HX46"/>
  <c r="HY46" s="1"/>
  <c r="HZ46" s="1"/>
  <c r="HW46"/>
  <c r="EB98"/>
  <c r="EC98" s="1"/>
  <c r="ED98" s="1"/>
  <c r="EA98"/>
  <c r="DG65"/>
  <c r="DH65"/>
  <c r="DI65" s="1"/>
  <c r="DJ65" s="1"/>
  <c r="DC66"/>
  <c r="DD66"/>
  <c r="DE66" s="1"/>
  <c r="DF66" s="1"/>
  <c r="DK60"/>
  <c r="DL60"/>
  <c r="DM60" s="1"/>
  <c r="DN60" s="1"/>
  <c r="E235" i="54"/>
  <c r="F234" s="1"/>
  <c r="D263" i="21"/>
  <c r="C263"/>
  <c r="B265"/>
  <c r="G264" s="1"/>
  <c r="G263"/>
  <c r="E263"/>
  <c r="L143" i="10"/>
  <c r="R64"/>
  <c r="W64"/>
  <c r="M64"/>
  <c r="BC130"/>
  <c r="BD135"/>
  <c r="T64"/>
  <c r="Y64" s="1"/>
  <c r="AV38"/>
  <c r="AX33"/>
  <c r="AX34" s="1"/>
  <c r="AX35" s="1"/>
  <c r="AX36" s="1"/>
  <c r="AX37" s="1"/>
  <c r="AX38" s="1"/>
  <c r="AX39" s="1"/>
  <c r="AX40" s="1"/>
  <c r="AX41" s="1"/>
  <c r="AX42" s="1"/>
  <c r="AX43" s="1"/>
  <c r="AX44" s="1"/>
  <c r="AX45" s="1"/>
  <c r="AX46" s="1"/>
  <c r="AX47" s="1"/>
  <c r="AX48" s="1"/>
  <c r="AX49" s="1"/>
  <c r="AX50" s="1"/>
  <c r="AX51" s="1"/>
  <c r="AX52" s="1"/>
  <c r="AX53" s="1"/>
  <c r="AX54" s="1"/>
  <c r="AX55" s="1"/>
  <c r="AX56" s="1"/>
  <c r="AX57" s="1"/>
  <c r="AX58" s="1"/>
  <c r="AX59" s="1"/>
  <c r="AX60" s="1"/>
  <c r="AX61" s="1"/>
  <c r="AX62" s="1"/>
  <c r="DH112" l="1"/>
  <c r="DI112" s="1"/>
  <c r="DJ112" s="1"/>
  <c r="DG112"/>
  <c r="HP146"/>
  <c r="HQ146" s="1"/>
  <c r="HR146" s="1"/>
  <c r="HO146"/>
  <c r="HX111"/>
  <c r="HY111" s="1"/>
  <c r="HZ111" s="1"/>
  <c r="HW111"/>
  <c r="FK107"/>
  <c r="FL107"/>
  <c r="FM107" s="1"/>
  <c r="FN107" s="1"/>
  <c r="I111" i="22"/>
  <c r="DL65" i="10"/>
  <c r="DM65" s="1"/>
  <c r="DN65" s="1"/>
  <c r="DK65"/>
  <c r="IA46"/>
  <c r="IB46"/>
  <c r="IB9"/>
  <c r="IA9"/>
  <c r="HK88"/>
  <c r="HL88"/>
  <c r="HM88" s="1"/>
  <c r="HN88" s="1"/>
  <c r="EQ58"/>
  <c r="ER58"/>
  <c r="ES58" s="1"/>
  <c r="ET58" s="1"/>
  <c r="FH26"/>
  <c r="FI26" s="1"/>
  <c r="FJ26" s="1"/>
  <c r="FG26"/>
  <c r="DO57"/>
  <c r="DP57"/>
  <c r="DQ57" s="1"/>
  <c r="DR57" s="1"/>
  <c r="EE98"/>
  <c r="EF98"/>
  <c r="EG98" s="1"/>
  <c r="EH98" s="1"/>
  <c r="DP60"/>
  <c r="DQ60" s="1"/>
  <c r="DR60" s="1"/>
  <c r="DO60"/>
  <c r="DH66"/>
  <c r="DI66" s="1"/>
  <c r="DJ66" s="1"/>
  <c r="DG66"/>
  <c r="DH32"/>
  <c r="DI32" s="1"/>
  <c r="DJ32" s="1"/>
  <c r="DG32"/>
  <c r="HP100"/>
  <c r="HQ100" s="1"/>
  <c r="HR100" s="1"/>
  <c r="HO100"/>
  <c r="DH12"/>
  <c r="DI12" s="1"/>
  <c r="DJ12" s="1"/>
  <c r="DG12"/>
  <c r="E236" i="54"/>
  <c r="F235" s="1"/>
  <c r="E264" i="21"/>
  <c r="D264"/>
  <c r="B266"/>
  <c r="D265" s="1"/>
  <c r="C264"/>
  <c r="F264"/>
  <c r="Z64" i="10"/>
  <c r="AA64" s="1"/>
  <c r="AB64" s="1"/>
  <c r="CW15" i="21"/>
  <c r="CZ15" s="1"/>
  <c r="HS146" i="10" l="1"/>
  <c r="HT146"/>
  <c r="HU146" s="1"/>
  <c r="HV146" s="1"/>
  <c r="IB111"/>
  <c r="IA111"/>
  <c r="FP107"/>
  <c r="FQ107" s="1"/>
  <c r="FR107" s="1"/>
  <c r="FO107"/>
  <c r="DL112"/>
  <c r="DM112" s="1"/>
  <c r="DN112" s="1"/>
  <c r="DK112"/>
  <c r="DL12"/>
  <c r="DM12" s="1"/>
  <c r="DN12" s="1"/>
  <c r="DK12"/>
  <c r="DL32"/>
  <c r="DM32" s="1"/>
  <c r="DN32" s="1"/>
  <c r="DK32"/>
  <c r="DP65"/>
  <c r="DQ65" s="1"/>
  <c r="DR65" s="1"/>
  <c r="DO65"/>
  <c r="EJ98"/>
  <c r="EK98" s="1"/>
  <c r="EL98" s="1"/>
  <c r="EI98"/>
  <c r="DS57"/>
  <c r="DT57"/>
  <c r="DU57" s="1"/>
  <c r="DV57" s="1"/>
  <c r="EU58"/>
  <c r="EV58"/>
  <c r="EW58" s="1"/>
  <c r="EX58" s="1"/>
  <c r="HO88"/>
  <c r="HP88"/>
  <c r="HQ88" s="1"/>
  <c r="HR88" s="1"/>
  <c r="HT100"/>
  <c r="HU100" s="1"/>
  <c r="HV100" s="1"/>
  <c r="HS100"/>
  <c r="DL66"/>
  <c r="DM66" s="1"/>
  <c r="DN66" s="1"/>
  <c r="DK66"/>
  <c r="DS60"/>
  <c r="DT60"/>
  <c r="DU60" s="1"/>
  <c r="DV60" s="1"/>
  <c r="FK26"/>
  <c r="FL26"/>
  <c r="FM26" s="1"/>
  <c r="FN26" s="1"/>
  <c r="E237" i="54"/>
  <c r="F236" s="1"/>
  <c r="B267" i="21"/>
  <c r="F266" s="1"/>
  <c r="G265"/>
  <c r="E265"/>
  <c r="F265"/>
  <c r="C265"/>
  <c r="CV15"/>
  <c r="CX15"/>
  <c r="CY15" s="1"/>
  <c r="Q50" i="10"/>
  <c r="BW50" s="1"/>
  <c r="BX50" s="1"/>
  <c r="BY50" s="1"/>
  <c r="BZ50" s="1"/>
  <c r="Q78"/>
  <c r="BW78" s="1"/>
  <c r="BX78" s="1"/>
  <c r="BY78" s="1"/>
  <c r="BZ78" s="1"/>
  <c r="DO112" l="1"/>
  <c r="DP112"/>
  <c r="DQ112" s="1"/>
  <c r="DR112" s="1"/>
  <c r="FS107"/>
  <c r="FT107"/>
  <c r="FU107" s="1"/>
  <c r="FV107" s="1"/>
  <c r="HW146"/>
  <c r="HX146"/>
  <c r="HY146" s="1"/>
  <c r="HZ146" s="1"/>
  <c r="DW60"/>
  <c r="DX60"/>
  <c r="DY60" s="1"/>
  <c r="DZ60" s="1"/>
  <c r="DW57"/>
  <c r="DX57"/>
  <c r="DY57" s="1"/>
  <c r="DZ57" s="1"/>
  <c r="EY58"/>
  <c r="EZ58"/>
  <c r="FA58" s="1"/>
  <c r="FB58" s="1"/>
  <c r="FP26"/>
  <c r="FQ26" s="1"/>
  <c r="FR26" s="1"/>
  <c r="FO26"/>
  <c r="HS88"/>
  <c r="HT88"/>
  <c r="HU88" s="1"/>
  <c r="HV88" s="1"/>
  <c r="CB50"/>
  <c r="CC50" s="1"/>
  <c r="CD50" s="1"/>
  <c r="CA50"/>
  <c r="CA78"/>
  <c r="CB78"/>
  <c r="CC78" s="1"/>
  <c r="CD78" s="1"/>
  <c r="DO66"/>
  <c r="DP66"/>
  <c r="DQ66" s="1"/>
  <c r="DR66" s="1"/>
  <c r="EN98"/>
  <c r="EO98" s="1"/>
  <c r="EP98" s="1"/>
  <c r="EM98"/>
  <c r="DT65"/>
  <c r="DU65" s="1"/>
  <c r="DV65" s="1"/>
  <c r="DS65"/>
  <c r="DO32"/>
  <c r="DP32"/>
  <c r="DQ32" s="1"/>
  <c r="DR32" s="1"/>
  <c r="HX100"/>
  <c r="HY100" s="1"/>
  <c r="HZ100" s="1"/>
  <c r="HW100"/>
  <c r="DO12"/>
  <c r="DP12"/>
  <c r="DQ12" s="1"/>
  <c r="DR12" s="1"/>
  <c r="E238" i="54"/>
  <c r="F237" s="1"/>
  <c r="D266" i="21"/>
  <c r="C266"/>
  <c r="E266"/>
  <c r="G266"/>
  <c r="B268"/>
  <c r="C267" s="1"/>
  <c r="FX107" i="10" l="1"/>
  <c r="FY107" s="1"/>
  <c r="FZ107" s="1"/>
  <c r="FW107"/>
  <c r="IB146"/>
  <c r="IA146"/>
  <c r="DS112"/>
  <c r="DT112"/>
  <c r="DU112" s="1"/>
  <c r="DV112" s="1"/>
  <c r="EA60"/>
  <c r="EB60"/>
  <c r="EC60" s="1"/>
  <c r="ED60" s="1"/>
  <c r="DS32"/>
  <c r="DT32"/>
  <c r="DU32" s="1"/>
  <c r="DV32" s="1"/>
  <c r="DT66"/>
  <c r="DU66" s="1"/>
  <c r="DV66" s="1"/>
  <c r="DS66"/>
  <c r="CF78"/>
  <c r="CG78" s="1"/>
  <c r="CH78" s="1"/>
  <c r="CE78"/>
  <c r="HW88"/>
  <c r="HX88"/>
  <c r="HY88" s="1"/>
  <c r="HZ88" s="1"/>
  <c r="FD58"/>
  <c r="FE58" s="1"/>
  <c r="FF58" s="1"/>
  <c r="FC58"/>
  <c r="EA57"/>
  <c r="EB57"/>
  <c r="EC57" s="1"/>
  <c r="ED57" s="1"/>
  <c r="DS12"/>
  <c r="DT12"/>
  <c r="DU12" s="1"/>
  <c r="DV12" s="1"/>
  <c r="ER98"/>
  <c r="ES98" s="1"/>
  <c r="ET98" s="1"/>
  <c r="EQ98"/>
  <c r="IB100"/>
  <c r="IA100"/>
  <c r="DW65"/>
  <c r="DX65"/>
  <c r="DY65" s="1"/>
  <c r="DZ65" s="1"/>
  <c r="CE50"/>
  <c r="CF50"/>
  <c r="CG50" s="1"/>
  <c r="CH50" s="1"/>
  <c r="FS26"/>
  <c r="FT26"/>
  <c r="FU26" s="1"/>
  <c r="FV26" s="1"/>
  <c r="E239" i="54"/>
  <c r="F238" s="1"/>
  <c r="E267" i="21"/>
  <c r="D267"/>
  <c r="B269"/>
  <c r="F268" s="1"/>
  <c r="F267"/>
  <c r="G267"/>
  <c r="Q142" i="10"/>
  <c r="BW142" s="1"/>
  <c r="BX142" s="1"/>
  <c r="BY142" s="1"/>
  <c r="BZ142" s="1"/>
  <c r="O3" i="21"/>
  <c r="AE174" i="10" s="1"/>
  <c r="CA142" l="1"/>
  <c r="CB142"/>
  <c r="CC142" s="1"/>
  <c r="CD142" s="1"/>
  <c r="DX112"/>
  <c r="DY112" s="1"/>
  <c r="DZ112" s="1"/>
  <c r="DW112"/>
  <c r="GA107"/>
  <c r="GB107"/>
  <c r="GC107" s="1"/>
  <c r="GD107" s="1"/>
  <c r="DW32"/>
  <c r="DX32"/>
  <c r="DY32" s="1"/>
  <c r="DZ32" s="1"/>
  <c r="FW26"/>
  <c r="FX26"/>
  <c r="FY26" s="1"/>
  <c r="FZ26" s="1"/>
  <c r="EA65"/>
  <c r="EB65"/>
  <c r="EC65" s="1"/>
  <c r="ED65" s="1"/>
  <c r="EE57"/>
  <c r="EF57"/>
  <c r="EG57" s="1"/>
  <c r="EH57" s="1"/>
  <c r="FH58"/>
  <c r="FI58" s="1"/>
  <c r="FJ58" s="1"/>
  <c r="FG58"/>
  <c r="CI78"/>
  <c r="CJ78"/>
  <c r="CK78" s="1"/>
  <c r="CL78" s="1"/>
  <c r="IB88"/>
  <c r="IA88"/>
  <c r="CI50"/>
  <c r="CJ50"/>
  <c r="CK50" s="1"/>
  <c r="CL50" s="1"/>
  <c r="DX12"/>
  <c r="DY12" s="1"/>
  <c r="DZ12" s="1"/>
  <c r="DW12"/>
  <c r="DX66"/>
  <c r="DY66" s="1"/>
  <c r="DZ66" s="1"/>
  <c r="DW66"/>
  <c r="EE60"/>
  <c r="EF60"/>
  <c r="EG60" s="1"/>
  <c r="EH60" s="1"/>
  <c r="EV98"/>
  <c r="EW98" s="1"/>
  <c r="EX98" s="1"/>
  <c r="EU98"/>
  <c r="E240" i="54"/>
  <c r="F239" s="1"/>
  <c r="G268" i="21"/>
  <c r="E268"/>
  <c r="B270"/>
  <c r="G269" s="1"/>
  <c r="C268"/>
  <c r="D268"/>
  <c r="EB112" i="10" l="1"/>
  <c r="EC112" s="1"/>
  <c r="ED112" s="1"/>
  <c r="EA112"/>
  <c r="GE107"/>
  <c r="GF107"/>
  <c r="GG107" s="1"/>
  <c r="GH107" s="1"/>
  <c r="CF142"/>
  <c r="CG142" s="1"/>
  <c r="CH142" s="1"/>
  <c r="CE142"/>
  <c r="CM50"/>
  <c r="CN50"/>
  <c r="CO50" s="1"/>
  <c r="CP50" s="1"/>
  <c r="CM78"/>
  <c r="CN78"/>
  <c r="CO78" s="1"/>
  <c r="CP78" s="1"/>
  <c r="EI57"/>
  <c r="EJ57"/>
  <c r="EK57" s="1"/>
  <c r="EL57" s="1"/>
  <c r="EE65"/>
  <c r="EF65"/>
  <c r="EG65" s="1"/>
  <c r="EH65" s="1"/>
  <c r="GB26"/>
  <c r="GC26" s="1"/>
  <c r="GD26" s="1"/>
  <c r="GA26"/>
  <c r="EZ98"/>
  <c r="FA98" s="1"/>
  <c r="FB98" s="1"/>
  <c r="EY98"/>
  <c r="EB66"/>
  <c r="EC66" s="1"/>
  <c r="ED66" s="1"/>
  <c r="EA66"/>
  <c r="EJ60"/>
  <c r="EK60" s="1"/>
  <c r="EL60" s="1"/>
  <c r="EI60"/>
  <c r="EA32"/>
  <c r="EB32"/>
  <c r="EC32" s="1"/>
  <c r="ED32" s="1"/>
  <c r="EB12"/>
  <c r="EC12" s="1"/>
  <c r="ED12" s="1"/>
  <c r="EA12"/>
  <c r="FL58"/>
  <c r="FM58" s="1"/>
  <c r="FN58" s="1"/>
  <c r="FK58"/>
  <c r="E241" i="54"/>
  <c r="F240" s="1"/>
  <c r="C269" i="21"/>
  <c r="D269"/>
  <c r="B271"/>
  <c r="E270" s="1"/>
  <c r="E269"/>
  <c r="F269"/>
  <c r="DR13"/>
  <c r="GJ107" i="10" l="1"/>
  <c r="GK107" s="1"/>
  <c r="GL107" s="1"/>
  <c r="GI107"/>
  <c r="CI142"/>
  <c r="CJ142"/>
  <c r="CK142" s="1"/>
  <c r="CL142" s="1"/>
  <c r="EF112"/>
  <c r="EG112" s="1"/>
  <c r="EH112" s="1"/>
  <c r="EE112"/>
  <c r="EF66"/>
  <c r="EG66" s="1"/>
  <c r="EH66" s="1"/>
  <c r="EE66"/>
  <c r="FO58"/>
  <c r="FP58"/>
  <c r="FQ58" s="1"/>
  <c r="FR58" s="1"/>
  <c r="EM57"/>
  <c r="EN57"/>
  <c r="EO57" s="1"/>
  <c r="EP57" s="1"/>
  <c r="EF12"/>
  <c r="EG12" s="1"/>
  <c r="EH12" s="1"/>
  <c r="EE12"/>
  <c r="EI65"/>
  <c r="EJ65"/>
  <c r="EK65" s="1"/>
  <c r="EL65" s="1"/>
  <c r="CQ78"/>
  <c r="CR78"/>
  <c r="CS78" s="1"/>
  <c r="CT78" s="1"/>
  <c r="CR50"/>
  <c r="CS50" s="1"/>
  <c r="CT50" s="1"/>
  <c r="CQ50"/>
  <c r="EM60"/>
  <c r="EN60"/>
  <c r="EO60" s="1"/>
  <c r="EP60" s="1"/>
  <c r="GF26"/>
  <c r="GG26" s="1"/>
  <c r="GH26" s="1"/>
  <c r="GE26"/>
  <c r="EE32"/>
  <c r="EF32"/>
  <c r="EG32" s="1"/>
  <c r="EH32" s="1"/>
  <c r="FC98"/>
  <c r="FD98"/>
  <c r="FE98" s="1"/>
  <c r="FF98" s="1"/>
  <c r="E242" i="54"/>
  <c r="F241" s="1"/>
  <c r="F270" i="21"/>
  <c r="B272"/>
  <c r="E271" s="1"/>
  <c r="G270"/>
  <c r="D270"/>
  <c r="C270"/>
  <c r="DP13"/>
  <c r="DQ13" s="1"/>
  <c r="DN13"/>
  <c r="GN107" i="10" l="1"/>
  <c r="GO107" s="1"/>
  <c r="GP107" s="1"/>
  <c r="GM107"/>
  <c r="EI112"/>
  <c r="EJ112"/>
  <c r="EK112" s="1"/>
  <c r="EL112" s="1"/>
  <c r="CM142"/>
  <c r="CN142"/>
  <c r="CO142" s="1"/>
  <c r="CP142" s="1"/>
  <c r="EI32"/>
  <c r="EJ32"/>
  <c r="EK32" s="1"/>
  <c r="EL32" s="1"/>
  <c r="EQ60"/>
  <c r="ER60"/>
  <c r="ES60" s="1"/>
  <c r="ET60" s="1"/>
  <c r="EM65"/>
  <c r="EN65"/>
  <c r="EO65" s="1"/>
  <c r="EP65" s="1"/>
  <c r="ER57"/>
  <c r="ES57" s="1"/>
  <c r="ET57" s="1"/>
  <c r="EQ57"/>
  <c r="CU50"/>
  <c r="CV50"/>
  <c r="CW50" s="1"/>
  <c r="CX50" s="1"/>
  <c r="EI12"/>
  <c r="EJ12"/>
  <c r="EK12" s="1"/>
  <c r="EL12" s="1"/>
  <c r="FH98"/>
  <c r="FI98" s="1"/>
  <c r="FJ98" s="1"/>
  <c r="FG98"/>
  <c r="CU78"/>
  <c r="CV78"/>
  <c r="CW78" s="1"/>
  <c r="CX78" s="1"/>
  <c r="FT58"/>
  <c r="FU58" s="1"/>
  <c r="FV58" s="1"/>
  <c r="FS58"/>
  <c r="GI26"/>
  <c r="GJ26"/>
  <c r="GK26" s="1"/>
  <c r="GL26" s="1"/>
  <c r="EJ66"/>
  <c r="EK66" s="1"/>
  <c r="EL66" s="1"/>
  <c r="EI66"/>
  <c r="F271" i="21"/>
  <c r="E243" i="54"/>
  <c r="F242" s="1"/>
  <c r="D271" i="21"/>
  <c r="C271"/>
  <c r="G271"/>
  <c r="B273"/>
  <c r="G272" s="1"/>
  <c r="AZ162" i="10"/>
  <c r="EN112" l="1"/>
  <c r="EO112" s="1"/>
  <c r="EP112" s="1"/>
  <c r="EM112"/>
  <c r="CR142"/>
  <c r="CS142" s="1"/>
  <c r="CT142" s="1"/>
  <c r="CQ142"/>
  <c r="GR107"/>
  <c r="GS107" s="1"/>
  <c r="GT107" s="1"/>
  <c r="GQ107"/>
  <c r="ER65"/>
  <c r="ES65" s="1"/>
  <c r="ET65" s="1"/>
  <c r="EQ65"/>
  <c r="FL98"/>
  <c r="FM98" s="1"/>
  <c r="FN98" s="1"/>
  <c r="FK98"/>
  <c r="EU57"/>
  <c r="EV57"/>
  <c r="EW57" s="1"/>
  <c r="EX57" s="1"/>
  <c r="EU60"/>
  <c r="EV60"/>
  <c r="EW60" s="1"/>
  <c r="EX60" s="1"/>
  <c r="FW58"/>
  <c r="FX58"/>
  <c r="FY58" s="1"/>
  <c r="FZ58" s="1"/>
  <c r="EN12"/>
  <c r="EO12" s="1"/>
  <c r="EP12" s="1"/>
  <c r="EM12"/>
  <c r="GM26"/>
  <c r="GN26"/>
  <c r="GO26" s="1"/>
  <c r="GP26" s="1"/>
  <c r="CZ78"/>
  <c r="DA78" s="1"/>
  <c r="DB78" s="1"/>
  <c r="CY78"/>
  <c r="EM32"/>
  <c r="EN32"/>
  <c r="EO32" s="1"/>
  <c r="EP32" s="1"/>
  <c r="EM66"/>
  <c r="EN66"/>
  <c r="EO66" s="1"/>
  <c r="EP66" s="1"/>
  <c r="CY50"/>
  <c r="CZ50"/>
  <c r="DA50" s="1"/>
  <c r="DB50" s="1"/>
  <c r="E244" i="54"/>
  <c r="F243" s="1"/>
  <c r="D272" i="21"/>
  <c r="B274"/>
  <c r="C273" s="1"/>
  <c r="F272"/>
  <c r="E272"/>
  <c r="C272"/>
  <c r="BX19"/>
  <c r="BZ19" s="1"/>
  <c r="CP16"/>
  <c r="CR16" s="1"/>
  <c r="CW16"/>
  <c r="CZ16" s="1"/>
  <c r="CU142" i="10" l="1"/>
  <c r="CV142"/>
  <c r="CW142" s="1"/>
  <c r="CX142" s="1"/>
  <c r="GU107"/>
  <c r="GV107"/>
  <c r="GW107" s="1"/>
  <c r="GX107" s="1"/>
  <c r="EQ112"/>
  <c r="ER112"/>
  <c r="ES112" s="1"/>
  <c r="ET112" s="1"/>
  <c r="FP98"/>
  <c r="FQ98" s="1"/>
  <c r="FR98" s="1"/>
  <c r="FO98"/>
  <c r="DD78"/>
  <c r="DE78" s="1"/>
  <c r="DF78" s="1"/>
  <c r="DC78"/>
  <c r="GQ26"/>
  <c r="GR26"/>
  <c r="GS26" s="1"/>
  <c r="GT26" s="1"/>
  <c r="GA58"/>
  <c r="GB58"/>
  <c r="GC58" s="1"/>
  <c r="GD58" s="1"/>
  <c r="EZ57"/>
  <c r="FA57" s="1"/>
  <c r="FB57" s="1"/>
  <c r="EY57"/>
  <c r="EU65"/>
  <c r="EV65"/>
  <c r="EW65" s="1"/>
  <c r="EX65" s="1"/>
  <c r="ER32"/>
  <c r="ES32" s="1"/>
  <c r="ET32" s="1"/>
  <c r="EQ32"/>
  <c r="EY60"/>
  <c r="EZ60"/>
  <c r="FA60" s="1"/>
  <c r="FB60" s="1"/>
  <c r="DC50"/>
  <c r="DD50"/>
  <c r="DE50" s="1"/>
  <c r="DF50" s="1"/>
  <c r="ER66"/>
  <c r="ES66" s="1"/>
  <c r="ET66" s="1"/>
  <c r="EQ66"/>
  <c r="EQ12"/>
  <c r="ER12"/>
  <c r="ES12" s="1"/>
  <c r="ET12" s="1"/>
  <c r="F273" i="21"/>
  <c r="E245" i="54"/>
  <c r="F244" s="1"/>
  <c r="B275" i="21"/>
  <c r="F274" s="1"/>
  <c r="G273"/>
  <c r="E273"/>
  <c r="D273"/>
  <c r="CF19"/>
  <c r="CG19" s="1"/>
  <c r="CV16"/>
  <c r="CX16"/>
  <c r="CY16" s="1"/>
  <c r="H62" i="27"/>
  <c r="I62" s="1"/>
  <c r="BF153" i="10"/>
  <c r="BF156" s="1"/>
  <c r="BF159" s="1"/>
  <c r="AT160"/>
  <c r="BB137"/>
  <c r="BC136"/>
  <c r="AD77"/>
  <c r="H72" i="27"/>
  <c r="I72" s="1"/>
  <c r="BE136" i="10" l="1"/>
  <c r="BD136"/>
  <c r="EV112"/>
  <c r="EW112" s="1"/>
  <c r="EX112" s="1"/>
  <c r="EU112"/>
  <c r="GY107"/>
  <c r="GZ107"/>
  <c r="HA107" s="1"/>
  <c r="HB107" s="1"/>
  <c r="CZ142"/>
  <c r="DA142" s="1"/>
  <c r="DB142" s="1"/>
  <c r="CY142"/>
  <c r="FC60"/>
  <c r="FD60"/>
  <c r="FE60" s="1"/>
  <c r="FF60" s="1"/>
  <c r="GU26"/>
  <c r="GV26"/>
  <c r="GW26" s="1"/>
  <c r="GX26" s="1"/>
  <c r="EV12"/>
  <c r="EW12" s="1"/>
  <c r="EX12" s="1"/>
  <c r="EU12"/>
  <c r="EU32"/>
  <c r="EV32"/>
  <c r="EW32" s="1"/>
  <c r="EX32" s="1"/>
  <c r="FC57"/>
  <c r="FD57"/>
  <c r="FE57" s="1"/>
  <c r="FF57" s="1"/>
  <c r="FT98"/>
  <c r="FU98" s="1"/>
  <c r="FV98" s="1"/>
  <c r="FS98"/>
  <c r="DG50"/>
  <c r="DH50"/>
  <c r="DI50" s="1"/>
  <c r="DJ50" s="1"/>
  <c r="DH78"/>
  <c r="DI78" s="1"/>
  <c r="DJ78" s="1"/>
  <c r="DG78"/>
  <c r="EU66"/>
  <c r="EV66"/>
  <c r="EW66" s="1"/>
  <c r="EX66" s="1"/>
  <c r="EY65"/>
  <c r="EZ65"/>
  <c r="FA65" s="1"/>
  <c r="FB65" s="1"/>
  <c r="GE58"/>
  <c r="GF58"/>
  <c r="GG58" s="1"/>
  <c r="GH58" s="1"/>
  <c r="C274" i="21"/>
  <c r="E246" i="54"/>
  <c r="F245" s="1"/>
  <c r="G274" i="21"/>
  <c r="B276"/>
  <c r="D275" s="1"/>
  <c r="E274"/>
  <c r="D274"/>
  <c r="B62" i="27"/>
  <c r="A62"/>
  <c r="U62" s="1"/>
  <c r="B72"/>
  <c r="A72"/>
  <c r="U72" s="1"/>
  <c r="BG153" i="10"/>
  <c r="BG156" s="1"/>
  <c r="BG159" s="1"/>
  <c r="BC137"/>
  <c r="V77"/>
  <c r="S77"/>
  <c r="HC107" l="1"/>
  <c r="HD107"/>
  <c r="HE107" s="1"/>
  <c r="HF107" s="1"/>
  <c r="DC142"/>
  <c r="DD142"/>
  <c r="DE142" s="1"/>
  <c r="DF142" s="1"/>
  <c r="EZ112"/>
  <c r="FA112" s="1"/>
  <c r="FB112" s="1"/>
  <c r="EY112"/>
  <c r="FW98"/>
  <c r="FX98"/>
  <c r="FY98" s="1"/>
  <c r="FZ98" s="1"/>
  <c r="FG60"/>
  <c r="FH60"/>
  <c r="FI60" s="1"/>
  <c r="FJ60" s="1"/>
  <c r="GI58"/>
  <c r="GJ58"/>
  <c r="GK58" s="1"/>
  <c r="GL58" s="1"/>
  <c r="FG57"/>
  <c r="FH57"/>
  <c r="FI57" s="1"/>
  <c r="FJ57" s="1"/>
  <c r="EZ12"/>
  <c r="FA12" s="1"/>
  <c r="FB12" s="1"/>
  <c r="EY12"/>
  <c r="DK78"/>
  <c r="DL78"/>
  <c r="DM78" s="1"/>
  <c r="DN78" s="1"/>
  <c r="GZ26"/>
  <c r="HA26" s="1"/>
  <c r="HB26" s="1"/>
  <c r="GY26"/>
  <c r="FC65"/>
  <c r="FD65"/>
  <c r="FE65" s="1"/>
  <c r="FF65" s="1"/>
  <c r="EZ66"/>
  <c r="FA66" s="1"/>
  <c r="FB66" s="1"/>
  <c r="EY66"/>
  <c r="DK50"/>
  <c r="DL50"/>
  <c r="DM50" s="1"/>
  <c r="DN50" s="1"/>
  <c r="EZ32"/>
  <c r="FA32" s="1"/>
  <c r="FB32" s="1"/>
  <c r="EY32"/>
  <c r="E247" i="54"/>
  <c r="F246" s="1"/>
  <c r="E275" i="21"/>
  <c r="F275"/>
  <c r="B277"/>
  <c r="F276" s="1"/>
  <c r="G275"/>
  <c r="C275"/>
  <c r="T77" i="10"/>
  <c r="Y77" s="1"/>
  <c r="W77"/>
  <c r="AE77"/>
  <c r="L77"/>
  <c r="R77"/>
  <c r="AT163"/>
  <c r="FC112" l="1"/>
  <c r="FD112"/>
  <c r="FE112" s="1"/>
  <c r="FF112" s="1"/>
  <c r="DG142"/>
  <c r="DH142"/>
  <c r="DI142" s="1"/>
  <c r="DJ142" s="1"/>
  <c r="HH107"/>
  <c r="HI107" s="1"/>
  <c r="HJ107" s="1"/>
  <c r="HG107"/>
  <c r="GB98"/>
  <c r="GC98" s="1"/>
  <c r="GD98" s="1"/>
  <c r="GA98"/>
  <c r="DP50"/>
  <c r="DQ50" s="1"/>
  <c r="DR50" s="1"/>
  <c r="DO50"/>
  <c r="FG65"/>
  <c r="FH65"/>
  <c r="FI65" s="1"/>
  <c r="FJ65" s="1"/>
  <c r="FK57"/>
  <c r="FL57"/>
  <c r="FM57" s="1"/>
  <c r="FN57" s="1"/>
  <c r="FK60"/>
  <c r="FL60"/>
  <c r="FM60" s="1"/>
  <c r="FN60" s="1"/>
  <c r="DO78"/>
  <c r="DP78"/>
  <c r="DQ78" s="1"/>
  <c r="DR78" s="1"/>
  <c r="GM58"/>
  <c r="GN58"/>
  <c r="GO58" s="1"/>
  <c r="GP58" s="1"/>
  <c r="FC32"/>
  <c r="FD32"/>
  <c r="FE32" s="1"/>
  <c r="FF32" s="1"/>
  <c r="FC66"/>
  <c r="FD66"/>
  <c r="FE66" s="1"/>
  <c r="FF66" s="1"/>
  <c r="HC26"/>
  <c r="HD26"/>
  <c r="HE26" s="1"/>
  <c r="HF26" s="1"/>
  <c r="FD12"/>
  <c r="FE12" s="1"/>
  <c r="FF12" s="1"/>
  <c r="FC12"/>
  <c r="E248" i="54"/>
  <c r="F247" s="1"/>
  <c r="G276" i="21"/>
  <c r="E276"/>
  <c r="C276"/>
  <c r="B278"/>
  <c r="D277" s="1"/>
  <c r="D276"/>
  <c r="Z77" i="10"/>
  <c r="AA77" s="1"/>
  <c r="AB77" s="1"/>
  <c r="M77"/>
  <c r="BD124"/>
  <c r="DK142" l="1"/>
  <c r="DL142"/>
  <c r="DM142" s="1"/>
  <c r="DN142" s="1"/>
  <c r="HK107"/>
  <c r="HL107"/>
  <c r="HM107" s="1"/>
  <c r="HN107" s="1"/>
  <c r="FH112"/>
  <c r="FI112" s="1"/>
  <c r="FJ112" s="1"/>
  <c r="FG112"/>
  <c r="FH12"/>
  <c r="FI12" s="1"/>
  <c r="FJ12" s="1"/>
  <c r="FG12"/>
  <c r="FO57"/>
  <c r="FP57"/>
  <c r="FQ57" s="1"/>
  <c r="FR57" s="1"/>
  <c r="HG26"/>
  <c r="HH26"/>
  <c r="HI26" s="1"/>
  <c r="HJ26" s="1"/>
  <c r="FG32"/>
  <c r="FH32"/>
  <c r="FI32" s="1"/>
  <c r="FJ32" s="1"/>
  <c r="DS78"/>
  <c r="DT78"/>
  <c r="DU78" s="1"/>
  <c r="DV78" s="1"/>
  <c r="DT50"/>
  <c r="DU50" s="1"/>
  <c r="DV50" s="1"/>
  <c r="DS50"/>
  <c r="FO60"/>
  <c r="FP60"/>
  <c r="FQ60" s="1"/>
  <c r="FR60" s="1"/>
  <c r="FK65"/>
  <c r="FL65"/>
  <c r="FM65" s="1"/>
  <c r="FN65" s="1"/>
  <c r="FG66"/>
  <c r="FH66"/>
  <c r="FI66" s="1"/>
  <c r="FJ66" s="1"/>
  <c r="GQ58"/>
  <c r="GR58"/>
  <c r="GS58" s="1"/>
  <c r="GT58" s="1"/>
  <c r="GF98"/>
  <c r="GG98" s="1"/>
  <c r="GH98" s="1"/>
  <c r="GE98"/>
  <c r="E249" i="54"/>
  <c r="F248" s="1"/>
  <c r="B279" i="21"/>
  <c r="G278" s="1"/>
  <c r="G277"/>
  <c r="E277"/>
  <c r="F277"/>
  <c r="C277"/>
  <c r="BE167" i="10"/>
  <c r="AD65"/>
  <c r="HO107" l="1"/>
  <c r="HP107"/>
  <c r="HQ107" s="1"/>
  <c r="HR107" s="1"/>
  <c r="FL112"/>
  <c r="FM112" s="1"/>
  <c r="FN112" s="1"/>
  <c r="FK112"/>
  <c r="DO142"/>
  <c r="DP142"/>
  <c r="DQ142" s="1"/>
  <c r="DR142" s="1"/>
  <c r="GJ98"/>
  <c r="GK98" s="1"/>
  <c r="GL98" s="1"/>
  <c r="GI98"/>
  <c r="GV58"/>
  <c r="GW58" s="1"/>
  <c r="GX58" s="1"/>
  <c r="GU58"/>
  <c r="FP65"/>
  <c r="FQ65" s="1"/>
  <c r="FR65" s="1"/>
  <c r="FO65"/>
  <c r="FT60"/>
  <c r="FU60" s="1"/>
  <c r="FV60" s="1"/>
  <c r="FS60"/>
  <c r="FL32"/>
  <c r="FM32" s="1"/>
  <c r="FN32" s="1"/>
  <c r="FK32"/>
  <c r="FK12"/>
  <c r="FL12"/>
  <c r="FM12" s="1"/>
  <c r="FN12" s="1"/>
  <c r="FL66"/>
  <c r="FM66" s="1"/>
  <c r="FN66" s="1"/>
  <c r="FK66"/>
  <c r="DW78"/>
  <c r="DX78"/>
  <c r="DY78" s="1"/>
  <c r="DZ78" s="1"/>
  <c r="HK26"/>
  <c r="HL26"/>
  <c r="HM26" s="1"/>
  <c r="HN26" s="1"/>
  <c r="FS57"/>
  <c r="FT57"/>
  <c r="FU57" s="1"/>
  <c r="FV57" s="1"/>
  <c r="DX50"/>
  <c r="DY50" s="1"/>
  <c r="DZ50" s="1"/>
  <c r="DW50"/>
  <c r="E250" i="54"/>
  <c r="F249" s="1"/>
  <c r="D278" i="21"/>
  <c r="F278"/>
  <c r="C278"/>
  <c r="B280"/>
  <c r="C279" s="1"/>
  <c r="E278"/>
  <c r="V65" i="10"/>
  <c r="S65"/>
  <c r="FP112" l="1"/>
  <c r="FQ112" s="1"/>
  <c r="FR112" s="1"/>
  <c r="FO112"/>
  <c r="DS142"/>
  <c r="DT142"/>
  <c r="DU142" s="1"/>
  <c r="DV142" s="1"/>
  <c r="HS107"/>
  <c r="HT107"/>
  <c r="HU107" s="1"/>
  <c r="HV107" s="1"/>
  <c r="FW57"/>
  <c r="FX57"/>
  <c r="FY57" s="1"/>
  <c r="FZ57" s="1"/>
  <c r="FP12"/>
  <c r="FQ12" s="1"/>
  <c r="FR12" s="1"/>
  <c r="FO12"/>
  <c r="HO26"/>
  <c r="HP26"/>
  <c r="HQ26" s="1"/>
  <c r="HR26" s="1"/>
  <c r="EA78"/>
  <c r="EB78"/>
  <c r="EC78" s="1"/>
  <c r="ED78" s="1"/>
  <c r="EA50"/>
  <c r="EB50"/>
  <c r="EC50" s="1"/>
  <c r="ED50" s="1"/>
  <c r="FW60"/>
  <c r="FX60"/>
  <c r="FY60" s="1"/>
  <c r="FZ60" s="1"/>
  <c r="GY58"/>
  <c r="GZ58"/>
  <c r="HA58" s="1"/>
  <c r="HB58" s="1"/>
  <c r="FO66"/>
  <c r="FP66"/>
  <c r="FQ66" s="1"/>
  <c r="FR66" s="1"/>
  <c r="FO32"/>
  <c r="FP32"/>
  <c r="FQ32" s="1"/>
  <c r="FR32" s="1"/>
  <c r="FT65"/>
  <c r="FU65" s="1"/>
  <c r="FV65" s="1"/>
  <c r="FS65"/>
  <c r="GN98"/>
  <c r="GO98" s="1"/>
  <c r="GP98" s="1"/>
  <c r="GM98"/>
  <c r="E251" i="54"/>
  <c r="F250" s="1"/>
  <c r="G279" i="21"/>
  <c r="D279"/>
  <c r="F279"/>
  <c r="B281"/>
  <c r="C280" s="1"/>
  <c r="E279"/>
  <c r="R65" i="10"/>
  <c r="W65"/>
  <c r="AE65"/>
  <c r="L65"/>
  <c r="T65"/>
  <c r="Y65" s="1"/>
  <c r="DW142" l="1"/>
  <c r="DX142"/>
  <c r="DY142" s="1"/>
  <c r="DZ142" s="1"/>
  <c r="HW107"/>
  <c r="HX107"/>
  <c r="HY107" s="1"/>
  <c r="HZ107" s="1"/>
  <c r="FS112"/>
  <c r="FT112"/>
  <c r="FU112" s="1"/>
  <c r="FV112" s="1"/>
  <c r="HC58"/>
  <c r="HD58"/>
  <c r="HE58" s="1"/>
  <c r="HF58" s="1"/>
  <c r="GR98"/>
  <c r="GS98" s="1"/>
  <c r="GT98" s="1"/>
  <c r="GQ98"/>
  <c r="FT32"/>
  <c r="FU32" s="1"/>
  <c r="FV32" s="1"/>
  <c r="FS32"/>
  <c r="EF50"/>
  <c r="EG50" s="1"/>
  <c r="EH50" s="1"/>
  <c r="EE50"/>
  <c r="EE78"/>
  <c r="EF78"/>
  <c r="EG78" s="1"/>
  <c r="EH78" s="1"/>
  <c r="HS26"/>
  <c r="HT26"/>
  <c r="HU26" s="1"/>
  <c r="HV26" s="1"/>
  <c r="FS12"/>
  <c r="FT12"/>
  <c r="FU12" s="1"/>
  <c r="FV12" s="1"/>
  <c r="FW65"/>
  <c r="FX65"/>
  <c r="FY65" s="1"/>
  <c r="FZ65" s="1"/>
  <c r="FS66"/>
  <c r="FT66"/>
  <c r="FU66" s="1"/>
  <c r="FV66" s="1"/>
  <c r="GB57"/>
  <c r="GC57" s="1"/>
  <c r="GD57" s="1"/>
  <c r="GA57"/>
  <c r="GA60"/>
  <c r="GB60"/>
  <c r="GC60" s="1"/>
  <c r="GD60" s="1"/>
  <c r="E252" i="54"/>
  <c r="F251" s="1"/>
  <c r="G280" i="21"/>
  <c r="B282"/>
  <c r="D281" s="1"/>
  <c r="F280"/>
  <c r="D280"/>
  <c r="E280"/>
  <c r="Z65" i="10"/>
  <c r="AA65" s="1"/>
  <c r="AB65" s="1"/>
  <c r="M65"/>
  <c r="FW112" l="1"/>
  <c r="FX112"/>
  <c r="FY112" s="1"/>
  <c r="FZ112" s="1"/>
  <c r="EB142"/>
  <c r="EC142" s="1"/>
  <c r="ED142" s="1"/>
  <c r="EA142"/>
  <c r="IA107"/>
  <c r="IB107"/>
  <c r="FX12"/>
  <c r="FY12" s="1"/>
  <c r="FZ12" s="1"/>
  <c r="FW12"/>
  <c r="GF57"/>
  <c r="GG57" s="1"/>
  <c r="GH57" s="1"/>
  <c r="GE57"/>
  <c r="EJ78"/>
  <c r="EK78" s="1"/>
  <c r="EL78" s="1"/>
  <c r="EI78"/>
  <c r="HG58"/>
  <c r="HH58"/>
  <c r="HI58" s="1"/>
  <c r="HJ58" s="1"/>
  <c r="HW26"/>
  <c r="HX26"/>
  <c r="HY26" s="1"/>
  <c r="HZ26" s="1"/>
  <c r="GF60"/>
  <c r="GG60" s="1"/>
  <c r="GH60" s="1"/>
  <c r="GE60"/>
  <c r="GB65"/>
  <c r="GC65" s="1"/>
  <c r="GD65" s="1"/>
  <c r="GA65"/>
  <c r="FX32"/>
  <c r="FY32" s="1"/>
  <c r="FZ32" s="1"/>
  <c r="FW32"/>
  <c r="FW66"/>
  <c r="FX66"/>
  <c r="FY66" s="1"/>
  <c r="FZ66" s="1"/>
  <c r="EJ50"/>
  <c r="EK50" s="1"/>
  <c r="EL50" s="1"/>
  <c r="EI50"/>
  <c r="GU98"/>
  <c r="GV98"/>
  <c r="GW98" s="1"/>
  <c r="GX98" s="1"/>
  <c r="E281" i="21"/>
  <c r="E253" i="54"/>
  <c r="F252" s="1"/>
  <c r="C281" i="21"/>
  <c r="B283"/>
  <c r="C282" s="1"/>
  <c r="G281"/>
  <c r="F281"/>
  <c r="EF142" i="10" l="1"/>
  <c r="EG142" s="1"/>
  <c r="EH142" s="1"/>
  <c r="EE142"/>
  <c r="GA112"/>
  <c r="GB112"/>
  <c r="GC112" s="1"/>
  <c r="GD112" s="1"/>
  <c r="EM50"/>
  <c r="EN50"/>
  <c r="EO50" s="1"/>
  <c r="EP50" s="1"/>
  <c r="GE65"/>
  <c r="GF65"/>
  <c r="GG65" s="1"/>
  <c r="GH65" s="1"/>
  <c r="IB26"/>
  <c r="IA26"/>
  <c r="GZ98"/>
  <c r="HA98" s="1"/>
  <c r="HB98" s="1"/>
  <c r="GY98"/>
  <c r="GI60"/>
  <c r="GJ60"/>
  <c r="GK60" s="1"/>
  <c r="GL60" s="1"/>
  <c r="GA66"/>
  <c r="GB66"/>
  <c r="GC66" s="1"/>
  <c r="GD66" s="1"/>
  <c r="GA32"/>
  <c r="GB32"/>
  <c r="GC32" s="1"/>
  <c r="GD32" s="1"/>
  <c r="HK58"/>
  <c r="HL58"/>
  <c r="HM58" s="1"/>
  <c r="HN58" s="1"/>
  <c r="GJ57"/>
  <c r="GK57" s="1"/>
  <c r="GL57" s="1"/>
  <c r="GI57"/>
  <c r="EM78"/>
  <c r="EN78"/>
  <c r="EO78" s="1"/>
  <c r="EP78" s="1"/>
  <c r="GA12"/>
  <c r="GB12"/>
  <c r="GC12" s="1"/>
  <c r="GD12" s="1"/>
  <c r="E254" i="54"/>
  <c r="F253" s="1"/>
  <c r="B284" i="21"/>
  <c r="C283" s="1"/>
  <c r="D282"/>
  <c r="G282"/>
  <c r="F282"/>
  <c r="E282"/>
  <c r="Q115" i="10"/>
  <c r="BW115" s="1"/>
  <c r="BX115" s="1"/>
  <c r="BY115" s="1"/>
  <c r="BZ115" s="1"/>
  <c r="CB115" l="1"/>
  <c r="CC115" s="1"/>
  <c r="CD115" s="1"/>
  <c r="CA115"/>
  <c r="GE112"/>
  <c r="GF112"/>
  <c r="GG112" s="1"/>
  <c r="GH112" s="1"/>
  <c r="EI142"/>
  <c r="EJ142"/>
  <c r="EK142" s="1"/>
  <c r="EL142" s="1"/>
  <c r="HP58"/>
  <c r="HQ58" s="1"/>
  <c r="HR58" s="1"/>
  <c r="HO58"/>
  <c r="EQ50"/>
  <c r="ER50"/>
  <c r="ES50" s="1"/>
  <c r="ET50" s="1"/>
  <c r="EQ78"/>
  <c r="ER78"/>
  <c r="ES78" s="1"/>
  <c r="ET78" s="1"/>
  <c r="GE66"/>
  <c r="GF66"/>
  <c r="GG66" s="1"/>
  <c r="GH66" s="1"/>
  <c r="GM60"/>
  <c r="GN60"/>
  <c r="GO60" s="1"/>
  <c r="GP60" s="1"/>
  <c r="GF12"/>
  <c r="GG12" s="1"/>
  <c r="GH12" s="1"/>
  <c r="GE12"/>
  <c r="HD98"/>
  <c r="HE98" s="1"/>
  <c r="HF98" s="1"/>
  <c r="HC98"/>
  <c r="GN57"/>
  <c r="GO57" s="1"/>
  <c r="GP57" s="1"/>
  <c r="GM57"/>
  <c r="GE32"/>
  <c r="GF32"/>
  <c r="GG32" s="1"/>
  <c r="GH32" s="1"/>
  <c r="GI65"/>
  <c r="GJ65"/>
  <c r="GK65" s="1"/>
  <c r="GL65" s="1"/>
  <c r="E255" i="54"/>
  <c r="F254" s="1"/>
  <c r="B285" i="21"/>
  <c r="D284" s="1"/>
  <c r="F283"/>
  <c r="D283"/>
  <c r="G283"/>
  <c r="E283"/>
  <c r="BC161" i="10"/>
  <c r="DH15" i="21"/>
  <c r="DJ15" s="1"/>
  <c r="DR15"/>
  <c r="DH16"/>
  <c r="DJ16" s="1"/>
  <c r="DR16"/>
  <c r="GJ112" i="10" l="1"/>
  <c r="GK112" s="1"/>
  <c r="GL112" s="1"/>
  <c r="GI112"/>
  <c r="CF115"/>
  <c r="CG115" s="1"/>
  <c r="CH115" s="1"/>
  <c r="CE115"/>
  <c r="EN142"/>
  <c r="EO142" s="1"/>
  <c r="EP142" s="1"/>
  <c r="EM142"/>
  <c r="GQ57"/>
  <c r="GR57"/>
  <c r="GS57" s="1"/>
  <c r="GT57" s="1"/>
  <c r="HG98"/>
  <c r="HH98"/>
  <c r="HI98" s="1"/>
  <c r="HJ98" s="1"/>
  <c r="GI66"/>
  <c r="GJ66"/>
  <c r="GK66" s="1"/>
  <c r="GL66" s="1"/>
  <c r="GM65"/>
  <c r="GN65"/>
  <c r="GO65" s="1"/>
  <c r="GP65" s="1"/>
  <c r="GI32"/>
  <c r="GJ32"/>
  <c r="GK32" s="1"/>
  <c r="GL32" s="1"/>
  <c r="EU78"/>
  <c r="EV78"/>
  <c r="EW78" s="1"/>
  <c r="EX78" s="1"/>
  <c r="EV50"/>
  <c r="EW50" s="1"/>
  <c r="EX50" s="1"/>
  <c r="EU50"/>
  <c r="GJ12"/>
  <c r="GK12" s="1"/>
  <c r="GL12" s="1"/>
  <c r="GI12"/>
  <c r="GR60"/>
  <c r="GS60" s="1"/>
  <c r="GT60" s="1"/>
  <c r="GQ60"/>
  <c r="HT58"/>
  <c r="HU58" s="1"/>
  <c r="HV58" s="1"/>
  <c r="HS58"/>
  <c r="E256" i="54"/>
  <c r="F255" s="1"/>
  <c r="E284" i="21"/>
  <c r="B286"/>
  <c r="C285" s="1"/>
  <c r="F284"/>
  <c r="C284"/>
  <c r="G284"/>
  <c r="DP15"/>
  <c r="DQ15" s="1"/>
  <c r="DN15"/>
  <c r="DP16"/>
  <c r="DQ16" s="1"/>
  <c r="DN16"/>
  <c r="CJ115" i="10" l="1"/>
  <c r="CK115" s="1"/>
  <c r="CL115" s="1"/>
  <c r="CI115"/>
  <c r="EQ142"/>
  <c r="ER142"/>
  <c r="ES142" s="1"/>
  <c r="ET142" s="1"/>
  <c r="GN112"/>
  <c r="GO112" s="1"/>
  <c r="GP112" s="1"/>
  <c r="GM112"/>
  <c r="GR65"/>
  <c r="GS65" s="1"/>
  <c r="GT65" s="1"/>
  <c r="GQ65"/>
  <c r="HL98"/>
  <c r="HM98" s="1"/>
  <c r="HN98" s="1"/>
  <c r="HK98"/>
  <c r="HX58"/>
  <c r="HY58" s="1"/>
  <c r="HZ58" s="1"/>
  <c r="HW58"/>
  <c r="GN12"/>
  <c r="GO12" s="1"/>
  <c r="GP12" s="1"/>
  <c r="GM12"/>
  <c r="EY50"/>
  <c r="EZ50"/>
  <c r="FA50" s="1"/>
  <c r="FB50" s="1"/>
  <c r="EY78"/>
  <c r="EZ78"/>
  <c r="FA78" s="1"/>
  <c r="FB78" s="1"/>
  <c r="GN66"/>
  <c r="GO66" s="1"/>
  <c r="GP66" s="1"/>
  <c r="GM66"/>
  <c r="GU60"/>
  <c r="GV60"/>
  <c r="GW60" s="1"/>
  <c r="GX60" s="1"/>
  <c r="GM32"/>
  <c r="GN32"/>
  <c r="GO32" s="1"/>
  <c r="GP32" s="1"/>
  <c r="GU57"/>
  <c r="GV57"/>
  <c r="GW57" s="1"/>
  <c r="GX57" s="1"/>
  <c r="E257" i="54"/>
  <c r="F256" s="1"/>
  <c r="F285" i="21"/>
  <c r="E285"/>
  <c r="D285"/>
  <c r="B287"/>
  <c r="E286" s="1"/>
  <c r="G285"/>
  <c r="DF42"/>
  <c r="X195" i="10"/>
  <c r="BX22" i="21"/>
  <c r="BZ22" s="1"/>
  <c r="CP17"/>
  <c r="CR17" s="1"/>
  <c r="CW17"/>
  <c r="CZ17" s="1"/>
  <c r="AT157" i="10"/>
  <c r="EV142" l="1"/>
  <c r="EW142" s="1"/>
  <c r="EX142" s="1"/>
  <c r="EU142"/>
  <c r="GQ112"/>
  <c r="GR112"/>
  <c r="GS112" s="1"/>
  <c r="GT112" s="1"/>
  <c r="CN115"/>
  <c r="CO115" s="1"/>
  <c r="CP115" s="1"/>
  <c r="CM115"/>
  <c r="GY60"/>
  <c r="GZ60"/>
  <c r="HA60" s="1"/>
  <c r="HB60" s="1"/>
  <c r="GR12"/>
  <c r="GS12" s="1"/>
  <c r="GT12" s="1"/>
  <c r="GQ12"/>
  <c r="HP98"/>
  <c r="HQ98" s="1"/>
  <c r="HR98" s="1"/>
  <c r="HO98"/>
  <c r="GY57"/>
  <c r="GZ57"/>
  <c r="HA57" s="1"/>
  <c r="HB57" s="1"/>
  <c r="FC50"/>
  <c r="FD50"/>
  <c r="FE50" s="1"/>
  <c r="FF50" s="1"/>
  <c r="IB58"/>
  <c r="IA58"/>
  <c r="GV65"/>
  <c r="GW65" s="1"/>
  <c r="GX65" s="1"/>
  <c r="GU65"/>
  <c r="GR32"/>
  <c r="GS32" s="1"/>
  <c r="GT32" s="1"/>
  <c r="GQ32"/>
  <c r="GQ66"/>
  <c r="GR66"/>
  <c r="GS66" s="1"/>
  <c r="GT66" s="1"/>
  <c r="FD78"/>
  <c r="FE78" s="1"/>
  <c r="FF78" s="1"/>
  <c r="FC78"/>
  <c r="E258" i="54"/>
  <c r="F257" s="1"/>
  <c r="B288" i="21"/>
  <c r="G287" s="1"/>
  <c r="C286"/>
  <c r="F286"/>
  <c r="G286"/>
  <c r="D286"/>
  <c r="AT156" i="10"/>
  <c r="CF22" i="21"/>
  <c r="CG22" s="1"/>
  <c r="CV17"/>
  <c r="CX17"/>
  <c r="CY17" s="1"/>
  <c r="AV157" i="10"/>
  <c r="BB162"/>
  <c r="GU112" l="1"/>
  <c r="GV112"/>
  <c r="GW112" s="1"/>
  <c r="GX112" s="1"/>
  <c r="CR115"/>
  <c r="CS115" s="1"/>
  <c r="CT115" s="1"/>
  <c r="CQ115"/>
  <c r="EY142"/>
  <c r="EZ142"/>
  <c r="FA142" s="1"/>
  <c r="FB142" s="1"/>
  <c r="GY65"/>
  <c r="GZ65"/>
  <c r="HA65" s="1"/>
  <c r="HB65" s="1"/>
  <c r="HS98"/>
  <c r="HT98"/>
  <c r="HU98" s="1"/>
  <c r="HV98" s="1"/>
  <c r="FH78"/>
  <c r="FI78" s="1"/>
  <c r="FJ78" s="1"/>
  <c r="FG78"/>
  <c r="HC57"/>
  <c r="HD57"/>
  <c r="HE57" s="1"/>
  <c r="HF57" s="1"/>
  <c r="GV32"/>
  <c r="GW32" s="1"/>
  <c r="GX32" s="1"/>
  <c r="GU32"/>
  <c r="GU12"/>
  <c r="GV12"/>
  <c r="GW12" s="1"/>
  <c r="GX12" s="1"/>
  <c r="HC60"/>
  <c r="HD60"/>
  <c r="HE60" s="1"/>
  <c r="HF60" s="1"/>
  <c r="GV66"/>
  <c r="GW66" s="1"/>
  <c r="GX66" s="1"/>
  <c r="GU66"/>
  <c r="FH50"/>
  <c r="FI50" s="1"/>
  <c r="FJ50" s="1"/>
  <c r="FG50"/>
  <c r="E259" i="54"/>
  <c r="F258" s="1"/>
  <c r="D287" i="21"/>
  <c r="C287"/>
  <c r="B289"/>
  <c r="F288" s="1"/>
  <c r="F287"/>
  <c r="E287"/>
  <c r="AX157" i="10"/>
  <c r="FJ44" i="21"/>
  <c r="FL44"/>
  <c r="FO44"/>
  <c r="EY55"/>
  <c r="FC55"/>
  <c r="FD55"/>
  <c r="FC56"/>
  <c r="FD56"/>
  <c r="FC57"/>
  <c r="FD57"/>
  <c r="FC58"/>
  <c r="FD58"/>
  <c r="FC59"/>
  <c r="FD59"/>
  <c r="FC60"/>
  <c r="FD60"/>
  <c r="FC61"/>
  <c r="FD61"/>
  <c r="FC62"/>
  <c r="FD62"/>
  <c r="FC63"/>
  <c r="FD63"/>
  <c r="FC64"/>
  <c r="FD64"/>
  <c r="FC65"/>
  <c r="FD65"/>
  <c r="FC66"/>
  <c r="FD66"/>
  <c r="FC67"/>
  <c r="FD67"/>
  <c r="FC68"/>
  <c r="FD68"/>
  <c r="FC69"/>
  <c r="FD69"/>
  <c r="FC70"/>
  <c r="FD70"/>
  <c r="FC71"/>
  <c r="FD71"/>
  <c r="FC72"/>
  <c r="FD72"/>
  <c r="FC73"/>
  <c r="FD73"/>
  <c r="FC74"/>
  <c r="FD74"/>
  <c r="FC75"/>
  <c r="FD75"/>
  <c r="FC76"/>
  <c r="FD76"/>
  <c r="EM13"/>
  <c r="EL13"/>
  <c r="EG13"/>
  <c r="EM14"/>
  <c r="EL14"/>
  <c r="EM15"/>
  <c r="EL15"/>
  <c r="EM16"/>
  <c r="EL16"/>
  <c r="EM17"/>
  <c r="EL17"/>
  <c r="EM19"/>
  <c r="EM20"/>
  <c r="EM21"/>
  <c r="EM22"/>
  <c r="EM23"/>
  <c r="EM24"/>
  <c r="EM25"/>
  <c r="CV115" i="10" l="1"/>
  <c r="CW115" s="1"/>
  <c r="CX115" s="1"/>
  <c r="CU115"/>
  <c r="GY112"/>
  <c r="GZ112"/>
  <c r="HA112" s="1"/>
  <c r="HB112" s="1"/>
  <c r="FC142"/>
  <c r="FD142"/>
  <c r="FE142" s="1"/>
  <c r="FF142" s="1"/>
  <c r="GY12"/>
  <c r="GZ12"/>
  <c r="HA12" s="1"/>
  <c r="HB12" s="1"/>
  <c r="GY66"/>
  <c r="GZ66"/>
  <c r="HA66" s="1"/>
  <c r="HB66" s="1"/>
  <c r="FK50"/>
  <c r="FL50"/>
  <c r="FM50" s="1"/>
  <c r="FN50" s="1"/>
  <c r="GY32"/>
  <c r="GZ32"/>
  <c r="HA32" s="1"/>
  <c r="HB32" s="1"/>
  <c r="FK78"/>
  <c r="FL78"/>
  <c r="FM78" s="1"/>
  <c r="FN78" s="1"/>
  <c r="HX98"/>
  <c r="HY98" s="1"/>
  <c r="HZ98" s="1"/>
  <c r="HW98"/>
  <c r="HG57"/>
  <c r="HH57"/>
  <c r="HI57" s="1"/>
  <c r="HJ57" s="1"/>
  <c r="HC65"/>
  <c r="HD65"/>
  <c r="HE65" s="1"/>
  <c r="HF65" s="1"/>
  <c r="HG60"/>
  <c r="HH60"/>
  <c r="HI60" s="1"/>
  <c r="HJ60" s="1"/>
  <c r="FK44" i="21"/>
  <c r="FN45" s="1"/>
  <c r="FM45"/>
  <c r="E260" i="54"/>
  <c r="F259" s="1"/>
  <c r="D288" i="21"/>
  <c r="G288"/>
  <c r="E288"/>
  <c r="B290"/>
  <c r="G289" s="1"/>
  <c r="C28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L288"/>
  <c r="HD112" i="10" l="1"/>
  <c r="HE112" s="1"/>
  <c r="HF112" s="1"/>
  <c r="HC112"/>
  <c r="FG142"/>
  <c r="FH142"/>
  <c r="FI142" s="1"/>
  <c r="FJ142" s="1"/>
  <c r="CZ115"/>
  <c r="DA115" s="1"/>
  <c r="DB115" s="1"/>
  <c r="CY115"/>
  <c r="IB98"/>
  <c r="IA98"/>
  <c r="HK57"/>
  <c r="HL57"/>
  <c r="HM57" s="1"/>
  <c r="HN57" s="1"/>
  <c r="HL60"/>
  <c r="HM60" s="1"/>
  <c r="HN60" s="1"/>
  <c r="HK60"/>
  <c r="HD32"/>
  <c r="HE32" s="1"/>
  <c r="HF32" s="1"/>
  <c r="HC32"/>
  <c r="HC66"/>
  <c r="HD66"/>
  <c r="HE66" s="1"/>
  <c r="HF66" s="1"/>
  <c r="HG65"/>
  <c r="HH65"/>
  <c r="HI65" s="1"/>
  <c r="HJ65" s="1"/>
  <c r="FP78"/>
  <c r="FQ78" s="1"/>
  <c r="FR78" s="1"/>
  <c r="FO78"/>
  <c r="FO50"/>
  <c r="FP50"/>
  <c r="FQ50" s="1"/>
  <c r="FR50" s="1"/>
  <c r="HD12"/>
  <c r="HE12" s="1"/>
  <c r="HF12" s="1"/>
  <c r="HC12"/>
  <c r="E261" i="54"/>
  <c r="F260" s="1"/>
  <c r="K289" i="21"/>
  <c r="C289"/>
  <c r="E289"/>
  <c r="B291"/>
  <c r="F290" s="1"/>
  <c r="F289"/>
  <c r="D289"/>
  <c r="L289"/>
  <c r="R185" i="10"/>
  <c r="DD115" l="1"/>
  <c r="DE115" s="1"/>
  <c r="DF115" s="1"/>
  <c r="DC115"/>
  <c r="FK142"/>
  <c r="FL142"/>
  <c r="FM142" s="1"/>
  <c r="FN142" s="1"/>
  <c r="HH112"/>
  <c r="HI112" s="1"/>
  <c r="HJ112" s="1"/>
  <c r="HG112"/>
  <c r="HH12"/>
  <c r="HI12" s="1"/>
  <c r="HJ12" s="1"/>
  <c r="HG12"/>
  <c r="FS78"/>
  <c r="FT78"/>
  <c r="FU78" s="1"/>
  <c r="FV78" s="1"/>
  <c r="FS50"/>
  <c r="FT50"/>
  <c r="FU50" s="1"/>
  <c r="FV50" s="1"/>
  <c r="HL65"/>
  <c r="HM65" s="1"/>
  <c r="HN65" s="1"/>
  <c r="HK65"/>
  <c r="HG32"/>
  <c r="HH32"/>
  <c r="HI32" s="1"/>
  <c r="HJ32" s="1"/>
  <c r="HO57"/>
  <c r="HP57"/>
  <c r="HQ57" s="1"/>
  <c r="HR57" s="1"/>
  <c r="HG66"/>
  <c r="HH66"/>
  <c r="HI66" s="1"/>
  <c r="HJ66" s="1"/>
  <c r="HO60"/>
  <c r="HP60"/>
  <c r="HQ60" s="1"/>
  <c r="HR60" s="1"/>
  <c r="G290" i="21"/>
  <c r="E262" i="54"/>
  <c r="F261" s="1"/>
  <c r="K290" i="21"/>
  <c r="C290"/>
  <c r="D290"/>
  <c r="E290"/>
  <c r="L290"/>
  <c r="B292"/>
  <c r="C291" s="1"/>
  <c r="DH18"/>
  <c r="DJ18" s="1"/>
  <c r="FP142" i="10" l="1"/>
  <c r="FQ142" s="1"/>
  <c r="FR142" s="1"/>
  <c r="FO142"/>
  <c r="HL112"/>
  <c r="HM112" s="1"/>
  <c r="HN112" s="1"/>
  <c r="HK112"/>
  <c r="DG115"/>
  <c r="DH115"/>
  <c r="DI115" s="1"/>
  <c r="DJ115" s="1"/>
  <c r="FW50"/>
  <c r="FX50"/>
  <c r="FY50" s="1"/>
  <c r="FZ50" s="1"/>
  <c r="FX78"/>
  <c r="FY78" s="1"/>
  <c r="FZ78" s="1"/>
  <c r="FW78"/>
  <c r="HS60"/>
  <c r="HT60"/>
  <c r="HU60" s="1"/>
  <c r="HV60" s="1"/>
  <c r="HT57"/>
  <c r="HU57" s="1"/>
  <c r="HV57" s="1"/>
  <c r="HS57"/>
  <c r="HP65"/>
  <c r="HQ65" s="1"/>
  <c r="HR65" s="1"/>
  <c r="HO65"/>
  <c r="HK12"/>
  <c r="HL12"/>
  <c r="HM12" s="1"/>
  <c r="HN12" s="1"/>
  <c r="HK66"/>
  <c r="HL66"/>
  <c r="HM66" s="1"/>
  <c r="HN66" s="1"/>
  <c r="HL32"/>
  <c r="HM32" s="1"/>
  <c r="HN32" s="1"/>
  <c r="HK32"/>
  <c r="E263" i="54"/>
  <c r="F262" s="1"/>
  <c r="B293" i="21"/>
  <c r="K292" s="1"/>
  <c r="E291"/>
  <c r="D291"/>
  <c r="F291"/>
  <c r="G291"/>
  <c r="K291"/>
  <c r="L291"/>
  <c r="DN18"/>
  <c r="DR18"/>
  <c r="DP18"/>
  <c r="DQ18" s="1"/>
  <c r="BW16" i="10"/>
  <c r="BX16" s="1"/>
  <c r="BY16" s="1"/>
  <c r="BZ16" s="1"/>
  <c r="Q87"/>
  <c r="BW87" s="1"/>
  <c r="BX87" s="1"/>
  <c r="BY87" s="1"/>
  <c r="BZ87" s="1"/>
  <c r="HO112" l="1"/>
  <c r="HP112"/>
  <c r="HQ112" s="1"/>
  <c r="HR112" s="1"/>
  <c r="DL115"/>
  <c r="DM115" s="1"/>
  <c r="DN115" s="1"/>
  <c r="DK115"/>
  <c r="FS142"/>
  <c r="FT142"/>
  <c r="FU142" s="1"/>
  <c r="FV142" s="1"/>
  <c r="HT65"/>
  <c r="HU65" s="1"/>
  <c r="HV65" s="1"/>
  <c r="HS65"/>
  <c r="CA87"/>
  <c r="CB87"/>
  <c r="CC87" s="1"/>
  <c r="CD87" s="1"/>
  <c r="CB16"/>
  <c r="CC16" s="1"/>
  <c r="CD16" s="1"/>
  <c r="CA16"/>
  <c r="HP66"/>
  <c r="HQ66" s="1"/>
  <c r="HR66" s="1"/>
  <c r="HO66"/>
  <c r="HX60"/>
  <c r="HY60" s="1"/>
  <c r="HZ60" s="1"/>
  <c r="HW60"/>
  <c r="GB50"/>
  <c r="GC50" s="1"/>
  <c r="GD50" s="1"/>
  <c r="GA50"/>
  <c r="HP12"/>
  <c r="HQ12" s="1"/>
  <c r="HR12" s="1"/>
  <c r="HO12"/>
  <c r="HO32"/>
  <c r="HP32"/>
  <c r="HQ32" s="1"/>
  <c r="HR32" s="1"/>
  <c r="HX57"/>
  <c r="HY57" s="1"/>
  <c r="HZ57" s="1"/>
  <c r="HW57"/>
  <c r="GA78"/>
  <c r="GB78"/>
  <c r="GC78" s="1"/>
  <c r="GD78" s="1"/>
  <c r="E264" i="54"/>
  <c r="F263" s="1"/>
  <c r="G292" i="21"/>
  <c r="D292"/>
  <c r="E292"/>
  <c r="B294"/>
  <c r="G293" s="1"/>
  <c r="F292"/>
  <c r="L292"/>
  <c r="C292"/>
  <c r="HS112" i="10" l="1"/>
  <c r="HT112"/>
  <c r="HU112" s="1"/>
  <c r="HV112" s="1"/>
  <c r="DP115"/>
  <c r="DQ115" s="1"/>
  <c r="DR115" s="1"/>
  <c r="DO115"/>
  <c r="FW142"/>
  <c r="FX142"/>
  <c r="FY142" s="1"/>
  <c r="FZ142" s="1"/>
  <c r="C293" i="21"/>
  <c r="IA60" i="10"/>
  <c r="IB60"/>
  <c r="GF50"/>
  <c r="GG50" s="1"/>
  <c r="GH50" s="1"/>
  <c r="GE50"/>
  <c r="CE87"/>
  <c r="CF87"/>
  <c r="CG87" s="1"/>
  <c r="CH87" s="1"/>
  <c r="IB57"/>
  <c r="IA57"/>
  <c r="HS12"/>
  <c r="HT12"/>
  <c r="HU12" s="1"/>
  <c r="HV12" s="1"/>
  <c r="HX65"/>
  <c r="HY65" s="1"/>
  <c r="HZ65" s="1"/>
  <c r="HW65"/>
  <c r="HT32"/>
  <c r="HU32" s="1"/>
  <c r="HV32" s="1"/>
  <c r="HS32"/>
  <c r="CF16"/>
  <c r="CG16" s="1"/>
  <c r="CH16" s="1"/>
  <c r="CE16"/>
  <c r="HT66"/>
  <c r="HU66" s="1"/>
  <c r="HV66" s="1"/>
  <c r="HS66"/>
  <c r="GE78"/>
  <c r="GF78"/>
  <c r="GG78" s="1"/>
  <c r="GH78" s="1"/>
  <c r="E265" i="54"/>
  <c r="F264" s="1"/>
  <c r="K293" i="21"/>
  <c r="L293"/>
  <c r="B295"/>
  <c r="G294" s="1"/>
  <c r="E293"/>
  <c r="F293"/>
  <c r="D293"/>
  <c r="CW18"/>
  <c r="CZ18" s="1"/>
  <c r="BB165" i="10"/>
  <c r="BC165" s="1"/>
  <c r="BC251"/>
  <c r="BE251" s="1"/>
  <c r="DT115" l="1"/>
  <c r="DU115" s="1"/>
  <c r="DV115" s="1"/>
  <c r="DS115"/>
  <c r="HX112"/>
  <c r="HY112" s="1"/>
  <c r="HZ112" s="1"/>
  <c r="HW112"/>
  <c r="GA142"/>
  <c r="GB142"/>
  <c r="GC142" s="1"/>
  <c r="GD142" s="1"/>
  <c r="GI78"/>
  <c r="GJ78"/>
  <c r="GK78" s="1"/>
  <c r="GL78" s="1"/>
  <c r="GJ50"/>
  <c r="GK50" s="1"/>
  <c r="GL50" s="1"/>
  <c r="GI50"/>
  <c r="CI87"/>
  <c r="CJ87"/>
  <c r="CK87" s="1"/>
  <c r="CL87" s="1"/>
  <c r="HX12"/>
  <c r="HY12" s="1"/>
  <c r="HZ12" s="1"/>
  <c r="HW12"/>
  <c r="CJ16"/>
  <c r="CK16" s="1"/>
  <c r="CL16" s="1"/>
  <c r="CI16"/>
  <c r="IA65"/>
  <c r="IB65"/>
  <c r="HW66"/>
  <c r="HX66"/>
  <c r="HY66" s="1"/>
  <c r="HZ66" s="1"/>
  <c r="HW32"/>
  <c r="HX32"/>
  <c r="HY32" s="1"/>
  <c r="HZ32" s="1"/>
  <c r="F294" i="21"/>
  <c r="E266" i="54"/>
  <c r="F265" s="1"/>
  <c r="D294" i="21"/>
  <c r="K294"/>
  <c r="C294"/>
  <c r="L294"/>
  <c r="B296"/>
  <c r="F295" s="1"/>
  <c r="E294"/>
  <c r="F195" i="10"/>
  <c r="AV246"/>
  <c r="CX18" i="21"/>
  <c r="CY18" s="1"/>
  <c r="CV18"/>
  <c r="BC162" i="10"/>
  <c r="BB163"/>
  <c r="BC163" s="1"/>
  <c r="BB164"/>
  <c r="BC164" s="1"/>
  <c r="AW151"/>
  <c r="AW150"/>
  <c r="AW149"/>
  <c r="AW148"/>
  <c r="AT148" s="1"/>
  <c r="IA112" l="1"/>
  <c r="IB112"/>
  <c r="GF142"/>
  <c r="GG142" s="1"/>
  <c r="GH142" s="1"/>
  <c r="GE142"/>
  <c r="DX115"/>
  <c r="DY115" s="1"/>
  <c r="DZ115" s="1"/>
  <c r="DW115"/>
  <c r="IB32"/>
  <c r="IA32"/>
  <c r="CN16"/>
  <c r="CO16" s="1"/>
  <c r="CP16" s="1"/>
  <c r="CM16"/>
  <c r="IB12"/>
  <c r="IA12"/>
  <c r="GN50"/>
  <c r="GO50" s="1"/>
  <c r="GP50" s="1"/>
  <c r="GM50"/>
  <c r="CM87"/>
  <c r="CN87"/>
  <c r="CO87" s="1"/>
  <c r="CP87" s="1"/>
  <c r="IB66"/>
  <c r="IA66"/>
  <c r="GM78"/>
  <c r="GN78"/>
  <c r="GO78" s="1"/>
  <c r="GP78" s="1"/>
  <c r="AT151"/>
  <c r="E267" i="54"/>
  <c r="F266" s="1"/>
  <c r="K295" i="21"/>
  <c r="B297"/>
  <c r="G296" s="1"/>
  <c r="C295"/>
  <c r="E295"/>
  <c r="G295"/>
  <c r="L295"/>
  <c r="D295"/>
  <c r="G195" i="10"/>
  <c r="AY150"/>
  <c r="AZ150"/>
  <c r="BA150" s="1"/>
  <c r="AY148"/>
  <c r="AZ148"/>
  <c r="BA148" s="1"/>
  <c r="AY149"/>
  <c r="AZ149"/>
  <c r="BA149" s="1"/>
  <c r="AY151"/>
  <c r="AZ151"/>
  <c r="BA151" s="1"/>
  <c r="AY5"/>
  <c r="AY4"/>
  <c r="AZ4" s="1"/>
  <c r="Q104"/>
  <c r="BW104" s="1"/>
  <c r="BX104" s="1"/>
  <c r="BY104" s="1"/>
  <c r="BZ104" s="1"/>
  <c r="GI142" l="1"/>
  <c r="GJ142"/>
  <c r="GK142" s="1"/>
  <c r="GL142" s="1"/>
  <c r="CA104"/>
  <c r="CB104"/>
  <c r="CC104" s="1"/>
  <c r="CD104" s="1"/>
  <c r="EB115"/>
  <c r="EC115" s="1"/>
  <c r="ED115" s="1"/>
  <c r="EA115"/>
  <c r="GR50"/>
  <c r="GS50" s="1"/>
  <c r="GT50" s="1"/>
  <c r="GQ50"/>
  <c r="CQ16"/>
  <c r="CR16"/>
  <c r="CS16" s="1"/>
  <c r="CT16" s="1"/>
  <c r="CQ87"/>
  <c r="CR87"/>
  <c r="CS87" s="1"/>
  <c r="CT87" s="1"/>
  <c r="GQ78"/>
  <c r="GR78"/>
  <c r="GS78" s="1"/>
  <c r="GT78" s="1"/>
  <c r="E268" i="54"/>
  <c r="F267" s="1"/>
  <c r="B298" i="21"/>
  <c r="C297" s="1"/>
  <c r="E296"/>
  <c r="F296"/>
  <c r="C296"/>
  <c r="K296"/>
  <c r="L296"/>
  <c r="D296"/>
  <c r="AX150" i="10"/>
  <c r="AX148"/>
  <c r="AX151"/>
  <c r="AX149"/>
  <c r="CF104" l="1"/>
  <c r="CG104" s="1"/>
  <c r="CH104" s="1"/>
  <c r="CE104"/>
  <c r="GM142"/>
  <c r="GN142"/>
  <c r="GO142" s="1"/>
  <c r="GP142" s="1"/>
  <c r="EE115"/>
  <c r="EF115"/>
  <c r="EG115" s="1"/>
  <c r="EH115" s="1"/>
  <c r="CU87"/>
  <c r="CV87"/>
  <c r="CW87" s="1"/>
  <c r="CX87" s="1"/>
  <c r="GV50"/>
  <c r="GW50" s="1"/>
  <c r="GX50" s="1"/>
  <c r="GU50"/>
  <c r="CV16"/>
  <c r="CW16" s="1"/>
  <c r="CX16" s="1"/>
  <c r="CU16"/>
  <c r="GV78"/>
  <c r="GW78" s="1"/>
  <c r="GX78" s="1"/>
  <c r="GU78"/>
  <c r="E269" i="54"/>
  <c r="F268" s="1"/>
  <c r="F297" i="21"/>
  <c r="L297"/>
  <c r="G297"/>
  <c r="D297"/>
  <c r="B299"/>
  <c r="F298" s="1"/>
  <c r="K297"/>
  <c r="E297"/>
  <c r="GR142" i="10" l="1"/>
  <c r="GS142" s="1"/>
  <c r="GT142" s="1"/>
  <c r="GQ142"/>
  <c r="EJ115"/>
  <c r="EK115" s="1"/>
  <c r="EL115" s="1"/>
  <c r="EI115"/>
  <c r="CI104"/>
  <c r="CJ104"/>
  <c r="CK104" s="1"/>
  <c r="CL104" s="1"/>
  <c r="CY87"/>
  <c r="CZ87"/>
  <c r="DA87" s="1"/>
  <c r="DB87" s="1"/>
  <c r="CZ16"/>
  <c r="DA16" s="1"/>
  <c r="DB16" s="1"/>
  <c r="CY16"/>
  <c r="GY78"/>
  <c r="GZ78"/>
  <c r="HA78" s="1"/>
  <c r="HB78" s="1"/>
  <c r="GY50"/>
  <c r="GZ50"/>
  <c r="HA50" s="1"/>
  <c r="HB50" s="1"/>
  <c r="E270" i="54"/>
  <c r="F269" s="1"/>
  <c r="B300" i="21"/>
  <c r="G299" s="1"/>
  <c r="G298"/>
  <c r="L298"/>
  <c r="C298"/>
  <c r="E298"/>
  <c r="D298"/>
  <c r="K298"/>
  <c r="EN115" i="10" l="1"/>
  <c r="EO115" s="1"/>
  <c r="EP115" s="1"/>
  <c r="EM115"/>
  <c r="CM104"/>
  <c r="CN104"/>
  <c r="CO104" s="1"/>
  <c r="CP104" s="1"/>
  <c r="GU142"/>
  <c r="GV142"/>
  <c r="GW142" s="1"/>
  <c r="GX142" s="1"/>
  <c r="HC50"/>
  <c r="HD50"/>
  <c r="HE50" s="1"/>
  <c r="HF50" s="1"/>
  <c r="HC78"/>
  <c r="HD78"/>
  <c r="HE78" s="1"/>
  <c r="HF78" s="1"/>
  <c r="DD16"/>
  <c r="DE16" s="1"/>
  <c r="DF16" s="1"/>
  <c r="DC16"/>
  <c r="DC87"/>
  <c r="DD87"/>
  <c r="DE87" s="1"/>
  <c r="DF87" s="1"/>
  <c r="E271" i="54"/>
  <c r="F270" s="1"/>
  <c r="D299" i="21"/>
  <c r="L299"/>
  <c r="F299"/>
  <c r="E299"/>
  <c r="B301"/>
  <c r="K300" s="1"/>
  <c r="K299"/>
  <c r="C299"/>
  <c r="DJ17"/>
  <c r="DR17"/>
  <c r="CR104" i="10" l="1"/>
  <c r="CS104" s="1"/>
  <c r="CT104" s="1"/>
  <c r="CQ104"/>
  <c r="GZ142"/>
  <c r="HA142" s="1"/>
  <c r="HB142" s="1"/>
  <c r="GY142"/>
  <c r="ER115"/>
  <c r="ES115" s="1"/>
  <c r="ET115" s="1"/>
  <c r="EQ115"/>
  <c r="DG16"/>
  <c r="DH16"/>
  <c r="DI16" s="1"/>
  <c r="DJ16" s="1"/>
  <c r="HH50"/>
  <c r="HI50" s="1"/>
  <c r="HJ50" s="1"/>
  <c r="HG50"/>
  <c r="DH87"/>
  <c r="DI87" s="1"/>
  <c r="DJ87" s="1"/>
  <c r="DG87"/>
  <c r="HG78"/>
  <c r="HH78"/>
  <c r="HI78" s="1"/>
  <c r="HJ78" s="1"/>
  <c r="E272" i="54"/>
  <c r="F271" s="1"/>
  <c r="L300" i="21"/>
  <c r="G300"/>
  <c r="D300"/>
  <c r="B302"/>
  <c r="C301" s="1"/>
  <c r="F300"/>
  <c r="E300"/>
  <c r="C300"/>
  <c r="DN17"/>
  <c r="DP17"/>
  <c r="DQ17" s="1"/>
  <c r="Q131" i="10"/>
  <c r="BW131" s="1"/>
  <c r="BX131" s="1"/>
  <c r="BY131" s="1"/>
  <c r="BZ131" s="1"/>
  <c r="S70"/>
  <c r="AD70"/>
  <c r="EM31" i="21"/>
  <c r="EV115" i="10" l="1"/>
  <c r="EW115" s="1"/>
  <c r="EX115" s="1"/>
  <c r="EU115"/>
  <c r="HD142"/>
  <c r="HE142" s="1"/>
  <c r="HF142" s="1"/>
  <c r="HC142"/>
  <c r="CA131"/>
  <c r="CB131"/>
  <c r="CC131" s="1"/>
  <c r="CD131" s="1"/>
  <c r="CV104"/>
  <c r="CW104" s="1"/>
  <c r="CX104" s="1"/>
  <c r="CU104"/>
  <c r="G301" i="21"/>
  <c r="HK78" i="10"/>
  <c r="HL78"/>
  <c r="HM78" s="1"/>
  <c r="HN78" s="1"/>
  <c r="HK50"/>
  <c r="HL50"/>
  <c r="HM50" s="1"/>
  <c r="HN50" s="1"/>
  <c r="DK87"/>
  <c r="DL87"/>
  <c r="DM87" s="1"/>
  <c r="DN87" s="1"/>
  <c r="DL16"/>
  <c r="DM16" s="1"/>
  <c r="DN16" s="1"/>
  <c r="DK16"/>
  <c r="E273" i="54"/>
  <c r="F272" s="1"/>
  <c r="B303" i="21"/>
  <c r="E302" s="1"/>
  <c r="K301"/>
  <c r="L301"/>
  <c r="E301"/>
  <c r="F301"/>
  <c r="D301"/>
  <c r="R70" i="10"/>
  <c r="W70"/>
  <c r="V70"/>
  <c r="T70"/>
  <c r="Y70" s="1"/>
  <c r="EY115" l="1"/>
  <c r="EZ115"/>
  <c r="FA115" s="1"/>
  <c r="FB115" s="1"/>
  <c r="CE131"/>
  <c r="CF131"/>
  <c r="CG131" s="1"/>
  <c r="CH131" s="1"/>
  <c r="HG142"/>
  <c r="HH142"/>
  <c r="HI142" s="1"/>
  <c r="HJ142" s="1"/>
  <c r="CZ104"/>
  <c r="DA104" s="1"/>
  <c r="DB104" s="1"/>
  <c r="CY104"/>
  <c r="HP50"/>
  <c r="HQ50" s="1"/>
  <c r="HR50" s="1"/>
  <c r="HO50"/>
  <c r="DO87"/>
  <c r="DP87"/>
  <c r="DQ87" s="1"/>
  <c r="DR87" s="1"/>
  <c r="DP16"/>
  <c r="DQ16" s="1"/>
  <c r="DR16" s="1"/>
  <c r="DO16"/>
  <c r="HO78"/>
  <c r="HP78"/>
  <c r="HQ78" s="1"/>
  <c r="HR78" s="1"/>
  <c r="D302" i="21"/>
  <c r="E274" i="54"/>
  <c r="F273" s="1"/>
  <c r="F302" i="21"/>
  <c r="B304"/>
  <c r="G303" s="1"/>
  <c r="G302"/>
  <c r="C302"/>
  <c r="L302"/>
  <c r="K302"/>
  <c r="Z70" i="10"/>
  <c r="AA70" s="1"/>
  <c r="AB70" s="1"/>
  <c r="AE70"/>
  <c r="L70"/>
  <c r="FD115" l="1"/>
  <c r="FE115" s="1"/>
  <c r="FF115" s="1"/>
  <c r="FC115"/>
  <c r="HL142"/>
  <c r="HM142" s="1"/>
  <c r="HN142" s="1"/>
  <c r="HK142"/>
  <c r="DC104"/>
  <c r="DD104"/>
  <c r="DE104" s="1"/>
  <c r="DF104" s="1"/>
  <c r="CJ131"/>
  <c r="CK131" s="1"/>
  <c r="CL131" s="1"/>
  <c r="CI131"/>
  <c r="HS78"/>
  <c r="HT78"/>
  <c r="HU78" s="1"/>
  <c r="HV78" s="1"/>
  <c r="DS16"/>
  <c r="DT16"/>
  <c r="DU16" s="1"/>
  <c r="DV16" s="1"/>
  <c r="HT50"/>
  <c r="HU50" s="1"/>
  <c r="HV50" s="1"/>
  <c r="HS50"/>
  <c r="DT87"/>
  <c r="DU87" s="1"/>
  <c r="DV87" s="1"/>
  <c r="DS87"/>
  <c r="E275" i="54"/>
  <c r="F274" s="1"/>
  <c r="E303" i="21"/>
  <c r="B305"/>
  <c r="G304" s="1"/>
  <c r="F303"/>
  <c r="C303"/>
  <c r="K303"/>
  <c r="L303"/>
  <c r="D303"/>
  <c r="M70" i="10"/>
  <c r="BX24" i="21"/>
  <c r="CP19"/>
  <c r="CR19" s="1"/>
  <c r="CW19"/>
  <c r="CZ19" s="1"/>
  <c r="AV76" i="10"/>
  <c r="AU92" s="1"/>
  <c r="HP142" l="1"/>
  <c r="HQ142" s="1"/>
  <c r="HR142" s="1"/>
  <c r="HO142"/>
  <c r="DH104"/>
  <c r="DI104" s="1"/>
  <c r="DJ104" s="1"/>
  <c r="DG104"/>
  <c r="CN131"/>
  <c r="CO131" s="1"/>
  <c r="CP131" s="1"/>
  <c r="CM131"/>
  <c r="FH115"/>
  <c r="FI115" s="1"/>
  <c r="FJ115" s="1"/>
  <c r="FG115"/>
  <c r="HX50"/>
  <c r="HY50" s="1"/>
  <c r="HZ50" s="1"/>
  <c r="HW50"/>
  <c r="DX16"/>
  <c r="DY16" s="1"/>
  <c r="DZ16" s="1"/>
  <c r="DW16"/>
  <c r="HW78"/>
  <c r="HX78"/>
  <c r="HY78" s="1"/>
  <c r="HZ78" s="1"/>
  <c r="DW87"/>
  <c r="DX87"/>
  <c r="DY87" s="1"/>
  <c r="DZ87" s="1"/>
  <c r="K304" i="21"/>
  <c r="E304"/>
  <c r="C304"/>
  <c r="L304"/>
  <c r="E276" i="54"/>
  <c r="F275" s="1"/>
  <c r="B306" i="21"/>
  <c r="G305" s="1"/>
  <c r="D304"/>
  <c r="F304"/>
  <c r="AU93" i="10"/>
  <c r="CF24" i="21"/>
  <c r="CG24" s="1"/>
  <c r="BZ24"/>
  <c r="CV19"/>
  <c r="CX19"/>
  <c r="CY19" s="1"/>
  <c r="FL115" i="10" l="1"/>
  <c r="FM115" s="1"/>
  <c r="FN115" s="1"/>
  <c r="FK115"/>
  <c r="CR131"/>
  <c r="CS131" s="1"/>
  <c r="CT131" s="1"/>
  <c r="CQ131"/>
  <c r="DL104"/>
  <c r="DM104" s="1"/>
  <c r="DN104" s="1"/>
  <c r="DK104"/>
  <c r="HS142"/>
  <c r="HT142"/>
  <c r="HU142" s="1"/>
  <c r="HV142" s="1"/>
  <c r="EB16"/>
  <c r="EC16" s="1"/>
  <c r="ED16" s="1"/>
  <c r="EA16"/>
  <c r="EA87"/>
  <c r="EB87"/>
  <c r="EC87" s="1"/>
  <c r="ED87" s="1"/>
  <c r="IA78"/>
  <c r="IB78"/>
  <c r="IB50"/>
  <c r="IA50"/>
  <c r="L305" i="21"/>
  <c r="B307"/>
  <c r="G306" s="1"/>
  <c r="F305"/>
  <c r="C305"/>
  <c r="K305"/>
  <c r="E305"/>
  <c r="D305"/>
  <c r="E277" i="54"/>
  <c r="F276" s="1"/>
  <c r="V125" i="10"/>
  <c r="H3" i="27"/>
  <c r="I3" s="1"/>
  <c r="H5"/>
  <c r="I5" s="1"/>
  <c r="H6"/>
  <c r="I6" s="1"/>
  <c r="H7"/>
  <c r="I7" s="1"/>
  <c r="H8"/>
  <c r="I8" s="1"/>
  <c r="H9"/>
  <c r="I9" s="1"/>
  <c r="H10"/>
  <c r="I10" s="1"/>
  <c r="H11"/>
  <c r="I11" s="1"/>
  <c r="H12"/>
  <c r="I12" s="1"/>
  <c r="H13"/>
  <c r="I13" s="1"/>
  <c r="H14"/>
  <c r="I14" s="1"/>
  <c r="H15"/>
  <c r="I15" s="1"/>
  <c r="H16"/>
  <c r="I16" s="1"/>
  <c r="H17"/>
  <c r="I17" s="1"/>
  <c r="H18"/>
  <c r="I18" s="1"/>
  <c r="H19"/>
  <c r="I19" s="1"/>
  <c r="H21"/>
  <c r="I21" s="1"/>
  <c r="H22"/>
  <c r="I22" s="1"/>
  <c r="H23"/>
  <c r="I23" s="1"/>
  <c r="H25"/>
  <c r="I25" s="1"/>
  <c r="H26"/>
  <c r="I26" s="1"/>
  <c r="H27"/>
  <c r="I27" s="1"/>
  <c r="H29"/>
  <c r="I29" s="1"/>
  <c r="H30"/>
  <c r="I30" s="1"/>
  <c r="H31"/>
  <c r="I31" s="1"/>
  <c r="H37"/>
  <c r="I37" s="1"/>
  <c r="H38"/>
  <c r="I38" s="1"/>
  <c r="H39"/>
  <c r="I39" s="1"/>
  <c r="H43"/>
  <c r="I43" s="1"/>
  <c r="H44"/>
  <c r="I44" s="1"/>
  <c r="H45"/>
  <c r="I45" s="1"/>
  <c r="H46"/>
  <c r="I46" s="1"/>
  <c r="H47"/>
  <c r="I47" s="1"/>
  <c r="H48"/>
  <c r="I48" s="1"/>
  <c r="H49"/>
  <c r="I49" s="1"/>
  <c r="H50"/>
  <c r="I50" s="1"/>
  <c r="H51"/>
  <c r="I51" s="1"/>
  <c r="H53"/>
  <c r="I53" s="1"/>
  <c r="H55"/>
  <c r="I55" s="1"/>
  <c r="H56"/>
  <c r="I56" s="1"/>
  <c r="H57"/>
  <c r="I57" s="1"/>
  <c r="H58"/>
  <c r="I58" s="1"/>
  <c r="H59"/>
  <c r="I59" s="1"/>
  <c r="H60"/>
  <c r="I60" s="1"/>
  <c r="H61"/>
  <c r="I61" s="1"/>
  <c r="H63"/>
  <c r="I63" s="1"/>
  <c r="H64"/>
  <c r="I64" s="1"/>
  <c r="H65"/>
  <c r="I65" s="1"/>
  <c r="H66"/>
  <c r="I66" s="1"/>
  <c r="H67"/>
  <c r="I67" s="1"/>
  <c r="H68"/>
  <c r="I68" s="1"/>
  <c r="H69"/>
  <c r="I69" s="1"/>
  <c r="H70"/>
  <c r="I70" s="1"/>
  <c r="H71"/>
  <c r="I71" s="1"/>
  <c r="H73"/>
  <c r="I73" s="1"/>
  <c r="H74"/>
  <c r="I74" s="1"/>
  <c r="H76"/>
  <c r="I76" s="1"/>
  <c r="H77"/>
  <c r="I77" s="1"/>
  <c r="H78"/>
  <c r="I78" s="1"/>
  <c r="H79"/>
  <c r="I79" s="1"/>
  <c r="H80"/>
  <c r="I80" s="1"/>
  <c r="H81"/>
  <c r="I81" s="1"/>
  <c r="H82"/>
  <c r="I82" s="1"/>
  <c r="H83"/>
  <c r="I83" s="1"/>
  <c r="H84"/>
  <c r="I84" s="1"/>
  <c r="H85"/>
  <c r="I85" s="1"/>
  <c r="H86"/>
  <c r="I86" s="1"/>
  <c r="H87"/>
  <c r="I87" s="1"/>
  <c r="H88"/>
  <c r="I88" s="1"/>
  <c r="H89"/>
  <c r="I89" s="1"/>
  <c r="H90"/>
  <c r="I90" s="1"/>
  <c r="H91"/>
  <c r="I91" s="1"/>
  <c r="H92"/>
  <c r="I92" s="1"/>
  <c r="H93"/>
  <c r="I93" s="1"/>
  <c r="H94"/>
  <c r="I94" s="1"/>
  <c r="H95"/>
  <c r="I95" s="1"/>
  <c r="H96"/>
  <c r="I96" s="1"/>
  <c r="H98"/>
  <c r="I98" s="1"/>
  <c r="H99"/>
  <c r="I99" s="1"/>
  <c r="H100"/>
  <c r="I100" s="1"/>
  <c r="H101"/>
  <c r="I101" s="1"/>
  <c r="H102"/>
  <c r="I102" s="1"/>
  <c r="H103"/>
  <c r="I103" s="1"/>
  <c r="H104"/>
  <c r="I104" s="1"/>
  <c r="H105"/>
  <c r="I105" s="1"/>
  <c r="H106"/>
  <c r="I106" s="1"/>
  <c r="H107"/>
  <c r="I107" s="1"/>
  <c r="H108"/>
  <c r="I108" s="1"/>
  <c r="H109"/>
  <c r="I109" s="1"/>
  <c r="H110"/>
  <c r="I110" s="1"/>
  <c r="H111"/>
  <c r="I111" s="1"/>
  <c r="H112"/>
  <c r="I112" s="1"/>
  <c r="H113"/>
  <c r="I113" s="1"/>
  <c r="H114"/>
  <c r="I114" s="1"/>
  <c r="H115"/>
  <c r="I115" s="1"/>
  <c r="H116"/>
  <c r="I116" s="1"/>
  <c r="H117"/>
  <c r="I117" s="1"/>
  <c r="H118"/>
  <c r="I118" s="1"/>
  <c r="H119"/>
  <c r="I119" s="1"/>
  <c r="H120"/>
  <c r="I120" s="1"/>
  <c r="H121"/>
  <c r="I121" s="1"/>
  <c r="H122"/>
  <c r="I122" s="1"/>
  <c r="H123"/>
  <c r="I123" s="1"/>
  <c r="H124"/>
  <c r="I124" s="1"/>
  <c r="S125" i="10"/>
  <c r="W125" s="1"/>
  <c r="AD125"/>
  <c r="AV156"/>
  <c r="AX158"/>
  <c r="AX159"/>
  <c r="AX160"/>
  <c r="AX161"/>
  <c r="AX162"/>
  <c r="AX163"/>
  <c r="AX164"/>
  <c r="AX165"/>
  <c r="AZ102"/>
  <c r="HW142" l="1"/>
  <c r="HX142"/>
  <c r="HY142" s="1"/>
  <c r="HZ142" s="1"/>
  <c r="CV131"/>
  <c r="CW131" s="1"/>
  <c r="CX131" s="1"/>
  <c r="CU131"/>
  <c r="DP104"/>
  <c r="DQ104" s="1"/>
  <c r="DR104" s="1"/>
  <c r="DO104"/>
  <c r="FP115"/>
  <c r="FQ115" s="1"/>
  <c r="FR115" s="1"/>
  <c r="FO115"/>
  <c r="EE16"/>
  <c r="EF16"/>
  <c r="EG16" s="1"/>
  <c r="EH16" s="1"/>
  <c r="EE87"/>
  <c r="EF87"/>
  <c r="EG87" s="1"/>
  <c r="EH87" s="1"/>
  <c r="B308" i="21"/>
  <c r="E307" s="1"/>
  <c r="F306"/>
  <c r="K306"/>
  <c r="L306"/>
  <c r="E306"/>
  <c r="D306"/>
  <c r="C306"/>
  <c r="E278" i="54"/>
  <c r="F277" s="1"/>
  <c r="AY193" i="10"/>
  <c r="AY201"/>
  <c r="AY200"/>
  <c r="AY196"/>
  <c r="AY195"/>
  <c r="AY197"/>
  <c r="AY198"/>
  <c r="AY194"/>
  <c r="AY199"/>
  <c r="B121" i="27"/>
  <c r="A121"/>
  <c r="U121" s="1"/>
  <c r="B109"/>
  <c r="A109"/>
  <c r="U109" s="1"/>
  <c r="B124"/>
  <c r="A124"/>
  <c r="U124" s="1"/>
  <c r="B112"/>
  <c r="A112"/>
  <c r="U112" s="1"/>
  <c r="B104"/>
  <c r="A104"/>
  <c r="U104" s="1"/>
  <c r="B126"/>
  <c r="A126"/>
  <c r="U126" s="1"/>
  <c r="B122"/>
  <c r="A122"/>
  <c r="U122" s="1"/>
  <c r="B118"/>
  <c r="A118"/>
  <c r="U118" s="1"/>
  <c r="B114"/>
  <c r="A114"/>
  <c r="U114" s="1"/>
  <c r="B110"/>
  <c r="A110"/>
  <c r="U110" s="1"/>
  <c r="B106"/>
  <c r="A106"/>
  <c r="U106" s="1"/>
  <c r="B102"/>
  <c r="A102"/>
  <c r="U102" s="1"/>
  <c r="B113"/>
  <c r="A113"/>
  <c r="U113" s="1"/>
  <c r="B120"/>
  <c r="A120"/>
  <c r="U120" s="1"/>
  <c r="B125"/>
  <c r="A125"/>
  <c r="U125" s="1"/>
  <c r="B117"/>
  <c r="A117"/>
  <c r="U117" s="1"/>
  <c r="B105"/>
  <c r="A105"/>
  <c r="U105" s="1"/>
  <c r="B128"/>
  <c r="A128"/>
  <c r="U128" s="1"/>
  <c r="B116"/>
  <c r="A116"/>
  <c r="U116" s="1"/>
  <c r="B108"/>
  <c r="A108"/>
  <c r="U108" s="1"/>
  <c r="B127"/>
  <c r="A127"/>
  <c r="U127" s="1"/>
  <c r="B123"/>
  <c r="A123"/>
  <c r="U123" s="1"/>
  <c r="B119"/>
  <c r="A119"/>
  <c r="U119" s="1"/>
  <c r="B115"/>
  <c r="A115"/>
  <c r="U115" s="1"/>
  <c r="B111"/>
  <c r="A111"/>
  <c r="U111" s="1"/>
  <c r="B107"/>
  <c r="A107"/>
  <c r="U107" s="1"/>
  <c r="B103"/>
  <c r="A103"/>
  <c r="U103" s="1"/>
  <c r="B91"/>
  <c r="A91"/>
  <c r="U91" s="1"/>
  <c r="B79"/>
  <c r="A79"/>
  <c r="U79" s="1"/>
  <c r="B69"/>
  <c r="A69"/>
  <c r="U69" s="1"/>
  <c r="B56"/>
  <c r="A56"/>
  <c r="U56" s="1"/>
  <c r="U40"/>
  <c r="B98"/>
  <c r="A98"/>
  <c r="U98" s="1"/>
  <c r="B93"/>
  <c r="A93"/>
  <c r="U93" s="1"/>
  <c r="B89"/>
  <c r="A89"/>
  <c r="U89" s="1"/>
  <c r="B85"/>
  <c r="A85"/>
  <c r="U85" s="1"/>
  <c r="B81"/>
  <c r="A81"/>
  <c r="U81" s="1"/>
  <c r="B77"/>
  <c r="A77"/>
  <c r="U77" s="1"/>
  <c r="B71"/>
  <c r="A71"/>
  <c r="U71" s="1"/>
  <c r="B67"/>
  <c r="A67"/>
  <c r="U67" s="1"/>
  <c r="B63"/>
  <c r="A63"/>
  <c r="U63" s="1"/>
  <c r="B58"/>
  <c r="A58"/>
  <c r="U58" s="1"/>
  <c r="B50"/>
  <c r="A50"/>
  <c r="U50" s="1"/>
  <c r="B46"/>
  <c r="A46"/>
  <c r="U46" s="1"/>
  <c r="B42"/>
  <c r="A42"/>
  <c r="U42" s="1"/>
  <c r="B38"/>
  <c r="A38"/>
  <c r="U38" s="1"/>
  <c r="B33"/>
  <c r="A33"/>
  <c r="U33" s="1"/>
  <c r="B16"/>
  <c r="A16"/>
  <c r="U16" s="1"/>
  <c r="B12"/>
  <c r="A12"/>
  <c r="U12" s="1"/>
  <c r="B8"/>
  <c r="A8"/>
  <c r="U8" s="1"/>
  <c r="B3"/>
  <c r="A3"/>
  <c r="U3" s="1"/>
  <c r="B96"/>
  <c r="A96"/>
  <c r="U96" s="1"/>
  <c r="B88"/>
  <c r="A88"/>
  <c r="U88" s="1"/>
  <c r="B80"/>
  <c r="A80"/>
  <c r="U80" s="1"/>
  <c r="B70"/>
  <c r="A70"/>
  <c r="U70" s="1"/>
  <c r="B61"/>
  <c r="A61"/>
  <c r="U61" s="1"/>
  <c r="B53"/>
  <c r="A53"/>
  <c r="U53" s="1"/>
  <c r="B45"/>
  <c r="A45"/>
  <c r="U45" s="1"/>
  <c r="B37"/>
  <c r="A37"/>
  <c r="U37" s="1"/>
  <c r="B27"/>
  <c r="A27"/>
  <c r="U27" s="1"/>
  <c r="B19"/>
  <c r="A19"/>
  <c r="U19" s="1"/>
  <c r="B11"/>
  <c r="A11"/>
  <c r="U11" s="1"/>
  <c r="B95"/>
  <c r="A95"/>
  <c r="U95" s="1"/>
  <c r="B83"/>
  <c r="A83"/>
  <c r="U83" s="1"/>
  <c r="B65"/>
  <c r="A65"/>
  <c r="U65" s="1"/>
  <c r="B48"/>
  <c r="A48"/>
  <c r="U48" s="1"/>
  <c r="B36"/>
  <c r="A36"/>
  <c r="U36" s="1"/>
  <c r="B26"/>
  <c r="A26"/>
  <c r="U26" s="1"/>
  <c r="B22"/>
  <c r="A22"/>
  <c r="U22" s="1"/>
  <c r="B18"/>
  <c r="A18"/>
  <c r="U18" s="1"/>
  <c r="B14"/>
  <c r="A14"/>
  <c r="U14" s="1"/>
  <c r="B10"/>
  <c r="A10"/>
  <c r="U10" s="1"/>
  <c r="B6"/>
  <c r="A6"/>
  <c r="U6" s="1"/>
  <c r="B101"/>
  <c r="A101"/>
  <c r="U101" s="1"/>
  <c r="B92"/>
  <c r="A92"/>
  <c r="U92" s="1"/>
  <c r="B84"/>
  <c r="A84"/>
  <c r="U84" s="1"/>
  <c r="B76"/>
  <c r="A76"/>
  <c r="U76" s="1"/>
  <c r="B66"/>
  <c r="A66"/>
  <c r="U66" s="1"/>
  <c r="B57"/>
  <c r="A57"/>
  <c r="U57" s="1"/>
  <c r="B49"/>
  <c r="A49"/>
  <c r="U49" s="1"/>
  <c r="B31"/>
  <c r="A31"/>
  <c r="U31" s="1"/>
  <c r="B23"/>
  <c r="A23"/>
  <c r="U23" s="1"/>
  <c r="B15"/>
  <c r="A15"/>
  <c r="U15" s="1"/>
  <c r="B7"/>
  <c r="A7"/>
  <c r="U7" s="1"/>
  <c r="B100"/>
  <c r="A100"/>
  <c r="U100" s="1"/>
  <c r="B87"/>
  <c r="A87"/>
  <c r="U87" s="1"/>
  <c r="B74"/>
  <c r="A74"/>
  <c r="U74" s="1"/>
  <c r="B60"/>
  <c r="A60"/>
  <c r="U60" s="1"/>
  <c r="U52"/>
  <c r="B44"/>
  <c r="A44"/>
  <c r="U44" s="1"/>
  <c r="B30"/>
  <c r="A30"/>
  <c r="U30" s="1"/>
  <c r="B99"/>
  <c r="A99"/>
  <c r="U99" s="1"/>
  <c r="B94"/>
  <c r="A94"/>
  <c r="U94" s="1"/>
  <c r="B90"/>
  <c r="A90"/>
  <c r="U90" s="1"/>
  <c r="B86"/>
  <c r="A86"/>
  <c r="U86" s="1"/>
  <c r="B82"/>
  <c r="A82"/>
  <c r="U82" s="1"/>
  <c r="B78"/>
  <c r="A78"/>
  <c r="U78" s="1"/>
  <c r="B73"/>
  <c r="A73"/>
  <c r="U73" s="1"/>
  <c r="B68"/>
  <c r="A68"/>
  <c r="U68" s="1"/>
  <c r="B64"/>
  <c r="A64"/>
  <c r="U64" s="1"/>
  <c r="B59"/>
  <c r="A59"/>
  <c r="U59" s="1"/>
  <c r="B55"/>
  <c r="A55"/>
  <c r="U55" s="1"/>
  <c r="B51"/>
  <c r="A51"/>
  <c r="U51" s="1"/>
  <c r="B47"/>
  <c r="A47"/>
  <c r="U47" s="1"/>
  <c r="B43"/>
  <c r="A43"/>
  <c r="U43" s="1"/>
  <c r="B39"/>
  <c r="A39"/>
  <c r="U39" s="1"/>
  <c r="B35"/>
  <c r="A35"/>
  <c r="U35" s="1"/>
  <c r="B29"/>
  <c r="A29"/>
  <c r="U29" s="1"/>
  <c r="B25"/>
  <c r="A25"/>
  <c r="U25" s="1"/>
  <c r="B21"/>
  <c r="A21"/>
  <c r="U21" s="1"/>
  <c r="B17"/>
  <c r="A17"/>
  <c r="U17" s="1"/>
  <c r="B13"/>
  <c r="A13"/>
  <c r="U13" s="1"/>
  <c r="B9"/>
  <c r="A9"/>
  <c r="U9" s="1"/>
  <c r="B5"/>
  <c r="A5"/>
  <c r="U5" s="1"/>
  <c r="AY157" i="10"/>
  <c r="AY158"/>
  <c r="T125"/>
  <c r="Y125" s="1"/>
  <c r="R125"/>
  <c r="AY165"/>
  <c r="AY163"/>
  <c r="AY161"/>
  <c r="AY162"/>
  <c r="AY159"/>
  <c r="AY164"/>
  <c r="AY160"/>
  <c r="AZ97"/>
  <c r="AZ98"/>
  <c r="AZ99"/>
  <c r="AZ100"/>
  <c r="AZ103"/>
  <c r="AZ96"/>
  <c r="CY131" l="1"/>
  <c r="CZ131"/>
  <c r="DA131" s="1"/>
  <c r="DB131" s="1"/>
  <c r="DT104"/>
  <c r="DU104" s="1"/>
  <c r="DV104" s="1"/>
  <c r="DS104"/>
  <c r="IB142"/>
  <c r="IA142"/>
  <c r="FT115"/>
  <c r="FU115" s="1"/>
  <c r="FV115" s="1"/>
  <c r="FS115"/>
  <c r="EJ87"/>
  <c r="EK87" s="1"/>
  <c r="EL87" s="1"/>
  <c r="EI87"/>
  <c r="EJ16"/>
  <c r="EK16" s="1"/>
  <c r="EL16" s="1"/>
  <c r="EI16"/>
  <c r="D307" i="21"/>
  <c r="B309"/>
  <c r="G308" s="1"/>
  <c r="C307"/>
  <c r="G307"/>
  <c r="F307"/>
  <c r="L307"/>
  <c r="K307"/>
  <c r="E279" i="54"/>
  <c r="F278" s="1"/>
  <c r="Z125" i="10"/>
  <c r="AA125" s="1"/>
  <c r="AB125" s="1"/>
  <c r="L125"/>
  <c r="M125" s="1"/>
  <c r="AE125"/>
  <c r="DD131" l="1"/>
  <c r="DE131" s="1"/>
  <c r="DF131" s="1"/>
  <c r="DC131"/>
  <c r="DW104"/>
  <c r="DX104"/>
  <c r="DY104" s="1"/>
  <c r="DZ104" s="1"/>
  <c r="FX115"/>
  <c r="FY115" s="1"/>
  <c r="FZ115" s="1"/>
  <c r="FW115"/>
  <c r="EN16"/>
  <c r="EO16" s="1"/>
  <c r="EP16" s="1"/>
  <c r="EM16"/>
  <c r="EM87"/>
  <c r="EN87"/>
  <c r="EO87" s="1"/>
  <c r="EP87" s="1"/>
  <c r="E308" i="21"/>
  <c r="B310"/>
  <c r="G309" s="1"/>
  <c r="L308"/>
  <c r="C308"/>
  <c r="F308"/>
  <c r="K308"/>
  <c r="D308"/>
  <c r="E280" i="54"/>
  <c r="F279" s="1"/>
  <c r="S105" i="10"/>
  <c r="AD105"/>
  <c r="DH131" l="1"/>
  <c r="DI131" s="1"/>
  <c r="DJ131" s="1"/>
  <c r="DG131"/>
  <c r="GA115"/>
  <c r="GB115"/>
  <c r="GC115" s="1"/>
  <c r="GD115" s="1"/>
  <c r="EB104"/>
  <c r="EC104" s="1"/>
  <c r="ED104" s="1"/>
  <c r="EA104"/>
  <c r="ER16"/>
  <c r="ES16" s="1"/>
  <c r="ET16" s="1"/>
  <c r="EQ16"/>
  <c r="EQ87"/>
  <c r="ER87"/>
  <c r="ES87" s="1"/>
  <c r="ET87" s="1"/>
  <c r="F309" i="21"/>
  <c r="D309"/>
  <c r="B311"/>
  <c r="L310" s="1"/>
  <c r="K309"/>
  <c r="C309"/>
  <c r="L309"/>
  <c r="E309"/>
  <c r="E281" i="54"/>
  <c r="F280" s="1"/>
  <c r="L105" i="10"/>
  <c r="M105" s="1"/>
  <c r="R105"/>
  <c r="W105"/>
  <c r="AE105"/>
  <c r="V105"/>
  <c r="T105"/>
  <c r="Y105" s="1"/>
  <c r="GF115" l="1"/>
  <c r="GG115" s="1"/>
  <c r="GH115" s="1"/>
  <c r="GE115"/>
  <c r="EF104"/>
  <c r="EG104" s="1"/>
  <c r="EH104" s="1"/>
  <c r="EE104"/>
  <c r="DK131"/>
  <c r="DL131"/>
  <c r="DM131" s="1"/>
  <c r="DN131" s="1"/>
  <c r="EU87"/>
  <c r="EV87"/>
  <c r="EW87" s="1"/>
  <c r="EX87" s="1"/>
  <c r="EV16"/>
  <c r="EW16" s="1"/>
  <c r="EX16" s="1"/>
  <c r="EU16"/>
  <c r="B312" i="21"/>
  <c r="C311" s="1"/>
  <c r="C310"/>
  <c r="D310"/>
  <c r="E310"/>
  <c r="F310"/>
  <c r="K310"/>
  <c r="G310"/>
  <c r="E282" i="54"/>
  <c r="F281" s="1"/>
  <c r="Z105" i="10"/>
  <c r="AA105" s="1"/>
  <c r="AB105" s="1"/>
  <c r="DP131" l="1"/>
  <c r="DQ131" s="1"/>
  <c r="DR131" s="1"/>
  <c r="DO131"/>
  <c r="EJ104"/>
  <c r="EK104" s="1"/>
  <c r="EL104" s="1"/>
  <c r="EI104"/>
  <c r="GI115"/>
  <c r="GJ115"/>
  <c r="GK115" s="1"/>
  <c r="GL115" s="1"/>
  <c r="EY16"/>
  <c r="EZ16"/>
  <c r="FA16" s="1"/>
  <c r="FB16" s="1"/>
  <c r="EY87"/>
  <c r="EZ87"/>
  <c r="FA87" s="1"/>
  <c r="FB87" s="1"/>
  <c r="L311" i="21"/>
  <c r="K311"/>
  <c r="G311"/>
  <c r="D311"/>
  <c r="B313"/>
  <c r="E312" s="1"/>
  <c r="F311"/>
  <c r="E311"/>
  <c r="E283" i="54"/>
  <c r="F282" s="1"/>
  <c r="G8"/>
  <c r="F8"/>
  <c r="GN115" i="10" l="1"/>
  <c r="GO115" s="1"/>
  <c r="GP115" s="1"/>
  <c r="GM115"/>
  <c r="DS131"/>
  <c r="DT131"/>
  <c r="DU131" s="1"/>
  <c r="DV131" s="1"/>
  <c r="EM104"/>
  <c r="EN104"/>
  <c r="EO104" s="1"/>
  <c r="EP104" s="1"/>
  <c r="FC16"/>
  <c r="FD16"/>
  <c r="FE16" s="1"/>
  <c r="FF16" s="1"/>
  <c r="FC87"/>
  <c r="FD87"/>
  <c r="FE87" s="1"/>
  <c r="FF87" s="1"/>
  <c r="K312" i="21"/>
  <c r="G312"/>
  <c r="D312"/>
  <c r="B314"/>
  <c r="F313" s="1"/>
  <c r="C312"/>
  <c r="F312"/>
  <c r="L312"/>
  <c r="E284" i="54"/>
  <c r="F283" s="1"/>
  <c r="FJ43" i="21"/>
  <c r="FL43"/>
  <c r="FO43"/>
  <c r="BX25"/>
  <c r="BZ25" s="1"/>
  <c r="AZ159" i="10"/>
  <c r="AZ156"/>
  <c r="GQ115" l="1"/>
  <c r="GR115"/>
  <c r="GS115" s="1"/>
  <c r="GT115" s="1"/>
  <c r="EQ104"/>
  <c r="ER104"/>
  <c r="ES104" s="1"/>
  <c r="ET104" s="1"/>
  <c r="DX131"/>
  <c r="DY131" s="1"/>
  <c r="DZ131" s="1"/>
  <c r="DW131"/>
  <c r="FH87"/>
  <c r="FI87" s="1"/>
  <c r="FJ87" s="1"/>
  <c r="FG87"/>
  <c r="FH16"/>
  <c r="FI16" s="1"/>
  <c r="FJ16" s="1"/>
  <c r="FG16"/>
  <c r="C313" i="21"/>
  <c r="G313"/>
  <c r="K313"/>
  <c r="D313"/>
  <c r="B315"/>
  <c r="E314" s="1"/>
  <c r="L313"/>
  <c r="E313"/>
  <c r="E285" i="54"/>
  <c r="F284" s="1"/>
  <c r="CF25" i="21"/>
  <c r="CG25" s="1"/>
  <c r="FK43"/>
  <c r="FN44" s="1"/>
  <c r="FM44"/>
  <c r="EV104" i="10" l="1"/>
  <c r="EW104" s="1"/>
  <c r="EX104" s="1"/>
  <c r="EU104"/>
  <c r="EB131"/>
  <c r="EC131" s="1"/>
  <c r="ED131" s="1"/>
  <c r="EA131"/>
  <c r="GV115"/>
  <c r="GW115" s="1"/>
  <c r="GX115" s="1"/>
  <c r="GU115"/>
  <c r="K314" i="21"/>
  <c r="FK87" i="10"/>
  <c r="FL87"/>
  <c r="FM87" s="1"/>
  <c r="FN87" s="1"/>
  <c r="FL16"/>
  <c r="FM16" s="1"/>
  <c r="FN16" s="1"/>
  <c r="FK16"/>
  <c r="G314" i="21"/>
  <c r="L314"/>
  <c r="D314"/>
  <c r="B316"/>
  <c r="K315" s="1"/>
  <c r="F314"/>
  <c r="C314"/>
  <c r="E286" i="54"/>
  <c r="F285" s="1"/>
  <c r="EF131" i="10" l="1"/>
  <c r="EG131" s="1"/>
  <c r="EH131" s="1"/>
  <c r="EE131"/>
  <c r="GZ115"/>
  <c r="HA115" s="1"/>
  <c r="HB115" s="1"/>
  <c r="GY115"/>
  <c r="EY104"/>
  <c r="EZ104"/>
  <c r="FA104" s="1"/>
  <c r="FB104" s="1"/>
  <c r="FP87"/>
  <c r="FQ87" s="1"/>
  <c r="FR87" s="1"/>
  <c r="FO87"/>
  <c r="FP16"/>
  <c r="FQ16" s="1"/>
  <c r="FR16" s="1"/>
  <c r="FO16"/>
  <c r="F315" i="21"/>
  <c r="D315"/>
  <c r="L315"/>
  <c r="B317"/>
  <c r="G316" s="1"/>
  <c r="E315"/>
  <c r="C315"/>
  <c r="G315"/>
  <c r="E287" i="54"/>
  <c r="F286" s="1"/>
  <c r="BF118" i="10"/>
  <c r="CW20" i="21"/>
  <c r="CZ20" s="1"/>
  <c r="CP20"/>
  <c r="CR20" s="1"/>
  <c r="FD104" i="10" l="1"/>
  <c r="FE104" s="1"/>
  <c r="FF104" s="1"/>
  <c r="FC104"/>
  <c r="HD115"/>
  <c r="HE115" s="1"/>
  <c r="HF115" s="1"/>
  <c r="HC115"/>
  <c r="EJ131"/>
  <c r="EK131" s="1"/>
  <c r="EL131" s="1"/>
  <c r="EI131"/>
  <c r="FT87"/>
  <c r="FU87" s="1"/>
  <c r="FV87" s="1"/>
  <c r="FS87"/>
  <c r="FS16"/>
  <c r="FT16"/>
  <c r="FU16" s="1"/>
  <c r="FV16" s="1"/>
  <c r="B318" i="21"/>
  <c r="C317" s="1"/>
  <c r="C316"/>
  <c r="E316"/>
  <c r="L316"/>
  <c r="F316"/>
  <c r="K316"/>
  <c r="D316"/>
  <c r="E288" i="54"/>
  <c r="F287" s="1"/>
  <c r="CV20" i="21"/>
  <c r="CX20"/>
  <c r="CY20" s="1"/>
  <c r="Q95" i="10"/>
  <c r="BW95" s="1"/>
  <c r="BX95" s="1"/>
  <c r="BY95" s="1"/>
  <c r="BZ95" s="1"/>
  <c r="AY3"/>
  <c r="J35" i="21"/>
  <c r="HH115" i="10" l="1"/>
  <c r="HI115" s="1"/>
  <c r="HJ115" s="1"/>
  <c r="HG115"/>
  <c r="EN131"/>
  <c r="EO131" s="1"/>
  <c r="EP131" s="1"/>
  <c r="EM131"/>
  <c r="FH104"/>
  <c r="FI104" s="1"/>
  <c r="FJ104" s="1"/>
  <c r="FG104"/>
  <c r="FW87"/>
  <c r="FX87"/>
  <c r="FY87" s="1"/>
  <c r="FZ87" s="1"/>
  <c r="CA95"/>
  <c r="CB95"/>
  <c r="CC95" s="1"/>
  <c r="CD95" s="1"/>
  <c r="FX16"/>
  <c r="FY16" s="1"/>
  <c r="FZ16" s="1"/>
  <c r="FW16"/>
  <c r="G317" i="21"/>
  <c r="L317"/>
  <c r="F317"/>
  <c r="D317"/>
  <c r="E317"/>
  <c r="B319"/>
  <c r="E318" s="1"/>
  <c r="K317"/>
  <c r="E289" i="54"/>
  <c r="F288" s="1"/>
  <c r="BB125" i="10"/>
  <c r="EQ131" l="1"/>
  <c r="ER131"/>
  <c r="ES131" s="1"/>
  <c r="ET131" s="1"/>
  <c r="FL104"/>
  <c r="FM104" s="1"/>
  <c r="FN104" s="1"/>
  <c r="FK104"/>
  <c r="HL115"/>
  <c r="HM115" s="1"/>
  <c r="HN115" s="1"/>
  <c r="HK115"/>
  <c r="GB16"/>
  <c r="GC16" s="1"/>
  <c r="GD16" s="1"/>
  <c r="GA16"/>
  <c r="CE95"/>
  <c r="CF95"/>
  <c r="CG95" s="1"/>
  <c r="CH95" s="1"/>
  <c r="GA87"/>
  <c r="GB87"/>
  <c r="GC87" s="1"/>
  <c r="GD87" s="1"/>
  <c r="C318" i="21"/>
  <c r="K318"/>
  <c r="L318"/>
  <c r="D318"/>
  <c r="F318"/>
  <c r="G318"/>
  <c r="B320"/>
  <c r="D319" s="1"/>
  <c r="E290" i="54"/>
  <c r="F289" s="1"/>
  <c r="Y196" i="10"/>
  <c r="X196"/>
  <c r="V156"/>
  <c r="S159"/>
  <c r="S156"/>
  <c r="E149"/>
  <c r="AD141"/>
  <c r="BX27" i="21"/>
  <c r="BZ27" s="1"/>
  <c r="EV131" i="10" l="1"/>
  <c r="EW131" s="1"/>
  <c r="EX131" s="1"/>
  <c r="EU131"/>
  <c r="HP115"/>
  <c r="HQ115" s="1"/>
  <c r="HR115" s="1"/>
  <c r="HO115"/>
  <c r="FO104"/>
  <c r="FP104"/>
  <c r="FQ104" s="1"/>
  <c r="FR104" s="1"/>
  <c r="CI95"/>
  <c r="CJ95"/>
  <c r="CK95" s="1"/>
  <c r="CL95" s="1"/>
  <c r="GE87"/>
  <c r="GF87"/>
  <c r="GG87" s="1"/>
  <c r="GH87" s="1"/>
  <c r="GF16"/>
  <c r="GG16" s="1"/>
  <c r="GH16" s="1"/>
  <c r="GE16"/>
  <c r="E319" i="21"/>
  <c r="L319"/>
  <c r="B321"/>
  <c r="K320" s="1"/>
  <c r="G319"/>
  <c r="F319"/>
  <c r="C319"/>
  <c r="K319"/>
  <c r="E291" i="54"/>
  <c r="F290" s="1"/>
  <c r="CF27" i="21"/>
  <c r="CG27" s="1"/>
  <c r="S141" i="10"/>
  <c r="V141"/>
  <c r="BD115"/>
  <c r="BD123"/>
  <c r="BD243"/>
  <c r="HT115" l="1"/>
  <c r="HU115" s="1"/>
  <c r="HV115" s="1"/>
  <c r="HS115"/>
  <c r="EZ131"/>
  <c r="FA131" s="1"/>
  <c r="FB131" s="1"/>
  <c r="EY131"/>
  <c r="FS104"/>
  <c r="FT104"/>
  <c r="FU104" s="1"/>
  <c r="FV104" s="1"/>
  <c r="GJ16"/>
  <c r="GK16" s="1"/>
  <c r="GL16" s="1"/>
  <c r="GI16"/>
  <c r="GJ87"/>
  <c r="GK87" s="1"/>
  <c r="GL87" s="1"/>
  <c r="GI87"/>
  <c r="CN95"/>
  <c r="CO95" s="1"/>
  <c r="CP95" s="1"/>
  <c r="CM95"/>
  <c r="F320" i="21"/>
  <c r="G320"/>
  <c r="D320"/>
  <c r="L320"/>
  <c r="B322"/>
  <c r="C321" s="1"/>
  <c r="C320"/>
  <c r="E320"/>
  <c r="E292" i="54"/>
  <c r="F291" s="1"/>
  <c r="L141" i="10"/>
  <c r="R141"/>
  <c r="W141"/>
  <c r="AE141"/>
  <c r="T141"/>
  <c r="Y141" s="1"/>
  <c r="Z141" s="1"/>
  <c r="FV3" i="21"/>
  <c r="FV4"/>
  <c r="FV5"/>
  <c r="FV6"/>
  <c r="FV7"/>
  <c r="FV8"/>
  <c r="FV9"/>
  <c r="FV10"/>
  <c r="FV11"/>
  <c r="FV12"/>
  <c r="FV13"/>
  <c r="AZ246" i="10"/>
  <c r="BA246" s="1"/>
  <c r="BB246" s="1"/>
  <c r="AZ243"/>
  <c r="BA243" s="1"/>
  <c r="BB243" s="1"/>
  <c r="FC131" l="1"/>
  <c r="FD131"/>
  <c r="FE131" s="1"/>
  <c r="FF131" s="1"/>
  <c r="FW104"/>
  <c r="FX104"/>
  <c r="FY104" s="1"/>
  <c r="FZ104" s="1"/>
  <c r="HX115"/>
  <c r="HY115" s="1"/>
  <c r="HZ115" s="1"/>
  <c r="HW115"/>
  <c r="D321" i="21"/>
  <c r="CQ95" i="10"/>
  <c r="CR95"/>
  <c r="CS95" s="1"/>
  <c r="CT95" s="1"/>
  <c r="GN87"/>
  <c r="GO87" s="1"/>
  <c r="GP87" s="1"/>
  <c r="GM87"/>
  <c r="GM16"/>
  <c r="GN16"/>
  <c r="GO16" s="1"/>
  <c r="GP16" s="1"/>
  <c r="L321" i="21"/>
  <c r="K321"/>
  <c r="B323"/>
  <c r="K322" s="1"/>
  <c r="G321"/>
  <c r="E321"/>
  <c r="F321"/>
  <c r="E293" i="54"/>
  <c r="F292" s="1"/>
  <c r="M141" i="10"/>
  <c r="AA141"/>
  <c r="AB141" s="1"/>
  <c r="BC246"/>
  <c r="BC243"/>
  <c r="AX112"/>
  <c r="CW21" i="21"/>
  <c r="CZ21" s="1"/>
  <c r="GA104" i="10" l="1"/>
  <c r="GB104"/>
  <c r="GC104" s="1"/>
  <c r="GD104" s="1"/>
  <c r="IB115"/>
  <c r="IA115"/>
  <c r="FG131"/>
  <c r="FH131"/>
  <c r="FI131" s="1"/>
  <c r="FJ131" s="1"/>
  <c r="CU95"/>
  <c r="CV95"/>
  <c r="CW95" s="1"/>
  <c r="CX95" s="1"/>
  <c r="GQ87"/>
  <c r="GR87"/>
  <c r="GS87" s="1"/>
  <c r="GT87" s="1"/>
  <c r="GR16"/>
  <c r="GS16" s="1"/>
  <c r="GT16" s="1"/>
  <c r="GQ16"/>
  <c r="E322" i="21"/>
  <c r="L322"/>
  <c r="F322"/>
  <c r="C322"/>
  <c r="G322"/>
  <c r="B324"/>
  <c r="L323" s="1"/>
  <c r="D322"/>
  <c r="E294" i="54"/>
  <c r="F293" s="1"/>
  <c r="CV21" i="21"/>
  <c r="CX21"/>
  <c r="CY21" s="1"/>
  <c r="GF104" i="10" l="1"/>
  <c r="GG104" s="1"/>
  <c r="GH104" s="1"/>
  <c r="GE104"/>
  <c r="FK131"/>
  <c r="FL131"/>
  <c r="FM131" s="1"/>
  <c r="FN131" s="1"/>
  <c r="CY95"/>
  <c r="CZ95"/>
  <c r="DA95" s="1"/>
  <c r="DB95" s="1"/>
  <c r="GU87"/>
  <c r="GV87"/>
  <c r="GW87" s="1"/>
  <c r="GX87" s="1"/>
  <c r="GV16"/>
  <c r="GW16" s="1"/>
  <c r="GX16" s="1"/>
  <c r="GU16"/>
  <c r="D323" i="21"/>
  <c r="G323"/>
  <c r="K323"/>
  <c r="F323"/>
  <c r="C323"/>
  <c r="B325"/>
  <c r="E324" s="1"/>
  <c r="E323"/>
  <c r="E295" i="54"/>
  <c r="F294" s="1"/>
  <c r="FP131" i="10" l="1"/>
  <c r="FQ131" s="1"/>
  <c r="FR131" s="1"/>
  <c r="FO131"/>
  <c r="GI104"/>
  <c r="GJ104"/>
  <c r="GK104" s="1"/>
  <c r="GL104" s="1"/>
  <c r="GZ16"/>
  <c r="HA16" s="1"/>
  <c r="HB16" s="1"/>
  <c r="GY16"/>
  <c r="DC95"/>
  <c r="DD95"/>
  <c r="DE95" s="1"/>
  <c r="DF95" s="1"/>
  <c r="GY87"/>
  <c r="GZ87"/>
  <c r="HA87" s="1"/>
  <c r="HB87" s="1"/>
  <c r="C324" i="21"/>
  <c r="K324"/>
  <c r="L324"/>
  <c r="B326"/>
  <c r="C325" s="1"/>
  <c r="D324"/>
  <c r="F324"/>
  <c r="G324"/>
  <c r="E296" i="54"/>
  <c r="F295" s="1"/>
  <c r="Q54" i="10"/>
  <c r="BW54" s="1"/>
  <c r="BX54" s="1"/>
  <c r="BY54" s="1"/>
  <c r="BZ54" s="1"/>
  <c r="IN18"/>
  <c r="IM24"/>
  <c r="B149"/>
  <c r="B8" s="1"/>
  <c r="B11" s="1"/>
  <c r="AD74"/>
  <c r="GM104" l="1"/>
  <c r="GN104"/>
  <c r="GO104" s="1"/>
  <c r="GP104" s="1"/>
  <c r="FS131"/>
  <c r="FT131"/>
  <c r="FU131" s="1"/>
  <c r="FV131" s="1"/>
  <c r="O56"/>
  <c r="E56" s="1"/>
  <c r="X56" s="1"/>
  <c r="O102"/>
  <c r="DH95"/>
  <c r="DI95" s="1"/>
  <c r="DJ95" s="1"/>
  <c r="DG95"/>
  <c r="HD16"/>
  <c r="HE16" s="1"/>
  <c r="HF16" s="1"/>
  <c r="HC16"/>
  <c r="HC87"/>
  <c r="HD87"/>
  <c r="HE87" s="1"/>
  <c r="HF87" s="1"/>
  <c r="CA54"/>
  <c r="CB54"/>
  <c r="CC54" s="1"/>
  <c r="CD54" s="1"/>
  <c r="B13"/>
  <c r="O121"/>
  <c r="L325" i="21"/>
  <c r="F325"/>
  <c r="D325"/>
  <c r="B327"/>
  <c r="L326" s="1"/>
  <c r="G325"/>
  <c r="K325"/>
  <c r="E325"/>
  <c r="E297" i="54"/>
  <c r="F296" s="1"/>
  <c r="CM18" i="21"/>
  <c r="B150" i="10"/>
  <c r="S74"/>
  <c r="F206" s="1"/>
  <c r="H206" s="1"/>
  <c r="IN27"/>
  <c r="IH52" s="1"/>
  <c r="DE15" i="21"/>
  <c r="DE23"/>
  <c r="DE19"/>
  <c r="DE26"/>
  <c r="DE22"/>
  <c r="DE18"/>
  <c r="DE25"/>
  <c r="DE21"/>
  <c r="DE17"/>
  <c r="DE24"/>
  <c r="DE20"/>
  <c r="DE16"/>
  <c r="V74" i="10"/>
  <c r="CM20" i="21"/>
  <c r="CM24"/>
  <c r="CM16"/>
  <c r="CM26"/>
  <c r="CM15"/>
  <c r="CM19"/>
  <c r="CM23"/>
  <c r="CM17"/>
  <c r="CM21"/>
  <c r="CM25"/>
  <c r="CM22"/>
  <c r="P56" i="10" l="1"/>
  <c r="FX131"/>
  <c r="FY131" s="1"/>
  <c r="FZ131" s="1"/>
  <c r="FW131"/>
  <c r="GQ104"/>
  <c r="GR104"/>
  <c r="GS104" s="1"/>
  <c r="GT104" s="1"/>
  <c r="P102"/>
  <c r="E102"/>
  <c r="X102" s="1"/>
  <c r="HH16"/>
  <c r="HI16" s="1"/>
  <c r="HJ16" s="1"/>
  <c r="HG16"/>
  <c r="HG87"/>
  <c r="HH87"/>
  <c r="HI87" s="1"/>
  <c r="HJ87" s="1"/>
  <c r="CE54"/>
  <c r="CF54"/>
  <c r="CG54" s="1"/>
  <c r="CH54" s="1"/>
  <c r="DK95"/>
  <c r="DL95"/>
  <c r="DM95" s="1"/>
  <c r="DN95" s="1"/>
  <c r="P121"/>
  <c r="E121"/>
  <c r="X121" s="1"/>
  <c r="O5"/>
  <c r="E5" s="1"/>
  <c r="X5" s="1"/>
  <c r="F326" i="21"/>
  <c r="B328"/>
  <c r="C327" s="1"/>
  <c r="D326"/>
  <c r="E326"/>
  <c r="C326"/>
  <c r="K326"/>
  <c r="G326"/>
  <c r="E298" i="54"/>
  <c r="F297" s="1"/>
  <c r="O49" i="10"/>
  <c r="E49" s="1"/>
  <c r="X49" s="1"/>
  <c r="O76"/>
  <c r="E76" s="1"/>
  <c r="X76" s="1"/>
  <c r="O34"/>
  <c r="E34" s="1"/>
  <c r="X34" s="1"/>
  <c r="O130"/>
  <c r="P130" s="1"/>
  <c r="O23"/>
  <c r="E23" s="1"/>
  <c r="X23" s="1"/>
  <c r="E206"/>
  <c r="G206" s="1"/>
  <c r="O116"/>
  <c r="E116" s="1"/>
  <c r="X116" s="1"/>
  <c r="O99"/>
  <c r="E99" s="1"/>
  <c r="X99" s="1"/>
  <c r="O69"/>
  <c r="E69" s="1"/>
  <c r="X69" s="1"/>
  <c r="O128"/>
  <c r="E128" s="1"/>
  <c r="X128" s="1"/>
  <c r="O106"/>
  <c r="E106" s="1"/>
  <c r="X106" s="1"/>
  <c r="O97"/>
  <c r="P97" s="1"/>
  <c r="O30"/>
  <c r="E30" s="1"/>
  <c r="X30" s="1"/>
  <c r="O35"/>
  <c r="E35" s="1"/>
  <c r="X35" s="1"/>
  <c r="L74"/>
  <c r="M74" s="1"/>
  <c r="O4"/>
  <c r="E4" s="1"/>
  <c r="X4" s="1"/>
  <c r="R74"/>
  <c r="W74"/>
  <c r="AE74"/>
  <c r="O64"/>
  <c r="E64" s="1"/>
  <c r="X64" s="1"/>
  <c r="O77"/>
  <c r="E77" s="1"/>
  <c r="X77" s="1"/>
  <c r="O65"/>
  <c r="E65" s="1"/>
  <c r="X65" s="1"/>
  <c r="O70"/>
  <c r="E70" s="1"/>
  <c r="X70" s="1"/>
  <c r="O125"/>
  <c r="E125" s="1"/>
  <c r="X125" s="1"/>
  <c r="O105"/>
  <c r="E105" s="1"/>
  <c r="X105" s="1"/>
  <c r="K51" i="21"/>
  <c r="K42"/>
  <c r="O141" i="10"/>
  <c r="E141" s="1"/>
  <c r="X141" s="1"/>
  <c r="K50" i="21"/>
  <c r="K43"/>
  <c r="K49"/>
  <c r="K52"/>
  <c r="K45"/>
  <c r="K44"/>
  <c r="T74" i="10"/>
  <c r="Y74" s="1"/>
  <c r="K46" i="21"/>
  <c r="K47"/>
  <c r="K48"/>
  <c r="CM27"/>
  <c r="DE27"/>
  <c r="K41"/>
  <c r="S185" i="10"/>
  <c r="GV104" l="1"/>
  <c r="GW104" s="1"/>
  <c r="GX104" s="1"/>
  <c r="GU104"/>
  <c r="GA131"/>
  <c r="GB131"/>
  <c r="GC131" s="1"/>
  <c r="GD131" s="1"/>
  <c r="DO95"/>
  <c r="DP95"/>
  <c r="DQ95" s="1"/>
  <c r="DR95" s="1"/>
  <c r="HK87"/>
  <c r="HL87"/>
  <c r="HM87" s="1"/>
  <c r="HN87" s="1"/>
  <c r="CI54"/>
  <c r="CJ54"/>
  <c r="CK54" s="1"/>
  <c r="CL54" s="1"/>
  <c r="HL16"/>
  <c r="HM16" s="1"/>
  <c r="HN16" s="1"/>
  <c r="HK16"/>
  <c r="P5"/>
  <c r="B329" i="21"/>
  <c r="D328" s="1"/>
  <c r="F327"/>
  <c r="G327"/>
  <c r="K327"/>
  <c r="D327"/>
  <c r="E327"/>
  <c r="L327"/>
  <c r="E299" i="54"/>
  <c r="F298" s="1"/>
  <c r="Z74" i="10"/>
  <c r="AA74" s="1"/>
  <c r="AB74" s="1"/>
  <c r="P49"/>
  <c r="P76"/>
  <c r="P34"/>
  <c r="E130"/>
  <c r="X130" s="1"/>
  <c r="P23"/>
  <c r="P116"/>
  <c r="P99"/>
  <c r="P69"/>
  <c r="P128"/>
  <c r="P106"/>
  <c r="E97"/>
  <c r="X97" s="1"/>
  <c r="P30"/>
  <c r="P35"/>
  <c r="P4"/>
  <c r="P64"/>
  <c r="P77"/>
  <c r="P65"/>
  <c r="P70"/>
  <c r="P125"/>
  <c r="P105"/>
  <c r="P141"/>
  <c r="S91"/>
  <c r="AD91"/>
  <c r="GZ104" l="1"/>
  <c r="HA104" s="1"/>
  <c r="HB104" s="1"/>
  <c r="GY104"/>
  <c r="GF131"/>
  <c r="GG131" s="1"/>
  <c r="GH131" s="1"/>
  <c r="GE131"/>
  <c r="DT95"/>
  <c r="DU95" s="1"/>
  <c r="DV95" s="1"/>
  <c r="DS95"/>
  <c r="HO87"/>
  <c r="HP87"/>
  <c r="HQ87" s="1"/>
  <c r="HR87" s="1"/>
  <c r="CM54"/>
  <c r="CN54"/>
  <c r="CO54" s="1"/>
  <c r="CP54" s="1"/>
  <c r="HP16"/>
  <c r="HQ16" s="1"/>
  <c r="HR16" s="1"/>
  <c r="HO16"/>
  <c r="K328" i="21"/>
  <c r="F328"/>
  <c r="B330"/>
  <c r="G329" s="1"/>
  <c r="L328"/>
  <c r="G328"/>
  <c r="C328"/>
  <c r="E328"/>
  <c r="E300" i="54"/>
  <c r="F299" s="1"/>
  <c r="L91" i="10"/>
  <c r="M91" s="1"/>
  <c r="W91"/>
  <c r="AE91"/>
  <c r="T91"/>
  <c r="Y91" s="1"/>
  <c r="R91"/>
  <c r="V91"/>
  <c r="DR19" i="21"/>
  <c r="GJ131" i="10" l="1"/>
  <c r="GK131" s="1"/>
  <c r="GL131" s="1"/>
  <c r="GI131"/>
  <c r="HD104"/>
  <c r="HE104" s="1"/>
  <c r="HF104" s="1"/>
  <c r="HC104"/>
  <c r="HS87"/>
  <c r="HT87"/>
  <c r="HU87" s="1"/>
  <c r="HV87" s="1"/>
  <c r="CQ54"/>
  <c r="CR54"/>
  <c r="CS54" s="1"/>
  <c r="CT54" s="1"/>
  <c r="HT16"/>
  <c r="HU16" s="1"/>
  <c r="HV16" s="1"/>
  <c r="HS16"/>
  <c r="DW95"/>
  <c r="DX95"/>
  <c r="DY95" s="1"/>
  <c r="DZ95" s="1"/>
  <c r="B331" i="21"/>
  <c r="E330" s="1"/>
  <c r="K329"/>
  <c r="D329"/>
  <c r="E329"/>
  <c r="C329"/>
  <c r="L329"/>
  <c r="F329"/>
  <c r="E301" i="54"/>
  <c r="F300" s="1"/>
  <c r="Z91" i="10"/>
  <c r="AA91" s="1"/>
  <c r="AB91" s="1"/>
  <c r="DP19" i="21"/>
  <c r="DQ19" s="1"/>
  <c r="DN19"/>
  <c r="HG104" i="10" l="1"/>
  <c r="HH104"/>
  <c r="HI104" s="1"/>
  <c r="HJ104" s="1"/>
  <c r="GM131"/>
  <c r="GN131"/>
  <c r="GO131" s="1"/>
  <c r="GP131" s="1"/>
  <c r="EA95"/>
  <c r="EB95"/>
  <c r="EC95" s="1"/>
  <c r="ED95" s="1"/>
  <c r="HX87"/>
  <c r="HY87" s="1"/>
  <c r="HZ87" s="1"/>
  <c r="HW87"/>
  <c r="CU54"/>
  <c r="CV54"/>
  <c r="CW54" s="1"/>
  <c r="CX54" s="1"/>
  <c r="HW16"/>
  <c r="HX16"/>
  <c r="HY16" s="1"/>
  <c r="HZ16" s="1"/>
  <c r="K330" i="21"/>
  <c r="F330"/>
  <c r="B332"/>
  <c r="C331" s="1"/>
  <c r="C330"/>
  <c r="L330"/>
  <c r="D330"/>
  <c r="G330"/>
  <c r="E302" i="54"/>
  <c r="F301" s="1"/>
  <c r="GQ131" i="10" l="1"/>
  <c r="GR131"/>
  <c r="GS131" s="1"/>
  <c r="GT131" s="1"/>
  <c r="HK104"/>
  <c r="HL104"/>
  <c r="HM104" s="1"/>
  <c r="HN104" s="1"/>
  <c r="CY54"/>
  <c r="CZ54"/>
  <c r="DA54" s="1"/>
  <c r="DB54" s="1"/>
  <c r="IA16"/>
  <c r="IB16"/>
  <c r="EF95"/>
  <c r="EG95" s="1"/>
  <c r="EH95" s="1"/>
  <c r="EE95"/>
  <c r="IB87"/>
  <c r="IA87"/>
  <c r="F331" i="21"/>
  <c r="K331"/>
  <c r="G331"/>
  <c r="D331"/>
  <c r="B333"/>
  <c r="D332" s="1"/>
  <c r="L331"/>
  <c r="E331"/>
  <c r="E303" i="54"/>
  <c r="F302" s="1"/>
  <c r="IH21" i="10"/>
  <c r="IQ42"/>
  <c r="IQ43" s="1"/>
  <c r="IQ44" s="1"/>
  <c r="IQ45" s="1"/>
  <c r="IQ46" s="1"/>
  <c r="IQ47" s="1"/>
  <c r="IQ48" s="1"/>
  <c r="IQ49" s="1"/>
  <c r="IQ50" s="1"/>
  <c r="IQ51" s="1"/>
  <c r="IQ52" s="1"/>
  <c r="IQ53" s="1"/>
  <c r="IQ54" s="1"/>
  <c r="IQ55" s="1"/>
  <c r="IQ56" s="1"/>
  <c r="IQ57" s="1"/>
  <c r="IQ58" s="1"/>
  <c r="IQ59" s="1"/>
  <c r="IQ60" s="1"/>
  <c r="IQ61" s="1"/>
  <c r="IQ62" s="1"/>
  <c r="IQ63" s="1"/>
  <c r="IQ64" s="1"/>
  <c r="IQ65" s="1"/>
  <c r="IQ66" s="1"/>
  <c r="IQ67" s="1"/>
  <c r="IQ68" s="1"/>
  <c r="IQ69" s="1"/>
  <c r="IK22"/>
  <c r="IH49" s="1"/>
  <c r="IK18"/>
  <c r="IH48" s="1"/>
  <c r="IJ22"/>
  <c r="IH47" s="1"/>
  <c r="IJ18"/>
  <c r="IH46" s="1"/>
  <c r="II22"/>
  <c r="IH45" s="1"/>
  <c r="II18"/>
  <c r="IH44" s="1"/>
  <c r="Q96"/>
  <c r="BW96" s="1"/>
  <c r="BX96" s="1"/>
  <c r="BY96" s="1"/>
  <c r="BZ96" s="1"/>
  <c r="CP22" i="21"/>
  <c r="CR22" s="1"/>
  <c r="CW22"/>
  <c r="CZ22" s="1"/>
  <c r="GU131" i="10" l="1"/>
  <c r="GV131"/>
  <c r="GW131" s="1"/>
  <c r="GX131" s="1"/>
  <c r="HO104"/>
  <c r="HP104"/>
  <c r="HQ104" s="1"/>
  <c r="HR104" s="1"/>
  <c r="CA96"/>
  <c r="CB96"/>
  <c r="CC96" s="1"/>
  <c r="CD96" s="1"/>
  <c r="DC54"/>
  <c r="DD54"/>
  <c r="DE54" s="1"/>
  <c r="DF54" s="1"/>
  <c r="EI95"/>
  <c r="EJ95"/>
  <c r="EK95" s="1"/>
  <c r="EL95" s="1"/>
  <c r="G332" i="21"/>
  <c r="E332"/>
  <c r="B334"/>
  <c r="G333" s="1"/>
  <c r="K332"/>
  <c r="L332"/>
  <c r="F332"/>
  <c r="C332"/>
  <c r="E304" i="54"/>
  <c r="F303" s="1"/>
  <c r="IH43" i="10"/>
  <c r="IQ70"/>
  <c r="IR69"/>
  <c r="IR42"/>
  <c r="IR47"/>
  <c r="IR43"/>
  <c r="CX22" i="21"/>
  <c r="CY22" s="1"/>
  <c r="CV22"/>
  <c r="HS104" i="10" l="1"/>
  <c r="HT104"/>
  <c r="HU104" s="1"/>
  <c r="HV104" s="1"/>
  <c r="GY131"/>
  <c r="GZ131"/>
  <c r="HA131" s="1"/>
  <c r="HB131" s="1"/>
  <c r="EN95"/>
  <c r="EO95" s="1"/>
  <c r="EP95" s="1"/>
  <c r="EM95"/>
  <c r="DG54"/>
  <c r="DH54"/>
  <c r="DI54" s="1"/>
  <c r="DJ54" s="1"/>
  <c r="CE96"/>
  <c r="CF96"/>
  <c r="CG96" s="1"/>
  <c r="CH96" s="1"/>
  <c r="K333" i="21"/>
  <c r="D333"/>
  <c r="B335"/>
  <c r="L334" s="1"/>
  <c r="C333"/>
  <c r="L333"/>
  <c r="E333"/>
  <c r="F333"/>
  <c r="E305" i="54"/>
  <c r="F304" s="1"/>
  <c r="IQ71" i="10"/>
  <c r="IR70"/>
  <c r="IR44"/>
  <c r="AD124"/>
  <c r="HC131" l="1"/>
  <c r="HD131"/>
  <c r="HE131" s="1"/>
  <c r="HF131" s="1"/>
  <c r="HW104"/>
  <c r="HX104"/>
  <c r="HY104" s="1"/>
  <c r="HZ104" s="1"/>
  <c r="DK54"/>
  <c r="DL54"/>
  <c r="DM54" s="1"/>
  <c r="DN54" s="1"/>
  <c r="CI96"/>
  <c r="CJ96"/>
  <c r="CK96" s="1"/>
  <c r="CL96" s="1"/>
  <c r="EQ95"/>
  <c r="ER95"/>
  <c r="ES95" s="1"/>
  <c r="ET95" s="1"/>
  <c r="IF16"/>
  <c r="II41" s="1"/>
  <c r="IG23"/>
  <c r="II42" s="1"/>
  <c r="K334" i="21"/>
  <c r="B336"/>
  <c r="C335" s="1"/>
  <c r="C334"/>
  <c r="G334"/>
  <c r="D334"/>
  <c r="E334"/>
  <c r="F334"/>
  <c r="E306" i="54"/>
  <c r="F305" s="1"/>
  <c r="L124" i="10"/>
  <c r="M124" s="1"/>
  <c r="AE124"/>
  <c r="IN28"/>
  <c r="II52" s="1"/>
  <c r="IH22"/>
  <c r="II43" s="1"/>
  <c r="IK23"/>
  <c r="II49" s="1"/>
  <c r="IR71"/>
  <c r="IQ72"/>
  <c r="IR45"/>
  <c r="V124"/>
  <c r="S124"/>
  <c r="W124" s="1"/>
  <c r="BE161"/>
  <c r="BE164"/>
  <c r="F244"/>
  <c r="DR20" i="21"/>
  <c r="DH20"/>
  <c r="DJ20" s="1"/>
  <c r="IA104" i="10" l="1"/>
  <c r="IB104"/>
  <c r="HH131"/>
  <c r="HI131" s="1"/>
  <c r="HJ131" s="1"/>
  <c r="HG131"/>
  <c r="B337" i="21"/>
  <c r="L336" s="1"/>
  <c r="DP54" i="10"/>
  <c r="DQ54" s="1"/>
  <c r="DR54" s="1"/>
  <c r="DO54"/>
  <c r="EV95"/>
  <c r="EW95" s="1"/>
  <c r="EX95" s="1"/>
  <c r="EU95"/>
  <c r="CM96"/>
  <c r="CN96"/>
  <c r="CO96" s="1"/>
  <c r="CP96" s="1"/>
  <c r="L335" i="21"/>
  <c r="G335"/>
  <c r="F335"/>
  <c r="E335"/>
  <c r="K335"/>
  <c r="D335"/>
  <c r="E307" i="54"/>
  <c r="F306" s="1"/>
  <c r="F246" i="10"/>
  <c r="G242" s="1"/>
  <c r="BG167"/>
  <c r="BG170" s="1"/>
  <c r="AV251"/>
  <c r="AV387" s="1"/>
  <c r="II23"/>
  <c r="II45" s="1"/>
  <c r="IJ19"/>
  <c r="II46" s="1"/>
  <c r="IK19"/>
  <c r="II48" s="1"/>
  <c r="IJ23"/>
  <c r="II47" s="1"/>
  <c r="II19"/>
  <c r="II44" s="1"/>
  <c r="IQ73"/>
  <c r="IR72"/>
  <c r="IR46"/>
  <c r="T124"/>
  <c r="Y124" s="1"/>
  <c r="R124"/>
  <c r="DP20" i="21"/>
  <c r="DQ20" s="1"/>
  <c r="DN20"/>
  <c r="HK131" i="10" l="1"/>
  <c r="HL131"/>
  <c r="HM131" s="1"/>
  <c r="HN131" s="1"/>
  <c r="F336" i="21"/>
  <c r="E336"/>
  <c r="B338"/>
  <c r="C337" s="1"/>
  <c r="D336"/>
  <c r="K336"/>
  <c r="C336"/>
  <c r="G336"/>
  <c r="CR96" i="10"/>
  <c r="CS96" s="1"/>
  <c r="CT96" s="1"/>
  <c r="CQ96"/>
  <c r="DS54"/>
  <c r="DT54"/>
  <c r="DU54" s="1"/>
  <c r="DV54" s="1"/>
  <c r="EY95"/>
  <c r="EZ95"/>
  <c r="FA95" s="1"/>
  <c r="FB95" s="1"/>
  <c r="E308" i="54"/>
  <c r="F307" s="1"/>
  <c r="Z124" i="10"/>
  <c r="AA124" s="1"/>
  <c r="AB124" s="1"/>
  <c r="G244"/>
  <c r="BF174"/>
  <c r="BF171"/>
  <c r="BF173"/>
  <c r="BF172"/>
  <c r="IQ74"/>
  <c r="IR73"/>
  <c r="Q28"/>
  <c r="BW28" s="1"/>
  <c r="BX28" s="1"/>
  <c r="BY28" s="1"/>
  <c r="BZ28" s="1"/>
  <c r="HP131" l="1"/>
  <c r="HQ131" s="1"/>
  <c r="HR131" s="1"/>
  <c r="HO131"/>
  <c r="K337" i="21"/>
  <c r="B339"/>
  <c r="E338" s="1"/>
  <c r="D337"/>
  <c r="E337"/>
  <c r="L337"/>
  <c r="F337"/>
  <c r="G337"/>
  <c r="DW54" i="10"/>
  <c r="DX54"/>
  <c r="DY54" s="1"/>
  <c r="DZ54" s="1"/>
  <c r="CA28"/>
  <c r="CB28"/>
  <c r="CC28" s="1"/>
  <c r="CD28" s="1"/>
  <c r="FC95"/>
  <c r="FD95"/>
  <c r="FE95" s="1"/>
  <c r="FF95" s="1"/>
  <c r="CU96"/>
  <c r="CV96"/>
  <c r="CW96" s="1"/>
  <c r="CX96" s="1"/>
  <c r="E309" i="54"/>
  <c r="F308" s="1"/>
  <c r="IQ75" i="10"/>
  <c r="IR74"/>
  <c r="IR48"/>
  <c r="HT131" l="1"/>
  <c r="HU131" s="1"/>
  <c r="HV131" s="1"/>
  <c r="HS131"/>
  <c r="K338" i="21"/>
  <c r="B340"/>
  <c r="C339" s="1"/>
  <c r="C338"/>
  <c r="L338"/>
  <c r="D338"/>
  <c r="G338"/>
  <c r="F338"/>
  <c r="FG95" i="10"/>
  <c r="FH95"/>
  <c r="FI95" s="1"/>
  <c r="FJ95" s="1"/>
  <c r="EA54"/>
  <c r="EB54"/>
  <c r="EC54" s="1"/>
  <c r="ED54" s="1"/>
  <c r="CZ96"/>
  <c r="DA96" s="1"/>
  <c r="DB96" s="1"/>
  <c r="CY96"/>
  <c r="CE28"/>
  <c r="CF28"/>
  <c r="CG28" s="1"/>
  <c r="CH28" s="1"/>
  <c r="E310" i="54"/>
  <c r="F309" s="1"/>
  <c r="IQ76" i="10"/>
  <c r="IR75"/>
  <c r="IR49"/>
  <c r="CP23" i="21"/>
  <c r="CR23" s="1"/>
  <c r="CP26"/>
  <c r="CR26" s="1"/>
  <c r="CW23"/>
  <c r="CZ23" s="1"/>
  <c r="HW131" i="10" l="1"/>
  <c r="HX131"/>
  <c r="HY131" s="1"/>
  <c r="HZ131" s="1"/>
  <c r="L339" i="21"/>
  <c r="D339"/>
  <c r="G339"/>
  <c r="E339"/>
  <c r="F339"/>
  <c r="B341"/>
  <c r="L340" s="1"/>
  <c r="K339"/>
  <c r="DD96" i="10"/>
  <c r="DE96" s="1"/>
  <c r="DF96" s="1"/>
  <c r="DC96"/>
  <c r="EE54"/>
  <c r="EF54"/>
  <c r="EG54" s="1"/>
  <c r="EH54" s="1"/>
  <c r="FK95"/>
  <c r="FL95"/>
  <c r="FM95" s="1"/>
  <c r="FN95" s="1"/>
  <c r="CI28"/>
  <c r="CJ28"/>
  <c r="CK28" s="1"/>
  <c r="CL28" s="1"/>
  <c r="E311" i="54"/>
  <c r="F310" s="1"/>
  <c r="IQ77" i="10"/>
  <c r="IR76"/>
  <c r="IR50"/>
  <c r="CV23" i="21"/>
  <c r="CX23"/>
  <c r="CY23" s="1"/>
  <c r="IB131" i="10" l="1"/>
  <c r="IA131"/>
  <c r="C340" i="21"/>
  <c r="B342"/>
  <c r="G341" s="1"/>
  <c r="G340"/>
  <c r="D340"/>
  <c r="E340"/>
  <c r="F340"/>
  <c r="K340"/>
  <c r="EI54" i="10"/>
  <c r="EJ54"/>
  <c r="EK54" s="1"/>
  <c r="EL54" s="1"/>
  <c r="CN28"/>
  <c r="CO28" s="1"/>
  <c r="CP28" s="1"/>
  <c r="CM28"/>
  <c r="FO95"/>
  <c r="FP95"/>
  <c r="FQ95" s="1"/>
  <c r="FR95" s="1"/>
  <c r="DG96"/>
  <c r="DH96"/>
  <c r="DI96" s="1"/>
  <c r="DJ96" s="1"/>
  <c r="F311" i="54"/>
  <c r="I138" s="1"/>
  <c r="I139"/>
  <c r="I149"/>
  <c r="I150"/>
  <c r="I140"/>
  <c r="I141"/>
  <c r="I142"/>
  <c r="I144"/>
  <c r="I143"/>
  <c r="I145"/>
  <c r="I146"/>
  <c r="I148"/>
  <c r="I147"/>
  <c r="I137"/>
  <c r="IQ78" i="10"/>
  <c r="IR77"/>
  <c r="IR51"/>
  <c r="B343" i="21" l="1"/>
  <c r="K342" s="1"/>
  <c r="F341"/>
  <c r="L341"/>
  <c r="C341"/>
  <c r="E341"/>
  <c r="K341"/>
  <c r="D341"/>
  <c r="FS95" i="10"/>
  <c r="FT95"/>
  <c r="FU95" s="1"/>
  <c r="FV95" s="1"/>
  <c r="DK96"/>
  <c r="DL96"/>
  <c r="DM96" s="1"/>
  <c r="DN96" s="1"/>
  <c r="EM54"/>
  <c r="EN54"/>
  <c r="EO54" s="1"/>
  <c r="EP54" s="1"/>
  <c r="CQ28"/>
  <c r="CR28"/>
  <c r="CS28" s="1"/>
  <c r="CT28" s="1"/>
  <c r="I151" i="54"/>
  <c r="IQ79" i="10"/>
  <c r="IR78"/>
  <c r="IR52"/>
  <c r="DR21" i="21"/>
  <c r="DH21"/>
  <c r="DJ21" s="1"/>
  <c r="I153" i="54" l="1"/>
  <c r="J137" s="1"/>
  <c r="E342" i="21"/>
  <c r="C342"/>
  <c r="L342"/>
  <c r="B344"/>
  <c r="G343" s="1"/>
  <c r="F342"/>
  <c r="D342"/>
  <c r="G342"/>
  <c r="CU28" i="10"/>
  <c r="CV28"/>
  <c r="CW28" s="1"/>
  <c r="CX28" s="1"/>
  <c r="DP96"/>
  <c r="DQ96" s="1"/>
  <c r="DR96" s="1"/>
  <c r="DO96"/>
  <c r="ER54"/>
  <c r="ES54" s="1"/>
  <c r="ET54" s="1"/>
  <c r="EQ54"/>
  <c r="FX95"/>
  <c r="FY95" s="1"/>
  <c r="FZ95" s="1"/>
  <c r="FW95"/>
  <c r="J150" i="54"/>
  <c r="IQ80" i="10"/>
  <c r="IR79"/>
  <c r="IR53"/>
  <c r="DP21" i="21"/>
  <c r="DQ21" s="1"/>
  <c r="DN21"/>
  <c r="J143" i="54" l="1"/>
  <c r="J145"/>
  <c r="J144"/>
  <c r="J149"/>
  <c r="J139"/>
  <c r="J146"/>
  <c r="J141"/>
  <c r="J147"/>
  <c r="J140"/>
  <c r="J148"/>
  <c r="J138"/>
  <c r="J142"/>
  <c r="J151"/>
  <c r="L343" i="21"/>
  <c r="B345"/>
  <c r="K344" s="1"/>
  <c r="C343"/>
  <c r="F343"/>
  <c r="D343"/>
  <c r="E343"/>
  <c r="K343"/>
  <c r="GA95" i="10"/>
  <c r="GB95"/>
  <c r="GC95" s="1"/>
  <c r="GD95" s="1"/>
  <c r="DS96"/>
  <c r="DT96"/>
  <c r="DU96" s="1"/>
  <c r="DV96" s="1"/>
  <c r="CY28"/>
  <c r="CZ28"/>
  <c r="DA28" s="1"/>
  <c r="DB28" s="1"/>
  <c r="EU54"/>
  <c r="EV54"/>
  <c r="EW54" s="1"/>
  <c r="EX54" s="1"/>
  <c r="IQ81"/>
  <c r="IR80"/>
  <c r="IR54"/>
  <c r="B346" i="21" l="1"/>
  <c r="F345" s="1"/>
  <c r="D344"/>
  <c r="L344"/>
  <c r="G344"/>
  <c r="C344"/>
  <c r="E344"/>
  <c r="F344"/>
  <c r="DD28" i="10"/>
  <c r="DE28" s="1"/>
  <c r="DF28" s="1"/>
  <c r="DC28"/>
  <c r="GE95"/>
  <c r="GF95"/>
  <c r="GG95" s="1"/>
  <c r="GH95" s="1"/>
  <c r="EZ54"/>
  <c r="FA54" s="1"/>
  <c r="FB54" s="1"/>
  <c r="EY54"/>
  <c r="DX96"/>
  <c r="DY96" s="1"/>
  <c r="DZ96" s="1"/>
  <c r="DW96"/>
  <c r="IQ82"/>
  <c r="IR81"/>
  <c r="IR55"/>
  <c r="BC250"/>
  <c r="BC256" s="1"/>
  <c r="AZ245"/>
  <c r="BA245" s="1"/>
  <c r="BB245" s="1"/>
  <c r="BC245" s="1"/>
  <c r="AZ244"/>
  <c r="BA244" s="1"/>
  <c r="G345" i="21" l="1"/>
  <c r="K345"/>
  <c r="C345"/>
  <c r="D345"/>
  <c r="E345"/>
  <c r="B347"/>
  <c r="F346" s="1"/>
  <c r="L345"/>
  <c r="FC54" i="10"/>
  <c r="FD54"/>
  <c r="FE54" s="1"/>
  <c r="FF54" s="1"/>
  <c r="DG28"/>
  <c r="DH28"/>
  <c r="DI28" s="1"/>
  <c r="DJ28" s="1"/>
  <c r="GI95"/>
  <c r="GJ95"/>
  <c r="GK95" s="1"/>
  <c r="GL95" s="1"/>
  <c r="EA96"/>
  <c r="EB96"/>
  <c r="EC96" s="1"/>
  <c r="ED96" s="1"/>
  <c r="BE250"/>
  <c r="BE256" s="1"/>
  <c r="BB244"/>
  <c r="BC244" s="1"/>
  <c r="IQ83"/>
  <c r="IR82"/>
  <c r="IR56"/>
  <c r="Q113"/>
  <c r="BW113" s="1"/>
  <c r="BX113" s="1"/>
  <c r="BY113" s="1"/>
  <c r="BZ113" s="1"/>
  <c r="CA113" l="1"/>
  <c r="CB113"/>
  <c r="CC113" s="1"/>
  <c r="CD113" s="1"/>
  <c r="B348" i="21"/>
  <c r="L347" s="1"/>
  <c r="L346"/>
  <c r="G346"/>
  <c r="E346"/>
  <c r="D346"/>
  <c r="C346"/>
  <c r="K346"/>
  <c r="GM95" i="10"/>
  <c r="GN95"/>
  <c r="GO95" s="1"/>
  <c r="GP95" s="1"/>
  <c r="FH54"/>
  <c r="FI54" s="1"/>
  <c r="FJ54" s="1"/>
  <c r="FG54"/>
  <c r="EF96"/>
  <c r="EG96" s="1"/>
  <c r="EH96" s="1"/>
  <c r="EE96"/>
  <c r="DK28"/>
  <c r="DL28"/>
  <c r="DM28" s="1"/>
  <c r="DN28" s="1"/>
  <c r="IQ84"/>
  <c r="IR83"/>
  <c r="IR57"/>
  <c r="CW24" i="21"/>
  <c r="CZ24" s="1"/>
  <c r="CE113" i="10" l="1"/>
  <c r="CF113"/>
  <c r="CG113" s="1"/>
  <c r="CH113" s="1"/>
  <c r="C347" i="21"/>
  <c r="G347"/>
  <c r="F347"/>
  <c r="K347"/>
  <c r="E347"/>
  <c r="B349"/>
  <c r="L348" s="1"/>
  <c r="D347"/>
  <c r="EI96" i="10"/>
  <c r="EJ96"/>
  <c r="EK96" s="1"/>
  <c r="EL96" s="1"/>
  <c r="GQ95"/>
  <c r="GR95"/>
  <c r="GS95" s="1"/>
  <c r="GT95" s="1"/>
  <c r="DO28"/>
  <c r="DP28"/>
  <c r="DQ28" s="1"/>
  <c r="DR28" s="1"/>
  <c r="FK54"/>
  <c r="FL54"/>
  <c r="FM54" s="1"/>
  <c r="FN54" s="1"/>
  <c r="IQ85"/>
  <c r="IR84"/>
  <c r="IR58"/>
  <c r="CX24" i="21"/>
  <c r="CY24" s="1"/>
  <c r="CV24"/>
  <c r="CI113" i="10" l="1"/>
  <c r="CJ113"/>
  <c r="CK113" s="1"/>
  <c r="CL113" s="1"/>
  <c r="E348" i="21"/>
  <c r="C348"/>
  <c r="D348"/>
  <c r="F348"/>
  <c r="G348"/>
  <c r="B350"/>
  <c r="K349" s="1"/>
  <c r="K348"/>
  <c r="DT28" i="10"/>
  <c r="DU28" s="1"/>
  <c r="DV28" s="1"/>
  <c r="DS28"/>
  <c r="EM96"/>
  <c r="EN96"/>
  <c r="EO96" s="1"/>
  <c r="EP96" s="1"/>
  <c r="FO54"/>
  <c r="FP54"/>
  <c r="FQ54" s="1"/>
  <c r="FR54" s="1"/>
  <c r="GV95"/>
  <c r="GW95" s="1"/>
  <c r="GX95" s="1"/>
  <c r="GU95"/>
  <c r="IQ86"/>
  <c r="IR85"/>
  <c r="IR59"/>
  <c r="Q33"/>
  <c r="BW33" s="1"/>
  <c r="BX33" s="1"/>
  <c r="BY33" s="1"/>
  <c r="BZ33" s="1"/>
  <c r="G212" i="21"/>
  <c r="E212"/>
  <c r="D212"/>
  <c r="F213"/>
  <c r="E213"/>
  <c r="D213"/>
  <c r="F211"/>
  <c r="G211"/>
  <c r="D211"/>
  <c r="G210"/>
  <c r="F210"/>
  <c r="E210"/>
  <c r="BT2" i="10"/>
  <c r="Q41"/>
  <c r="BW41" s="1"/>
  <c r="BX41" s="1"/>
  <c r="BY41" s="1"/>
  <c r="BZ41" s="1"/>
  <c r="AD103"/>
  <c r="CN113" l="1"/>
  <c r="CO113" s="1"/>
  <c r="CP113" s="1"/>
  <c r="CM113"/>
  <c r="G349" i="21"/>
  <c r="F349"/>
  <c r="E349"/>
  <c r="D349"/>
  <c r="C349"/>
  <c r="B351"/>
  <c r="D350" s="1"/>
  <c r="L349"/>
  <c r="GY95" i="10"/>
  <c r="GZ95"/>
  <c r="HA95" s="1"/>
  <c r="HB95" s="1"/>
  <c r="ER96"/>
  <c r="ES96" s="1"/>
  <c r="ET96" s="1"/>
  <c r="EQ96"/>
  <c r="CB41"/>
  <c r="CC41" s="1"/>
  <c r="CD41" s="1"/>
  <c r="CA41"/>
  <c r="FT54"/>
  <c r="FU54" s="1"/>
  <c r="FV54" s="1"/>
  <c r="FS54"/>
  <c r="CB33"/>
  <c r="CC33" s="1"/>
  <c r="CD33" s="1"/>
  <c r="CA33"/>
  <c r="DW28"/>
  <c r="DX28"/>
  <c r="DY28" s="1"/>
  <c r="DZ28" s="1"/>
  <c r="S103"/>
  <c r="L195" s="1"/>
  <c r="IQ87"/>
  <c r="IR86"/>
  <c r="IR60"/>
  <c r="V103"/>
  <c r="CQ113" l="1"/>
  <c r="CR113"/>
  <c r="CS113" s="1"/>
  <c r="CT113" s="1"/>
  <c r="E350" i="21"/>
  <c r="G350"/>
  <c r="F350"/>
  <c r="L350"/>
  <c r="B352"/>
  <c r="C351" s="1"/>
  <c r="K350"/>
  <c r="C350"/>
  <c r="CF41" i="10"/>
  <c r="CG41" s="1"/>
  <c r="CH41" s="1"/>
  <c r="CE41"/>
  <c r="CF33"/>
  <c r="CG33" s="1"/>
  <c r="CH33" s="1"/>
  <c r="CE33"/>
  <c r="FX54"/>
  <c r="FY54" s="1"/>
  <c r="FZ54" s="1"/>
  <c r="FW54"/>
  <c r="HC95"/>
  <c r="HD95"/>
  <c r="HE95" s="1"/>
  <c r="HF95" s="1"/>
  <c r="EU96"/>
  <c r="EV96"/>
  <c r="EW96" s="1"/>
  <c r="EX96" s="1"/>
  <c r="EA28"/>
  <c r="EB28"/>
  <c r="EC28" s="1"/>
  <c r="ED28" s="1"/>
  <c r="H195"/>
  <c r="L103"/>
  <c r="M103" s="1"/>
  <c r="R103"/>
  <c r="W103"/>
  <c r="AE103"/>
  <c r="T103"/>
  <c r="Y103" s="1"/>
  <c r="IQ88"/>
  <c r="IR87"/>
  <c r="IR61"/>
  <c r="AD98"/>
  <c r="AD112"/>
  <c r="AD85"/>
  <c r="AD29"/>
  <c r="AD7"/>
  <c r="Q53"/>
  <c r="BW53" s="1"/>
  <c r="BX53" s="1"/>
  <c r="BY53" s="1"/>
  <c r="BZ53" s="1"/>
  <c r="Y195"/>
  <c r="X197"/>
  <c r="R179"/>
  <c r="R178"/>
  <c r="R177"/>
  <c r="R176"/>
  <c r="R175"/>
  <c r="CW25" i="21"/>
  <c r="CZ25" s="1"/>
  <c r="CP25"/>
  <c r="CR25" s="1"/>
  <c r="CV113" i="10" l="1"/>
  <c r="CW113" s="1"/>
  <c r="CX113" s="1"/>
  <c r="CU113"/>
  <c r="K351" i="21"/>
  <c r="E351"/>
  <c r="D351"/>
  <c r="B353"/>
  <c r="G352" s="1"/>
  <c r="L351"/>
  <c r="F351"/>
  <c r="G351"/>
  <c r="EZ96" i="10"/>
  <c r="FA96" s="1"/>
  <c r="FB96" s="1"/>
  <c r="EY96"/>
  <c r="GB54"/>
  <c r="GC54" s="1"/>
  <c r="GD54" s="1"/>
  <c r="GA54"/>
  <c r="CI41"/>
  <c r="CJ41"/>
  <c r="CK41" s="1"/>
  <c r="CL41" s="1"/>
  <c r="HH95"/>
  <c r="HI95" s="1"/>
  <c r="HJ95" s="1"/>
  <c r="HG95"/>
  <c r="CB53"/>
  <c r="CC53" s="1"/>
  <c r="CD53" s="1"/>
  <c r="CA53"/>
  <c r="EE28"/>
  <c r="EF28"/>
  <c r="EG28" s="1"/>
  <c r="EH28" s="1"/>
  <c r="CI33"/>
  <c r="CJ33"/>
  <c r="CK33" s="1"/>
  <c r="CL33" s="1"/>
  <c r="Z103"/>
  <c r="AA103" s="1"/>
  <c r="AB103" s="1"/>
  <c r="J195"/>
  <c r="L98"/>
  <c r="M98" s="1"/>
  <c r="AE98"/>
  <c r="IQ89"/>
  <c r="IR88"/>
  <c r="IR62"/>
  <c r="S98"/>
  <c r="V85"/>
  <c r="V98"/>
  <c r="S85"/>
  <c r="S112"/>
  <c r="V112"/>
  <c r="V29"/>
  <c r="S29"/>
  <c r="V7"/>
  <c r="S7"/>
  <c r="R180"/>
  <c r="CV25" i="21"/>
  <c r="CX25"/>
  <c r="CY25" s="1"/>
  <c r="CZ113" i="10" l="1"/>
  <c r="DA113" s="1"/>
  <c r="DB113" s="1"/>
  <c r="CY113"/>
  <c r="C352" i="21"/>
  <c r="L352"/>
  <c r="E352"/>
  <c r="K352"/>
  <c r="B354"/>
  <c r="E353" s="1"/>
  <c r="D352"/>
  <c r="F352"/>
  <c r="CM33" i="10"/>
  <c r="CN33"/>
  <c r="CO33" s="1"/>
  <c r="CP33" s="1"/>
  <c r="CN41"/>
  <c r="CO41" s="1"/>
  <c r="CP41" s="1"/>
  <c r="CM41"/>
  <c r="CF53"/>
  <c r="CG53" s="1"/>
  <c r="CH53" s="1"/>
  <c r="CE53"/>
  <c r="FD96"/>
  <c r="FE96" s="1"/>
  <c r="FF96" s="1"/>
  <c r="FC96"/>
  <c r="EJ28"/>
  <c r="EK28" s="1"/>
  <c r="EL28" s="1"/>
  <c r="EI28"/>
  <c r="HK95"/>
  <c r="HL95"/>
  <c r="HM95" s="1"/>
  <c r="HN95" s="1"/>
  <c r="GF54"/>
  <c r="GG54" s="1"/>
  <c r="GH54" s="1"/>
  <c r="GE54"/>
  <c r="W29"/>
  <c r="W7"/>
  <c r="L85"/>
  <c r="M85" s="1"/>
  <c r="L112"/>
  <c r="M112" s="1"/>
  <c r="L29"/>
  <c r="L7"/>
  <c r="M7" s="1"/>
  <c r="R85"/>
  <c r="W85"/>
  <c r="R112"/>
  <c r="W112"/>
  <c r="R98"/>
  <c r="W98"/>
  <c r="AE112"/>
  <c r="AE7"/>
  <c r="AE85"/>
  <c r="AE29"/>
  <c r="IQ90"/>
  <c r="IR89"/>
  <c r="IR63"/>
  <c r="T98"/>
  <c r="Y98" s="1"/>
  <c r="T85"/>
  <c r="Y85" s="1"/>
  <c r="T112"/>
  <c r="Y112" s="1"/>
  <c r="T29"/>
  <c r="Y29" s="1"/>
  <c r="R29"/>
  <c r="T7"/>
  <c r="Y7" s="1"/>
  <c r="Z7" s="1"/>
  <c r="AA7" s="1"/>
  <c r="AB7" s="1"/>
  <c r="R7"/>
  <c r="BX29" i="21"/>
  <c r="DD113" i="10" l="1"/>
  <c r="DE113" s="1"/>
  <c r="DF113" s="1"/>
  <c r="DC113"/>
  <c r="D353" i="21"/>
  <c r="K353"/>
  <c r="B355"/>
  <c r="K354" s="1"/>
  <c r="C353"/>
  <c r="F353"/>
  <c r="G353"/>
  <c r="L353"/>
  <c r="GI54" i="10"/>
  <c r="GJ54"/>
  <c r="GK54" s="1"/>
  <c r="GL54" s="1"/>
  <c r="EM28"/>
  <c r="EN28"/>
  <c r="EO28" s="1"/>
  <c r="EP28" s="1"/>
  <c r="CI53"/>
  <c r="CJ53"/>
  <c r="CK53" s="1"/>
  <c r="CL53" s="1"/>
  <c r="CQ33"/>
  <c r="CR33"/>
  <c r="CS33" s="1"/>
  <c r="CT33" s="1"/>
  <c r="HP95"/>
  <c r="HQ95" s="1"/>
  <c r="HR95" s="1"/>
  <c r="HO95"/>
  <c r="FH96"/>
  <c r="FI96" s="1"/>
  <c r="FJ96" s="1"/>
  <c r="FG96"/>
  <c r="CR41"/>
  <c r="CS41" s="1"/>
  <c r="CT41" s="1"/>
  <c r="CQ41"/>
  <c r="Z29"/>
  <c r="AA29" s="1"/>
  <c r="AB29" s="1"/>
  <c r="Z85"/>
  <c r="AA85" s="1"/>
  <c r="AB85" s="1"/>
  <c r="Z112"/>
  <c r="AA112" s="1"/>
  <c r="AB112" s="1"/>
  <c r="Z98"/>
  <c r="AA98" s="1"/>
  <c r="AB98" s="1"/>
  <c r="M29"/>
  <c r="CF29" i="21"/>
  <c r="CG29" s="1"/>
  <c r="BZ29"/>
  <c r="IQ91" i="10"/>
  <c r="IR90"/>
  <c r="IR64"/>
  <c r="BB129"/>
  <c r="EB6" i="21"/>
  <c r="DH113" i="10" l="1"/>
  <c r="DI113" s="1"/>
  <c r="DJ113" s="1"/>
  <c r="DG113"/>
  <c r="C354" i="21"/>
  <c r="L354"/>
  <c r="B356"/>
  <c r="G355" s="1"/>
  <c r="D354"/>
  <c r="E354"/>
  <c r="F354"/>
  <c r="G354"/>
  <c r="CU33" i="10"/>
  <c r="CV33"/>
  <c r="CW33" s="1"/>
  <c r="CX33" s="1"/>
  <c r="EQ28"/>
  <c r="ER28"/>
  <c r="ES28" s="1"/>
  <c r="ET28" s="1"/>
  <c r="FK96"/>
  <c r="FL96"/>
  <c r="FM96" s="1"/>
  <c r="FN96" s="1"/>
  <c r="CM53"/>
  <c r="CN53"/>
  <c r="CO53" s="1"/>
  <c r="CP53" s="1"/>
  <c r="GM54"/>
  <c r="GN54"/>
  <c r="GO54" s="1"/>
  <c r="GP54" s="1"/>
  <c r="CU41"/>
  <c r="CV41"/>
  <c r="CW41" s="1"/>
  <c r="CX41" s="1"/>
  <c r="HS95"/>
  <c r="HT95"/>
  <c r="HU95" s="1"/>
  <c r="HV95" s="1"/>
  <c r="BF124"/>
  <c r="AW38"/>
  <c r="AW53"/>
  <c r="AW65" s="1"/>
  <c r="BB120"/>
  <c r="S138"/>
  <c r="W138" s="1"/>
  <c r="IR91"/>
  <c r="IR65"/>
  <c r="BC127"/>
  <c r="BB131"/>
  <c r="BB130" s="1"/>
  <c r="G9" i="21"/>
  <c r="AE171" i="10" s="1"/>
  <c r="BB124"/>
  <c r="DH31" i="21"/>
  <c r="DJ31" s="1"/>
  <c r="DH32"/>
  <c r="DJ32" s="1"/>
  <c r="DL113" i="10" l="1"/>
  <c r="DM113" s="1"/>
  <c r="DN113" s="1"/>
  <c r="DK113"/>
  <c r="D355" i="21"/>
  <c r="B357"/>
  <c r="K356" s="1"/>
  <c r="K355"/>
  <c r="C355"/>
  <c r="E355"/>
  <c r="L355"/>
  <c r="F355"/>
  <c r="HW95" i="10"/>
  <c r="HX95"/>
  <c r="HY95" s="1"/>
  <c r="HZ95" s="1"/>
  <c r="CY41"/>
  <c r="CZ41"/>
  <c r="DA41" s="1"/>
  <c r="DB41" s="1"/>
  <c r="CR53"/>
  <c r="CS53" s="1"/>
  <c r="CT53" s="1"/>
  <c r="CQ53"/>
  <c r="EU28"/>
  <c r="EV28"/>
  <c r="EW28" s="1"/>
  <c r="EX28" s="1"/>
  <c r="GR54"/>
  <c r="GS54" s="1"/>
  <c r="GT54" s="1"/>
  <c r="GQ54"/>
  <c r="FP96"/>
  <c r="FQ96" s="1"/>
  <c r="FR96" s="1"/>
  <c r="FO96"/>
  <c r="CY33"/>
  <c r="CZ33"/>
  <c r="DA33" s="1"/>
  <c r="DB33" s="1"/>
  <c r="BD129"/>
  <c r="BF125" s="1"/>
  <c r="BD130"/>
  <c r="BF126" s="1"/>
  <c r="IR66"/>
  <c r="AD44"/>
  <c r="D19" i="54"/>
  <c r="E19" s="1"/>
  <c r="AD28" i="10"/>
  <c r="AE167"/>
  <c r="E3" i="54"/>
  <c r="E5"/>
  <c r="E8"/>
  <c r="D8"/>
  <c r="C8"/>
  <c r="AE166" i="10" s="1"/>
  <c r="E7" i="54"/>
  <c r="D7"/>
  <c r="C7"/>
  <c r="AE165" i="10" s="1"/>
  <c r="E6" i="54"/>
  <c r="D6"/>
  <c r="C6"/>
  <c r="AE164" i="10" s="1"/>
  <c r="D5" i="54"/>
  <c r="C5"/>
  <c r="AE163" i="10" s="1"/>
  <c r="E4" i="54"/>
  <c r="D4"/>
  <c r="C4"/>
  <c r="AE162" i="10" s="1"/>
  <c r="D3" i="54"/>
  <c r="C3"/>
  <c r="AE161" i="10" s="1"/>
  <c r="D2" i="54"/>
  <c r="C2"/>
  <c r="DP113" i="10" l="1"/>
  <c r="DQ113" s="1"/>
  <c r="DR113" s="1"/>
  <c r="DO113"/>
  <c r="B358" i="21"/>
  <c r="K357" s="1"/>
  <c r="G356"/>
  <c r="D356"/>
  <c r="L356"/>
  <c r="F356"/>
  <c r="E356"/>
  <c r="C356"/>
  <c r="GU54" i="10"/>
  <c r="GV54"/>
  <c r="GW54" s="1"/>
  <c r="GX54" s="1"/>
  <c r="EZ28"/>
  <c r="FA28" s="1"/>
  <c r="FB28" s="1"/>
  <c r="EY28"/>
  <c r="DD41"/>
  <c r="DE41" s="1"/>
  <c r="DF41" s="1"/>
  <c r="DC41"/>
  <c r="FT96"/>
  <c r="FU96" s="1"/>
  <c r="FV96" s="1"/>
  <c r="FS96"/>
  <c r="IB95"/>
  <c r="IA95"/>
  <c r="DC33"/>
  <c r="DD33"/>
  <c r="DE33" s="1"/>
  <c r="DF33" s="1"/>
  <c r="CU53"/>
  <c r="CV53"/>
  <c r="CW53" s="1"/>
  <c r="CX53" s="1"/>
  <c r="L44"/>
  <c r="M44" s="1"/>
  <c r="AE44"/>
  <c r="C25" i="54"/>
  <c r="J26"/>
  <c r="J24"/>
  <c r="AE160" i="10"/>
  <c r="C12" i="54"/>
  <c r="IR67" i="10"/>
  <c r="J3" i="54"/>
  <c r="S44" i="10"/>
  <c r="B25" i="54"/>
  <c r="C14"/>
  <c r="K32"/>
  <c r="B130" s="1"/>
  <c r="B161" s="1"/>
  <c r="B192" s="1"/>
  <c r="B223" s="1"/>
  <c r="B254" s="1"/>
  <c r="B285" s="1"/>
  <c r="B316" s="1"/>
  <c r="B347" s="1"/>
  <c r="B378" s="1"/>
  <c r="B409" s="1"/>
  <c r="B440" s="1"/>
  <c r="B471" s="1"/>
  <c r="E2"/>
  <c r="E23" s="1"/>
  <c r="J15"/>
  <c r="V44" i="10"/>
  <c r="S28"/>
  <c r="V28"/>
  <c r="J5" i="54"/>
  <c r="C13"/>
  <c r="D12"/>
  <c r="C41" s="1"/>
  <c r="B44" s="1"/>
  <c r="J2"/>
  <c r="K2"/>
  <c r="K3"/>
  <c r="B101" s="1"/>
  <c r="B132" s="1"/>
  <c r="B163" s="1"/>
  <c r="B194" s="1"/>
  <c r="B225" s="1"/>
  <c r="B256" s="1"/>
  <c r="B287" s="1"/>
  <c r="B318" s="1"/>
  <c r="B349" s="1"/>
  <c r="B380" s="1"/>
  <c r="B411" s="1"/>
  <c r="B442" s="1"/>
  <c r="K4"/>
  <c r="B102" s="1"/>
  <c r="B133" s="1"/>
  <c r="B164" s="1"/>
  <c r="B195" s="1"/>
  <c r="B226" s="1"/>
  <c r="B257" s="1"/>
  <c r="B288" s="1"/>
  <c r="B319" s="1"/>
  <c r="B350" s="1"/>
  <c r="B381" s="1"/>
  <c r="B412" s="1"/>
  <c r="B443" s="1"/>
  <c r="K5"/>
  <c r="B103" s="1"/>
  <c r="B134" s="1"/>
  <c r="B165" s="1"/>
  <c r="B196" s="1"/>
  <c r="B227" s="1"/>
  <c r="B258" s="1"/>
  <c r="B289" s="1"/>
  <c r="B320" s="1"/>
  <c r="B351" s="1"/>
  <c r="B382" s="1"/>
  <c r="B413" s="1"/>
  <c r="B444" s="1"/>
  <c r="K6"/>
  <c r="B104" s="1"/>
  <c r="B135" s="1"/>
  <c r="B166" s="1"/>
  <c r="B197" s="1"/>
  <c r="B228" s="1"/>
  <c r="B259" s="1"/>
  <c r="B290" s="1"/>
  <c r="B321" s="1"/>
  <c r="B352" s="1"/>
  <c r="B383" s="1"/>
  <c r="B414" s="1"/>
  <c r="B445" s="1"/>
  <c r="K7"/>
  <c r="B105" s="1"/>
  <c r="B136" s="1"/>
  <c r="B167" s="1"/>
  <c r="B198" s="1"/>
  <c r="B229" s="1"/>
  <c r="B260" s="1"/>
  <c r="B291" s="1"/>
  <c r="B322" s="1"/>
  <c r="B353" s="1"/>
  <c r="B384" s="1"/>
  <c r="B415" s="1"/>
  <c r="B446" s="1"/>
  <c r="K8"/>
  <c r="B106" s="1"/>
  <c r="B137" s="1"/>
  <c r="B168" s="1"/>
  <c r="B199" s="1"/>
  <c r="B230" s="1"/>
  <c r="B261" s="1"/>
  <c r="B292" s="1"/>
  <c r="B323" s="1"/>
  <c r="B354" s="1"/>
  <c r="B385" s="1"/>
  <c r="B416" s="1"/>
  <c r="B447" s="1"/>
  <c r="J9"/>
  <c r="J10"/>
  <c r="K11"/>
  <c r="B109" s="1"/>
  <c r="B140" s="1"/>
  <c r="B171" s="1"/>
  <c r="B202" s="1"/>
  <c r="B233" s="1"/>
  <c r="B264" s="1"/>
  <c r="B295" s="1"/>
  <c r="B326" s="1"/>
  <c r="B357" s="1"/>
  <c r="B388" s="1"/>
  <c r="B419" s="1"/>
  <c r="B450" s="1"/>
  <c r="K12"/>
  <c r="B110" s="1"/>
  <c r="B141" s="1"/>
  <c r="B172" s="1"/>
  <c r="B203" s="1"/>
  <c r="B234" s="1"/>
  <c r="B265" s="1"/>
  <c r="B296" s="1"/>
  <c r="B327" s="1"/>
  <c r="B358" s="1"/>
  <c r="B389" s="1"/>
  <c r="B420" s="1"/>
  <c r="B451" s="1"/>
  <c r="K13"/>
  <c r="B111" s="1"/>
  <c r="B142" s="1"/>
  <c r="B173" s="1"/>
  <c r="B204" s="1"/>
  <c r="B235" s="1"/>
  <c r="B266" s="1"/>
  <c r="B297" s="1"/>
  <c r="B328" s="1"/>
  <c r="B359" s="1"/>
  <c r="B390" s="1"/>
  <c r="B421" s="1"/>
  <c r="B452" s="1"/>
  <c r="J14"/>
  <c r="J16"/>
  <c r="K17"/>
  <c r="B115" s="1"/>
  <c r="B146" s="1"/>
  <c r="B177" s="1"/>
  <c r="B208" s="1"/>
  <c r="B239" s="1"/>
  <c r="B270" s="1"/>
  <c r="B301" s="1"/>
  <c r="B332" s="1"/>
  <c r="B363" s="1"/>
  <c r="B394" s="1"/>
  <c r="B425" s="1"/>
  <c r="B456" s="1"/>
  <c r="J18"/>
  <c r="K19"/>
  <c r="B117" s="1"/>
  <c r="B148" s="1"/>
  <c r="B179" s="1"/>
  <c r="B210" s="1"/>
  <c r="B241" s="1"/>
  <c r="B272" s="1"/>
  <c r="B303" s="1"/>
  <c r="B334" s="1"/>
  <c r="B365" s="1"/>
  <c r="B396" s="1"/>
  <c r="B427" s="1"/>
  <c r="B458" s="1"/>
  <c r="J20"/>
  <c r="K21"/>
  <c r="B119" s="1"/>
  <c r="B150" s="1"/>
  <c r="B181" s="1"/>
  <c r="B212" s="1"/>
  <c r="B243" s="1"/>
  <c r="B274" s="1"/>
  <c r="B305" s="1"/>
  <c r="B336" s="1"/>
  <c r="B367" s="1"/>
  <c r="B398" s="1"/>
  <c r="B429" s="1"/>
  <c r="B460" s="1"/>
  <c r="K23"/>
  <c r="B121" s="1"/>
  <c r="B152" s="1"/>
  <c r="B183" s="1"/>
  <c r="B214" s="1"/>
  <c r="B245" s="1"/>
  <c r="B276" s="1"/>
  <c r="B307" s="1"/>
  <c r="B338" s="1"/>
  <c r="B369" s="1"/>
  <c r="B400" s="1"/>
  <c r="B431" s="1"/>
  <c r="B462" s="1"/>
  <c r="K25"/>
  <c r="B123" s="1"/>
  <c r="B154" s="1"/>
  <c r="B185" s="1"/>
  <c r="B216" s="1"/>
  <c r="B247" s="1"/>
  <c r="B278" s="1"/>
  <c r="B309" s="1"/>
  <c r="B340" s="1"/>
  <c r="B371" s="1"/>
  <c r="B402" s="1"/>
  <c r="B433" s="1"/>
  <c r="B464" s="1"/>
  <c r="K27"/>
  <c r="B125" s="1"/>
  <c r="B156" s="1"/>
  <c r="B187" s="1"/>
  <c r="B218" s="1"/>
  <c r="B249" s="1"/>
  <c r="B280" s="1"/>
  <c r="B311" s="1"/>
  <c r="B342" s="1"/>
  <c r="B373" s="1"/>
  <c r="B404" s="1"/>
  <c r="B435" s="1"/>
  <c r="B466" s="1"/>
  <c r="J28"/>
  <c r="K29"/>
  <c r="B127" s="1"/>
  <c r="B158" s="1"/>
  <c r="B189" s="1"/>
  <c r="B220" s="1"/>
  <c r="B251" s="1"/>
  <c r="B282" s="1"/>
  <c r="B313" s="1"/>
  <c r="B344" s="1"/>
  <c r="B375" s="1"/>
  <c r="B406" s="1"/>
  <c r="B437" s="1"/>
  <c r="B468" s="1"/>
  <c r="J30"/>
  <c r="K31"/>
  <c r="B129" s="1"/>
  <c r="B160" s="1"/>
  <c r="B191" s="1"/>
  <c r="B222" s="1"/>
  <c r="B253" s="1"/>
  <c r="B284" s="1"/>
  <c r="B315" s="1"/>
  <c r="B346" s="1"/>
  <c r="B377" s="1"/>
  <c r="B408" s="1"/>
  <c r="B439" s="1"/>
  <c r="B470" s="1"/>
  <c r="J4"/>
  <c r="J6"/>
  <c r="J7"/>
  <c r="J8"/>
  <c r="K9"/>
  <c r="B107" s="1"/>
  <c r="B138" s="1"/>
  <c r="B169" s="1"/>
  <c r="B200" s="1"/>
  <c r="B231" s="1"/>
  <c r="B262" s="1"/>
  <c r="B293" s="1"/>
  <c r="B324" s="1"/>
  <c r="B355" s="1"/>
  <c r="B386" s="1"/>
  <c r="B417" s="1"/>
  <c r="B448" s="1"/>
  <c r="K10"/>
  <c r="B108" s="1"/>
  <c r="B139" s="1"/>
  <c r="B170" s="1"/>
  <c r="B201" s="1"/>
  <c r="B232" s="1"/>
  <c r="B263" s="1"/>
  <c r="B294" s="1"/>
  <c r="B325" s="1"/>
  <c r="B356" s="1"/>
  <c r="B387" s="1"/>
  <c r="B418" s="1"/>
  <c r="B449" s="1"/>
  <c r="J11"/>
  <c r="J12"/>
  <c r="J13"/>
  <c r="K14"/>
  <c r="B112" s="1"/>
  <c r="B143" s="1"/>
  <c r="B174" s="1"/>
  <c r="B205" s="1"/>
  <c r="B236" s="1"/>
  <c r="B267" s="1"/>
  <c r="B298" s="1"/>
  <c r="B329" s="1"/>
  <c r="B360" s="1"/>
  <c r="B391" s="1"/>
  <c r="B422" s="1"/>
  <c r="B453" s="1"/>
  <c r="K15"/>
  <c r="B113" s="1"/>
  <c r="B144" s="1"/>
  <c r="B175" s="1"/>
  <c r="B206" s="1"/>
  <c r="B237" s="1"/>
  <c r="B268" s="1"/>
  <c r="B299" s="1"/>
  <c r="B330" s="1"/>
  <c r="B361" s="1"/>
  <c r="B392" s="1"/>
  <c r="B423" s="1"/>
  <c r="B454" s="1"/>
  <c r="K16"/>
  <c r="B114" s="1"/>
  <c r="B145" s="1"/>
  <c r="B176" s="1"/>
  <c r="B207" s="1"/>
  <c r="B238" s="1"/>
  <c r="B269" s="1"/>
  <c r="B300" s="1"/>
  <c r="B331" s="1"/>
  <c r="B362" s="1"/>
  <c r="B393" s="1"/>
  <c r="B424" s="1"/>
  <c r="B455" s="1"/>
  <c r="J17"/>
  <c r="B116"/>
  <c r="B147" s="1"/>
  <c r="B178" s="1"/>
  <c r="B209" s="1"/>
  <c r="B240" s="1"/>
  <c r="B271" s="1"/>
  <c r="B302" s="1"/>
  <c r="B333" s="1"/>
  <c r="B364" s="1"/>
  <c r="B395" s="1"/>
  <c r="B426" s="1"/>
  <c r="B457" s="1"/>
  <c r="J19"/>
  <c r="K20"/>
  <c r="B118" s="1"/>
  <c r="B149" s="1"/>
  <c r="B180" s="1"/>
  <c r="B211" s="1"/>
  <c r="B242" s="1"/>
  <c r="B273" s="1"/>
  <c r="B304" s="1"/>
  <c r="B335" s="1"/>
  <c r="B366" s="1"/>
  <c r="B397" s="1"/>
  <c r="B428" s="1"/>
  <c r="B459" s="1"/>
  <c r="J21"/>
  <c r="K22"/>
  <c r="B120" s="1"/>
  <c r="B151" s="1"/>
  <c r="B182" s="1"/>
  <c r="B213" s="1"/>
  <c r="B244" s="1"/>
  <c r="B275" s="1"/>
  <c r="B306" s="1"/>
  <c r="B337" s="1"/>
  <c r="B368" s="1"/>
  <c r="B399" s="1"/>
  <c r="B430" s="1"/>
  <c r="B461" s="1"/>
  <c r="J23"/>
  <c r="K24"/>
  <c r="B122" s="1"/>
  <c r="B153" s="1"/>
  <c r="B184" s="1"/>
  <c r="B215" s="1"/>
  <c r="B246" s="1"/>
  <c r="B277" s="1"/>
  <c r="B308" s="1"/>
  <c r="B339" s="1"/>
  <c r="B370" s="1"/>
  <c r="B401" s="1"/>
  <c r="B432" s="1"/>
  <c r="B463" s="1"/>
  <c r="J25"/>
  <c r="K26"/>
  <c r="B124" s="1"/>
  <c r="B155" s="1"/>
  <c r="B186" s="1"/>
  <c r="B217" s="1"/>
  <c r="B248" s="1"/>
  <c r="B279" s="1"/>
  <c r="B310" s="1"/>
  <c r="B341" s="1"/>
  <c r="B372" s="1"/>
  <c r="B403" s="1"/>
  <c r="B434" s="1"/>
  <c r="B465" s="1"/>
  <c r="J27"/>
  <c r="K28"/>
  <c r="B126" s="1"/>
  <c r="B157" s="1"/>
  <c r="B188" s="1"/>
  <c r="B219" s="1"/>
  <c r="B250" s="1"/>
  <c r="B281" s="1"/>
  <c r="B312" s="1"/>
  <c r="B343" s="1"/>
  <c r="B374" s="1"/>
  <c r="B405" s="1"/>
  <c r="B436" s="1"/>
  <c r="B467" s="1"/>
  <c r="K30"/>
  <c r="B128" s="1"/>
  <c r="B159" s="1"/>
  <c r="B190" s="1"/>
  <c r="B221" s="1"/>
  <c r="B252" s="1"/>
  <c r="B283" s="1"/>
  <c r="B314" s="1"/>
  <c r="B345" s="1"/>
  <c r="B376" s="1"/>
  <c r="B407" s="1"/>
  <c r="B438" s="1"/>
  <c r="B469" s="1"/>
  <c r="K33" l="1"/>
  <c r="D61"/>
  <c r="D60"/>
  <c r="D58"/>
  <c r="D62"/>
  <c r="D56"/>
  <c r="D59"/>
  <c r="D57"/>
  <c r="DS113" i="10"/>
  <c r="DT113"/>
  <c r="DU113" s="1"/>
  <c r="DV113" s="1"/>
  <c r="L357" i="21"/>
  <c r="E357"/>
  <c r="F357"/>
  <c r="B359"/>
  <c r="L358" s="1"/>
  <c r="G357"/>
  <c r="D357"/>
  <c r="C357"/>
  <c r="CY53" i="10"/>
  <c r="CZ53"/>
  <c r="DA53" s="1"/>
  <c r="DB53" s="1"/>
  <c r="GY54"/>
  <c r="GZ54"/>
  <c r="HA54" s="1"/>
  <c r="HB54" s="1"/>
  <c r="DH41"/>
  <c r="DI41" s="1"/>
  <c r="DJ41" s="1"/>
  <c r="DG41"/>
  <c r="DG33"/>
  <c r="DH33"/>
  <c r="DI33" s="1"/>
  <c r="DJ33" s="1"/>
  <c r="FX96"/>
  <c r="FY96" s="1"/>
  <c r="FZ96" s="1"/>
  <c r="FW96"/>
  <c r="FC28"/>
  <c r="FD28"/>
  <c r="FE28" s="1"/>
  <c r="FF28" s="1"/>
  <c r="E48" i="54"/>
  <c r="E51"/>
  <c r="AT115" i="10"/>
  <c r="L2" i="54"/>
  <c r="B100"/>
  <c r="B23"/>
  <c r="AV79" i="10"/>
  <c r="L28"/>
  <c r="M28" s="1"/>
  <c r="T28"/>
  <c r="Y28" s="1"/>
  <c r="W28"/>
  <c r="T44"/>
  <c r="Y44" s="1"/>
  <c r="W44"/>
  <c r="B38" i="54"/>
  <c r="C38" s="1"/>
  <c r="AE28" i="10"/>
  <c r="C23" i="54"/>
  <c r="D41"/>
  <c r="E41" s="1"/>
  <c r="C15"/>
  <c r="IR68" i="10"/>
  <c r="IP21" s="1"/>
  <c r="B34" i="54"/>
  <c r="C35" s="1"/>
  <c r="R44" i="10"/>
  <c r="R28"/>
  <c r="D64" i="54" l="1"/>
  <c r="DW113" i="10"/>
  <c r="DX113"/>
  <c r="DY113" s="1"/>
  <c r="DZ113" s="1"/>
  <c r="G358" i="21"/>
  <c r="F358"/>
  <c r="E358"/>
  <c r="D358"/>
  <c r="K358"/>
  <c r="B360"/>
  <c r="G359" s="1"/>
  <c r="C358"/>
  <c r="DD53" i="10"/>
  <c r="DE53" s="1"/>
  <c r="DF53" s="1"/>
  <c r="DC53"/>
  <c r="GB96"/>
  <c r="GC96" s="1"/>
  <c r="GD96" s="1"/>
  <c r="GA96"/>
  <c r="DK41"/>
  <c r="DL41"/>
  <c r="DM41" s="1"/>
  <c r="DN41" s="1"/>
  <c r="DK33"/>
  <c r="DL33"/>
  <c r="DM33" s="1"/>
  <c r="DN33" s="1"/>
  <c r="HC54"/>
  <c r="HD54"/>
  <c r="HE54" s="1"/>
  <c r="HF54" s="1"/>
  <c r="FH28"/>
  <c r="FI28" s="1"/>
  <c r="FJ28" s="1"/>
  <c r="FG28"/>
  <c r="IH54"/>
  <c r="Z44"/>
  <c r="AA44" s="1"/>
  <c r="AB44" s="1"/>
  <c r="Z28"/>
  <c r="AA28" s="1"/>
  <c r="AB28" s="1"/>
  <c r="C100" i="54"/>
  <c r="C101" s="1"/>
  <c r="C102" s="1"/>
  <c r="C103" s="1"/>
  <c r="C104" s="1"/>
  <c r="C105" s="1"/>
  <c r="C106" s="1"/>
  <c r="C107" s="1"/>
  <c r="C108" s="1"/>
  <c r="C109" s="1"/>
  <c r="C110" s="1"/>
  <c r="C111" s="1"/>
  <c r="C112" s="1"/>
  <c r="C113" s="1"/>
  <c r="C114" s="1"/>
  <c r="C115" s="1"/>
  <c r="C116" s="1"/>
  <c r="C117" s="1"/>
  <c r="C118" s="1"/>
  <c r="C119" s="1"/>
  <c r="C120" s="1"/>
  <c r="C121" s="1"/>
  <c r="C122" s="1"/>
  <c r="C123" s="1"/>
  <c r="C124" s="1"/>
  <c r="C125" s="1"/>
  <c r="C126" s="1"/>
  <c r="C127" s="1"/>
  <c r="C128" s="1"/>
  <c r="C129" s="1"/>
  <c r="C130" s="1"/>
  <c r="B131"/>
  <c r="B162" s="1"/>
  <c r="B193" s="1"/>
  <c r="B224" s="1"/>
  <c r="B255" s="1"/>
  <c r="B286" s="1"/>
  <c r="B317" s="1"/>
  <c r="B348" s="1"/>
  <c r="B379" s="1"/>
  <c r="B410" s="1"/>
  <c r="B441" s="1"/>
  <c r="AW98" i="10"/>
  <c r="AY98"/>
  <c r="AX448"/>
  <c r="BB448"/>
  <c r="BC79"/>
  <c r="BA79"/>
  <c r="AZ79"/>
  <c r="BA448"/>
  <c r="AX451"/>
  <c r="BB98"/>
  <c r="AT79"/>
  <c r="BA98"/>
  <c r="B50" i="54"/>
  <c r="B53" s="1"/>
  <c r="E26"/>
  <c r="AV115" i="10" s="1"/>
  <c r="E34" i="54"/>
  <c r="F34" s="1"/>
  <c r="F36" s="1"/>
  <c r="F23"/>
  <c r="G23" s="1"/>
  <c r="S226" i="10"/>
  <c r="AX115" l="1"/>
  <c r="EB113"/>
  <c r="EC113" s="1"/>
  <c r="ED113" s="1"/>
  <c r="EA113"/>
  <c r="E359" i="21"/>
  <c r="L359"/>
  <c r="K359"/>
  <c r="D359"/>
  <c r="B361"/>
  <c r="G360" s="1"/>
  <c r="F359"/>
  <c r="C359"/>
  <c r="HG54" i="10"/>
  <c r="HH54"/>
  <c r="HI54" s="1"/>
  <c r="HJ54" s="1"/>
  <c r="DP41"/>
  <c r="DQ41" s="1"/>
  <c r="DR41" s="1"/>
  <c r="DO41"/>
  <c r="DH53"/>
  <c r="DI53" s="1"/>
  <c r="DJ53" s="1"/>
  <c r="DG53"/>
  <c r="DO33"/>
  <c r="DP33"/>
  <c r="DQ33" s="1"/>
  <c r="DR33" s="1"/>
  <c r="FK28"/>
  <c r="FL28"/>
  <c r="FM28" s="1"/>
  <c r="FN28" s="1"/>
  <c r="GE96"/>
  <c r="GF96"/>
  <c r="GG96" s="1"/>
  <c r="GH96" s="1"/>
  <c r="G34" i="54"/>
  <c r="C131"/>
  <c r="C132" s="1"/>
  <c r="C133" s="1"/>
  <c r="C134" s="1"/>
  <c r="C135" s="1"/>
  <c r="C136" s="1"/>
  <c r="C137" s="1"/>
  <c r="C138" s="1"/>
  <c r="C139" s="1"/>
  <c r="C140" s="1"/>
  <c r="C141" s="1"/>
  <c r="C142" s="1"/>
  <c r="C143" s="1"/>
  <c r="C144" s="1"/>
  <c r="C145" s="1"/>
  <c r="C146" s="1"/>
  <c r="C147" s="1"/>
  <c r="C148" s="1"/>
  <c r="C149" s="1"/>
  <c r="C150" s="1"/>
  <c r="C151" s="1"/>
  <c r="C152" s="1"/>
  <c r="C153" s="1"/>
  <c r="C154" s="1"/>
  <c r="C155" s="1"/>
  <c r="C156" s="1"/>
  <c r="C157" s="1"/>
  <c r="C158" s="1"/>
  <c r="C159" s="1"/>
  <c r="C160" s="1"/>
  <c r="C161" s="1"/>
  <c r="C162" s="1"/>
  <c r="C163" s="1"/>
  <c r="C164" s="1"/>
  <c r="C165" s="1"/>
  <c r="C166" s="1"/>
  <c r="C167" s="1"/>
  <c r="C168" s="1"/>
  <c r="C169" s="1"/>
  <c r="C170" s="1"/>
  <c r="C171" s="1"/>
  <c r="C172" s="1"/>
  <c r="C173" s="1"/>
  <c r="C174" s="1"/>
  <c r="C175" s="1"/>
  <c r="C176" s="1"/>
  <c r="C177" s="1"/>
  <c r="C178" s="1"/>
  <c r="C179" s="1"/>
  <c r="C180" s="1"/>
  <c r="C181" s="1"/>
  <c r="C182" s="1"/>
  <c r="C183" s="1"/>
  <c r="C184" s="1"/>
  <c r="C185" s="1"/>
  <c r="C186" s="1"/>
  <c r="C187" s="1"/>
  <c r="C188" s="1"/>
  <c r="C189" s="1"/>
  <c r="C190" s="1"/>
  <c r="C191" s="1"/>
  <c r="C192" s="1"/>
  <c r="C193" s="1"/>
  <c r="C194" s="1"/>
  <c r="C195" s="1"/>
  <c r="C196" s="1"/>
  <c r="C197" s="1"/>
  <c r="C198" s="1"/>
  <c r="C199" s="1"/>
  <c r="C200" s="1"/>
  <c r="C201" s="1"/>
  <c r="C202" s="1"/>
  <c r="C203" s="1"/>
  <c r="C204" s="1"/>
  <c r="C205" s="1"/>
  <c r="C206" s="1"/>
  <c r="C207" s="1"/>
  <c r="C208" s="1"/>
  <c r="C209" s="1"/>
  <c r="C210" s="1"/>
  <c r="C211" s="1"/>
  <c r="C212" s="1"/>
  <c r="C213" s="1"/>
  <c r="C214" s="1"/>
  <c r="C215" s="1"/>
  <c r="C216" s="1"/>
  <c r="C217" s="1"/>
  <c r="C218" s="1"/>
  <c r="C219" s="1"/>
  <c r="C220" s="1"/>
  <c r="C221" s="1"/>
  <c r="C222" s="1"/>
  <c r="C223" s="1"/>
  <c r="C224" s="1"/>
  <c r="C225" s="1"/>
  <c r="C226" s="1"/>
  <c r="C227" s="1"/>
  <c r="C228" s="1"/>
  <c r="C229" s="1"/>
  <c r="C230" s="1"/>
  <c r="C231" s="1"/>
  <c r="C232" s="1"/>
  <c r="C233" s="1"/>
  <c r="C234" s="1"/>
  <c r="C235" s="1"/>
  <c r="C236" s="1"/>
  <c r="C237" s="1"/>
  <c r="C238" s="1"/>
  <c r="C239" s="1"/>
  <c r="C240" s="1"/>
  <c r="C241" s="1"/>
  <c r="C242" s="1"/>
  <c r="C243" s="1"/>
  <c r="C244" s="1"/>
  <c r="C245" s="1"/>
  <c r="C246" s="1"/>
  <c r="C247" s="1"/>
  <c r="C248" s="1"/>
  <c r="C249" s="1"/>
  <c r="C250" s="1"/>
  <c r="C251" s="1"/>
  <c r="C252" s="1"/>
  <c r="C253" s="1"/>
  <c r="C254" s="1"/>
  <c r="C255" s="1"/>
  <c r="C256" s="1"/>
  <c r="C257" s="1"/>
  <c r="C258" s="1"/>
  <c r="C259" s="1"/>
  <c r="C260" s="1"/>
  <c r="C261" s="1"/>
  <c r="C262" s="1"/>
  <c r="C263" s="1"/>
  <c r="C264" s="1"/>
  <c r="C265" s="1"/>
  <c r="C266" s="1"/>
  <c r="C267" s="1"/>
  <c r="C268" s="1"/>
  <c r="C269" s="1"/>
  <c r="C270" s="1"/>
  <c r="C271" s="1"/>
  <c r="C272" s="1"/>
  <c r="C273" s="1"/>
  <c r="C274" s="1"/>
  <c r="C275" s="1"/>
  <c r="C276" s="1"/>
  <c r="C277" s="1"/>
  <c r="C278" s="1"/>
  <c r="C279" s="1"/>
  <c r="C280" s="1"/>
  <c r="C281" s="1"/>
  <c r="C282" s="1"/>
  <c r="C283" s="1"/>
  <c r="C284" s="1"/>
  <c r="C285" s="1"/>
  <c r="C286" s="1"/>
  <c r="C287" s="1"/>
  <c r="C288" s="1"/>
  <c r="C289" s="1"/>
  <c r="C290" s="1"/>
  <c r="C291" s="1"/>
  <c r="C292" s="1"/>
  <c r="C293" s="1"/>
  <c r="C294" s="1"/>
  <c r="C295" s="1"/>
  <c r="C296" s="1"/>
  <c r="C297" s="1"/>
  <c r="C298" s="1"/>
  <c r="C299" s="1"/>
  <c r="C300" s="1"/>
  <c r="C301" s="1"/>
  <c r="C302" s="1"/>
  <c r="C303" s="1"/>
  <c r="C304" s="1"/>
  <c r="C305" s="1"/>
  <c r="C306" s="1"/>
  <c r="C307" s="1"/>
  <c r="C308" s="1"/>
  <c r="C309" s="1"/>
  <c r="C310" s="1"/>
  <c r="C311" s="1"/>
  <c r="C312" s="1"/>
  <c r="C313" s="1"/>
  <c r="C314" s="1"/>
  <c r="C315" s="1"/>
  <c r="C316" s="1"/>
  <c r="C317" s="1"/>
  <c r="C318" s="1"/>
  <c r="C319" s="1"/>
  <c r="C320" s="1"/>
  <c r="C321" s="1"/>
  <c r="C322" s="1"/>
  <c r="C323" s="1"/>
  <c r="C324" s="1"/>
  <c r="C325" s="1"/>
  <c r="C326" s="1"/>
  <c r="C327" s="1"/>
  <c r="C328" s="1"/>
  <c r="C329" s="1"/>
  <c r="C330" s="1"/>
  <c r="C331" s="1"/>
  <c r="C332" s="1"/>
  <c r="C333" s="1"/>
  <c r="C334" s="1"/>
  <c r="C335" s="1"/>
  <c r="C336" s="1"/>
  <c r="C337" s="1"/>
  <c r="C338" s="1"/>
  <c r="C339" s="1"/>
  <c r="C340" s="1"/>
  <c r="C341" s="1"/>
  <c r="C342" s="1"/>
  <c r="C343" s="1"/>
  <c r="C344" s="1"/>
  <c r="C345" s="1"/>
  <c r="C346" s="1"/>
  <c r="C347" s="1"/>
  <c r="C348" s="1"/>
  <c r="C349" s="1"/>
  <c r="C350" s="1"/>
  <c r="C351" s="1"/>
  <c r="C352" s="1"/>
  <c r="C353" s="1"/>
  <c r="C354" s="1"/>
  <c r="C355" s="1"/>
  <c r="C356" s="1"/>
  <c r="C357" s="1"/>
  <c r="C358" s="1"/>
  <c r="C359" s="1"/>
  <c r="C360" s="1"/>
  <c r="C361" s="1"/>
  <c r="C362" s="1"/>
  <c r="C363" s="1"/>
  <c r="C364" s="1"/>
  <c r="C365" s="1"/>
  <c r="C366" s="1"/>
  <c r="C367" s="1"/>
  <c r="C368" s="1"/>
  <c r="C369" s="1"/>
  <c r="C370" s="1"/>
  <c r="C371" s="1"/>
  <c r="C372" s="1"/>
  <c r="C373" s="1"/>
  <c r="C374" s="1"/>
  <c r="C375" s="1"/>
  <c r="C376" s="1"/>
  <c r="C377" s="1"/>
  <c r="C378" s="1"/>
  <c r="C379" s="1"/>
  <c r="C380" s="1"/>
  <c r="C381" s="1"/>
  <c r="C382" s="1"/>
  <c r="C383" s="1"/>
  <c r="C384" s="1"/>
  <c r="C385" s="1"/>
  <c r="C386" s="1"/>
  <c r="C387" s="1"/>
  <c r="C388" s="1"/>
  <c r="C389" s="1"/>
  <c r="C390" s="1"/>
  <c r="C391" s="1"/>
  <c r="C392" s="1"/>
  <c r="C393" s="1"/>
  <c r="C394" s="1"/>
  <c r="C395" s="1"/>
  <c r="C396" s="1"/>
  <c r="C397" s="1"/>
  <c r="C398" s="1"/>
  <c r="C399" s="1"/>
  <c r="C400" s="1"/>
  <c r="C401" s="1"/>
  <c r="C402" s="1"/>
  <c r="C403" s="1"/>
  <c r="C404" s="1"/>
  <c r="C405" s="1"/>
  <c r="C406" s="1"/>
  <c r="C407" s="1"/>
  <c r="C408" s="1"/>
  <c r="C409" s="1"/>
  <c r="C410" s="1"/>
  <c r="C411" s="1"/>
  <c r="C412" s="1"/>
  <c r="C413" s="1"/>
  <c r="C414" s="1"/>
  <c r="C415" s="1"/>
  <c r="C416" s="1"/>
  <c r="C417" s="1"/>
  <c r="C418" s="1"/>
  <c r="C419" s="1"/>
  <c r="C420" s="1"/>
  <c r="C421" s="1"/>
  <c r="C422" s="1"/>
  <c r="C423" s="1"/>
  <c r="C424" s="1"/>
  <c r="C425" s="1"/>
  <c r="C426" s="1"/>
  <c r="C427" s="1"/>
  <c r="C428" s="1"/>
  <c r="C429" s="1"/>
  <c r="C430" s="1"/>
  <c r="C431" s="1"/>
  <c r="C432" s="1"/>
  <c r="C433" s="1"/>
  <c r="C434" s="1"/>
  <c r="C435" s="1"/>
  <c r="C436" s="1"/>
  <c r="C437" s="1"/>
  <c r="C438" s="1"/>
  <c r="C439" s="1"/>
  <c r="C440" s="1"/>
  <c r="C441" s="1"/>
  <c r="C442" s="1"/>
  <c r="C443" s="1"/>
  <c r="C444" s="1"/>
  <c r="C445" s="1"/>
  <c r="C446" s="1"/>
  <c r="C447" s="1"/>
  <c r="C448" s="1"/>
  <c r="C449" s="1"/>
  <c r="C450" s="1"/>
  <c r="C451" s="1"/>
  <c r="C452" s="1"/>
  <c r="C453" s="1"/>
  <c r="C454" s="1"/>
  <c r="C455" s="1"/>
  <c r="C456" s="1"/>
  <c r="C457" s="1"/>
  <c r="C458" s="1"/>
  <c r="C459" s="1"/>
  <c r="C460" s="1"/>
  <c r="C461" s="1"/>
  <c r="C462" s="1"/>
  <c r="C463" s="1"/>
  <c r="C464" s="1"/>
  <c r="C465" s="1"/>
  <c r="C466" s="1"/>
  <c r="C467" s="1"/>
  <c r="C468" s="1"/>
  <c r="C469" s="1"/>
  <c r="C470" s="1"/>
  <c r="C471" s="1"/>
  <c r="BC98" i="10"/>
  <c r="E29" i="54"/>
  <c r="F26"/>
  <c r="Q40" i="10"/>
  <c r="BW40" s="1"/>
  <c r="BX40" s="1"/>
  <c r="BY40" s="1"/>
  <c r="BZ40" s="1"/>
  <c r="Q25"/>
  <c r="BW25" s="1"/>
  <c r="BX25" s="1"/>
  <c r="BY25" s="1"/>
  <c r="BZ25" s="1"/>
  <c r="EF113" l="1"/>
  <c r="EG113" s="1"/>
  <c r="EH113" s="1"/>
  <c r="EE113"/>
  <c r="K360" i="21"/>
  <c r="E360"/>
  <c r="C360"/>
  <c r="F360"/>
  <c r="L360"/>
  <c r="B362"/>
  <c r="G361" s="1"/>
  <c r="D360"/>
  <c r="FO28" i="10"/>
  <c r="FP28"/>
  <c r="FQ28" s="1"/>
  <c r="FR28" s="1"/>
  <c r="CA25"/>
  <c r="CB25"/>
  <c r="CC25" s="1"/>
  <c r="CD25" s="1"/>
  <c r="DK53"/>
  <c r="DL53"/>
  <c r="DM53" s="1"/>
  <c r="DN53" s="1"/>
  <c r="CA40"/>
  <c r="CB40"/>
  <c r="CC40" s="1"/>
  <c r="CD40" s="1"/>
  <c r="GI96"/>
  <c r="GJ96"/>
  <c r="GK96" s="1"/>
  <c r="GL96" s="1"/>
  <c r="DS33"/>
  <c r="DT33"/>
  <c r="DU33" s="1"/>
  <c r="DV33" s="1"/>
  <c r="DT41"/>
  <c r="DU41" s="1"/>
  <c r="DV41" s="1"/>
  <c r="DS41"/>
  <c r="HK54"/>
  <c r="HL54"/>
  <c r="HM54" s="1"/>
  <c r="HN54" s="1"/>
  <c r="F29" i="54"/>
  <c r="G29" s="1"/>
  <c r="G26"/>
  <c r="DR23" i="21"/>
  <c r="EI113" i="10" l="1"/>
  <c r="EJ113"/>
  <c r="EK113" s="1"/>
  <c r="EL113" s="1"/>
  <c r="C361" i="21"/>
  <c r="D361"/>
  <c r="F361"/>
  <c r="B363"/>
  <c r="F362" s="1"/>
  <c r="K361"/>
  <c r="L361"/>
  <c r="E361"/>
  <c r="CE25" i="10"/>
  <c r="CF25"/>
  <c r="CG25" s="1"/>
  <c r="CH25" s="1"/>
  <c r="DX41"/>
  <c r="DY41" s="1"/>
  <c r="DZ41" s="1"/>
  <c r="DW41"/>
  <c r="FS28"/>
  <c r="FT28"/>
  <c r="FU28" s="1"/>
  <c r="FV28" s="1"/>
  <c r="HO54"/>
  <c r="HP54"/>
  <c r="HQ54" s="1"/>
  <c r="HR54" s="1"/>
  <c r="DW33"/>
  <c r="DX33"/>
  <c r="DY33" s="1"/>
  <c r="DZ33" s="1"/>
  <c r="CF40"/>
  <c r="CG40" s="1"/>
  <c r="CH40" s="1"/>
  <c r="CE40"/>
  <c r="GN96"/>
  <c r="GO96" s="1"/>
  <c r="GP96" s="1"/>
  <c r="GM96"/>
  <c r="DO53"/>
  <c r="DP53"/>
  <c r="DQ53" s="1"/>
  <c r="DR53" s="1"/>
  <c r="DP23" i="21"/>
  <c r="DQ23" s="1"/>
  <c r="DN23"/>
  <c r="AD42" i="10"/>
  <c r="S40"/>
  <c r="W40" s="1"/>
  <c r="AD39"/>
  <c r="EN113" l="1"/>
  <c r="EO113" s="1"/>
  <c r="EP113" s="1"/>
  <c r="EM113"/>
  <c r="C362" i="21"/>
  <c r="E362"/>
  <c r="K362"/>
  <c r="L362"/>
  <c r="D362"/>
  <c r="G362"/>
  <c r="B364"/>
  <c r="F363" s="1"/>
  <c r="GQ96" i="10"/>
  <c r="GR96"/>
  <c r="GS96" s="1"/>
  <c r="GT96" s="1"/>
  <c r="DS53"/>
  <c r="DT53"/>
  <c r="DU53" s="1"/>
  <c r="DV53" s="1"/>
  <c r="HT54"/>
  <c r="HU54" s="1"/>
  <c r="HV54" s="1"/>
  <c r="HS54"/>
  <c r="CJ40"/>
  <c r="CK40" s="1"/>
  <c r="CL40" s="1"/>
  <c r="CI40"/>
  <c r="EA41"/>
  <c r="EB41"/>
  <c r="EC41" s="1"/>
  <c r="ED41" s="1"/>
  <c r="CJ25"/>
  <c r="CK25" s="1"/>
  <c r="CL25" s="1"/>
  <c r="CI25"/>
  <c r="EA33"/>
  <c r="EB33"/>
  <c r="EC33" s="1"/>
  <c r="ED33" s="1"/>
  <c r="FW28"/>
  <c r="FX28"/>
  <c r="FY28" s="1"/>
  <c r="FZ28" s="1"/>
  <c r="L42"/>
  <c r="M42" s="1"/>
  <c r="AE42"/>
  <c r="S39"/>
  <c r="V42"/>
  <c r="S42"/>
  <c r="V39"/>
  <c r="ER113" l="1"/>
  <c r="ES113" s="1"/>
  <c r="ET113" s="1"/>
  <c r="EQ113"/>
  <c r="E363" i="21"/>
  <c r="L363"/>
  <c r="B365"/>
  <c r="E364" s="1"/>
  <c r="G363"/>
  <c r="C363"/>
  <c r="D363"/>
  <c r="K363"/>
  <c r="EF41" i="10"/>
  <c r="EG41" s="1"/>
  <c r="EH41" s="1"/>
  <c r="EE41"/>
  <c r="HW54"/>
  <c r="HX54"/>
  <c r="HY54" s="1"/>
  <c r="HZ54" s="1"/>
  <c r="GU96"/>
  <c r="GV96"/>
  <c r="GW96" s="1"/>
  <c r="GX96" s="1"/>
  <c r="EF33"/>
  <c r="EG33" s="1"/>
  <c r="EH33" s="1"/>
  <c r="EE33"/>
  <c r="CN40"/>
  <c r="CO40" s="1"/>
  <c r="CP40" s="1"/>
  <c r="CM40"/>
  <c r="DW53"/>
  <c r="DX53"/>
  <c r="DY53" s="1"/>
  <c r="DZ53" s="1"/>
  <c r="GA28"/>
  <c r="GB28"/>
  <c r="GC28" s="1"/>
  <c r="GD28" s="1"/>
  <c r="CM25"/>
  <c r="CN25"/>
  <c r="CO25" s="1"/>
  <c r="CP25" s="1"/>
  <c r="L39"/>
  <c r="M39" s="1"/>
  <c r="T42"/>
  <c r="Y42" s="1"/>
  <c r="W42"/>
  <c r="R39"/>
  <c r="W39"/>
  <c r="AE39"/>
  <c r="T39"/>
  <c r="Y39" s="1"/>
  <c r="R42"/>
  <c r="EU113" l="1"/>
  <c r="EV113"/>
  <c r="EW113" s="1"/>
  <c r="EX113" s="1"/>
  <c r="D364" i="21"/>
  <c r="L364"/>
  <c r="B366"/>
  <c r="C365" s="1"/>
  <c r="C364"/>
  <c r="K364"/>
  <c r="F364"/>
  <c r="G364"/>
  <c r="CR40" i="10"/>
  <c r="CS40" s="1"/>
  <c r="CT40" s="1"/>
  <c r="CQ40"/>
  <c r="CQ25"/>
  <c r="CR25"/>
  <c r="CS25" s="1"/>
  <c r="CT25" s="1"/>
  <c r="EB53"/>
  <c r="EC53" s="1"/>
  <c r="ED53" s="1"/>
  <c r="EA53"/>
  <c r="IA54"/>
  <c r="IB54"/>
  <c r="EI33"/>
  <c r="EJ33"/>
  <c r="EK33" s="1"/>
  <c r="EL33" s="1"/>
  <c r="GE28"/>
  <c r="GF28"/>
  <c r="GG28" s="1"/>
  <c r="GH28" s="1"/>
  <c r="GY96"/>
  <c r="GZ96"/>
  <c r="HA96" s="1"/>
  <c r="HB96" s="1"/>
  <c r="EJ41"/>
  <c r="EK41" s="1"/>
  <c r="EL41" s="1"/>
  <c r="EI41"/>
  <c r="Z39"/>
  <c r="AA39" s="1"/>
  <c r="AB39" s="1"/>
  <c r="Z42"/>
  <c r="AA42" s="1"/>
  <c r="AB42" s="1"/>
  <c r="EZ113" l="1"/>
  <c r="FA113" s="1"/>
  <c r="FB113" s="1"/>
  <c r="EY113"/>
  <c r="K365" i="21"/>
  <c r="G365"/>
  <c r="E365"/>
  <c r="B367"/>
  <c r="E366" s="1"/>
  <c r="F365"/>
  <c r="L365"/>
  <c r="D365"/>
  <c r="GJ28" i="10"/>
  <c r="GK28" s="1"/>
  <c r="GL28" s="1"/>
  <c r="GI28"/>
  <c r="EE53"/>
  <c r="EF53"/>
  <c r="EG53" s="1"/>
  <c r="EH53" s="1"/>
  <c r="CU40"/>
  <c r="CV40"/>
  <c r="CW40" s="1"/>
  <c r="CX40" s="1"/>
  <c r="EM41"/>
  <c r="EN41"/>
  <c r="EO41" s="1"/>
  <c r="EP41" s="1"/>
  <c r="CV25"/>
  <c r="CW25" s="1"/>
  <c r="CX25" s="1"/>
  <c r="CU25"/>
  <c r="HC96"/>
  <c r="HD96"/>
  <c r="HE96" s="1"/>
  <c r="HF96" s="1"/>
  <c r="EN33"/>
  <c r="EO33" s="1"/>
  <c r="EP33" s="1"/>
  <c r="EM33"/>
  <c r="Q31"/>
  <c r="BW31" s="1"/>
  <c r="BX31" s="1"/>
  <c r="BY31" s="1"/>
  <c r="BZ31" s="1"/>
  <c r="Y21"/>
  <c r="Y45"/>
  <c r="Y51"/>
  <c r="Y52"/>
  <c r="Y89"/>
  <c r="Z89" s="1"/>
  <c r="Y110"/>
  <c r="Y143"/>
  <c r="Z143" s="1"/>
  <c r="AA143" s="1"/>
  <c r="AB143" s="1"/>
  <c r="AD88"/>
  <c r="AD31"/>
  <c r="BW55"/>
  <c r="BX55" s="1"/>
  <c r="BY55" s="1"/>
  <c r="BZ55" s="1"/>
  <c r="Q48"/>
  <c r="BW48" s="1"/>
  <c r="BX48" s="1"/>
  <c r="BY48" s="1"/>
  <c r="BZ48" s="1"/>
  <c r="CW26" i="21"/>
  <c r="CZ26" s="1"/>
  <c r="FD113" i="10" l="1"/>
  <c r="FE113" s="1"/>
  <c r="FF113" s="1"/>
  <c r="FC113"/>
  <c r="K366" i="21"/>
  <c r="C366"/>
  <c r="G366"/>
  <c r="B368"/>
  <c r="G367" s="1"/>
  <c r="F366"/>
  <c r="D366"/>
  <c r="L366"/>
  <c r="EQ33" i="10"/>
  <c r="ER33"/>
  <c r="ES33" s="1"/>
  <c r="ET33" s="1"/>
  <c r="CZ25"/>
  <c r="DA25" s="1"/>
  <c r="DB25" s="1"/>
  <c r="CY25"/>
  <c r="CA55"/>
  <c r="CB55"/>
  <c r="CC55" s="1"/>
  <c r="CD55" s="1"/>
  <c r="EJ53"/>
  <c r="EK53" s="1"/>
  <c r="EL53" s="1"/>
  <c r="EI53"/>
  <c r="CB31"/>
  <c r="CC31" s="1"/>
  <c r="CD31" s="1"/>
  <c r="CA31"/>
  <c r="HG96"/>
  <c r="HH96"/>
  <c r="HI96" s="1"/>
  <c r="HJ96" s="1"/>
  <c r="ER41"/>
  <c r="ES41" s="1"/>
  <c r="ET41" s="1"/>
  <c r="EQ41"/>
  <c r="CA48"/>
  <c r="CB48"/>
  <c r="CC48" s="1"/>
  <c r="CD48" s="1"/>
  <c r="CZ40"/>
  <c r="DA40" s="1"/>
  <c r="DB40" s="1"/>
  <c r="CY40"/>
  <c r="GN28"/>
  <c r="GO28" s="1"/>
  <c r="GP28" s="1"/>
  <c r="GM28"/>
  <c r="Z110"/>
  <c r="AA110" s="1"/>
  <c r="AB110" s="1"/>
  <c r="Z52"/>
  <c r="AA52" s="1"/>
  <c r="AB52" s="1"/>
  <c r="Z45"/>
  <c r="AA45" s="1"/>
  <c r="AB45" s="1"/>
  <c r="Z51"/>
  <c r="AA51" s="1"/>
  <c r="AB51" s="1"/>
  <c r="Z21"/>
  <c r="AA21" s="1"/>
  <c r="AB21" s="1"/>
  <c r="L88"/>
  <c r="M88" s="1"/>
  <c r="AE88"/>
  <c r="AA89"/>
  <c r="AB89" s="1"/>
  <c r="IM27"/>
  <c r="S88"/>
  <c r="W88" s="1"/>
  <c r="S31"/>
  <c r="S55"/>
  <c r="W55" s="1"/>
  <c r="V88"/>
  <c r="V31"/>
  <c r="CV26" i="21"/>
  <c r="CX26"/>
  <c r="CY26" s="1"/>
  <c r="AD83" i="10"/>
  <c r="Q136"/>
  <c r="BW136" s="1"/>
  <c r="BX136" s="1"/>
  <c r="BY136" s="1"/>
  <c r="BZ136" s="1"/>
  <c r="AD136"/>
  <c r="S187"/>
  <c r="S218"/>
  <c r="Q122"/>
  <c r="BW122" s="1"/>
  <c r="BX122" s="1"/>
  <c r="BY122" s="1"/>
  <c r="BZ122" s="1"/>
  <c r="AD122"/>
  <c r="S225"/>
  <c r="T225" s="1"/>
  <c r="T215"/>
  <c r="T214"/>
  <c r="T216"/>
  <c r="CA136" l="1"/>
  <c r="CB136"/>
  <c r="CC136" s="1"/>
  <c r="CD136" s="1"/>
  <c r="CB122"/>
  <c r="CC122" s="1"/>
  <c r="CD122" s="1"/>
  <c r="CA122"/>
  <c r="FG113"/>
  <c r="FH113"/>
  <c r="FI113" s="1"/>
  <c r="FJ113" s="1"/>
  <c r="II32"/>
  <c r="IF32"/>
  <c r="IG32"/>
  <c r="B39" s="1"/>
  <c r="IH32"/>
  <c r="K367" i="21"/>
  <c r="C367"/>
  <c r="F367"/>
  <c r="D367"/>
  <c r="B369"/>
  <c r="E368" s="1"/>
  <c r="L367"/>
  <c r="E367"/>
  <c r="GQ28" i="10"/>
  <c r="GR28"/>
  <c r="GS28" s="1"/>
  <c r="GT28" s="1"/>
  <c r="CE48"/>
  <c r="CF48"/>
  <c r="CG48" s="1"/>
  <c r="CH48" s="1"/>
  <c r="HL96"/>
  <c r="HM96" s="1"/>
  <c r="HN96" s="1"/>
  <c r="HK96"/>
  <c r="DD40"/>
  <c r="DE40" s="1"/>
  <c r="DF40" s="1"/>
  <c r="DC40"/>
  <c r="EV41"/>
  <c r="EW41" s="1"/>
  <c r="EX41" s="1"/>
  <c r="EU41"/>
  <c r="CE31"/>
  <c r="CF31"/>
  <c r="CG31" s="1"/>
  <c r="CH31" s="1"/>
  <c r="EM53"/>
  <c r="EN53"/>
  <c r="EO53" s="1"/>
  <c r="EP53" s="1"/>
  <c r="DD25"/>
  <c r="DE25" s="1"/>
  <c r="DF25" s="1"/>
  <c r="DC25"/>
  <c r="CE55"/>
  <c r="CF55"/>
  <c r="CG55" s="1"/>
  <c r="CH55" s="1"/>
  <c r="EU33"/>
  <c r="EV33"/>
  <c r="EW33" s="1"/>
  <c r="EX33" s="1"/>
  <c r="L122"/>
  <c r="M122" s="1"/>
  <c r="L31"/>
  <c r="M31" s="1"/>
  <c r="L83"/>
  <c r="M83" s="1"/>
  <c r="R31"/>
  <c r="W31"/>
  <c r="AE122"/>
  <c r="AE83"/>
  <c r="AE31"/>
  <c r="IH51"/>
  <c r="IM28"/>
  <c r="IH50"/>
  <c r="T31"/>
  <c r="Y31" s="1"/>
  <c r="R88"/>
  <c r="T88"/>
  <c r="Y88" s="1"/>
  <c r="S83"/>
  <c r="S122"/>
  <c r="W122" s="1"/>
  <c r="S136"/>
  <c r="V83"/>
  <c r="S217"/>
  <c r="R187"/>
  <c r="V136"/>
  <c r="V122"/>
  <c r="T218"/>
  <c r="T226"/>
  <c r="FZ12" i="21"/>
  <c r="GA12" s="1"/>
  <c r="FV301"/>
  <c r="FV302"/>
  <c r="FV303"/>
  <c r="FV304"/>
  <c r="FV305"/>
  <c r="FV390"/>
  <c r="FV389"/>
  <c r="FV388"/>
  <c r="FV387"/>
  <c r="FV386"/>
  <c r="FV385"/>
  <c r="FV384"/>
  <c r="FV383"/>
  <c r="FV382"/>
  <c r="FV381"/>
  <c r="FV380"/>
  <c r="FV379"/>
  <c r="FV377"/>
  <c r="FV376"/>
  <c r="FV375"/>
  <c r="FV374"/>
  <c r="FV373"/>
  <c r="FV372"/>
  <c r="FV371"/>
  <c r="FV370"/>
  <c r="FV369"/>
  <c r="FV368"/>
  <c r="FV367"/>
  <c r="FV366"/>
  <c r="FV364"/>
  <c r="FV363"/>
  <c r="FV362"/>
  <c r="FV361"/>
  <c r="FV360"/>
  <c r="FV359"/>
  <c r="FV358"/>
  <c r="FV357"/>
  <c r="FV356"/>
  <c r="FV355"/>
  <c r="FV354"/>
  <c r="FV353"/>
  <c r="FV351"/>
  <c r="FV350"/>
  <c r="FV349"/>
  <c r="FV348"/>
  <c r="FV347"/>
  <c r="FV346"/>
  <c r="FV345"/>
  <c r="FV344"/>
  <c r="FV343"/>
  <c r="FV342"/>
  <c r="FV341"/>
  <c r="FV340"/>
  <c r="FV338"/>
  <c r="FV337"/>
  <c r="FV336"/>
  <c r="FV335"/>
  <c r="FV334"/>
  <c r="FV333"/>
  <c r="FV332"/>
  <c r="FV331"/>
  <c r="FV330"/>
  <c r="FV329"/>
  <c r="FV328"/>
  <c r="FV327"/>
  <c r="FV325"/>
  <c r="FV324"/>
  <c r="FV323"/>
  <c r="FV322"/>
  <c r="FV321"/>
  <c r="FV320"/>
  <c r="FV319"/>
  <c r="FV318"/>
  <c r="FV317"/>
  <c r="FV316"/>
  <c r="FV315"/>
  <c r="FV314"/>
  <c r="FV312"/>
  <c r="FV311"/>
  <c r="FV310"/>
  <c r="FV309"/>
  <c r="FV308"/>
  <c r="FV307"/>
  <c r="FV306"/>
  <c r="FV299"/>
  <c r="FV298"/>
  <c r="FV297"/>
  <c r="FV296"/>
  <c r="FV295"/>
  <c r="FV294"/>
  <c r="FV293"/>
  <c r="FV292"/>
  <c r="FV291"/>
  <c r="FV290"/>
  <c r="FV289"/>
  <c r="FV288"/>
  <c r="FV286"/>
  <c r="FV285"/>
  <c r="FV284"/>
  <c r="FV283"/>
  <c r="FV282"/>
  <c r="FV281"/>
  <c r="FV280"/>
  <c r="FV279"/>
  <c r="FV278"/>
  <c r="FV277"/>
  <c r="FV276"/>
  <c r="FV275"/>
  <c r="FV273"/>
  <c r="FV272"/>
  <c r="FV271"/>
  <c r="FV270"/>
  <c r="FV269"/>
  <c r="FV268"/>
  <c r="FV267"/>
  <c r="FV266"/>
  <c r="FV265"/>
  <c r="FV264"/>
  <c r="FV263"/>
  <c r="FV262"/>
  <c r="FV260"/>
  <c r="FV259"/>
  <c r="FV258"/>
  <c r="FV257"/>
  <c r="FV256"/>
  <c r="FV255"/>
  <c r="FV254"/>
  <c r="FV253"/>
  <c r="FV252"/>
  <c r="FV251"/>
  <c r="FV250"/>
  <c r="FV249"/>
  <c r="FV247"/>
  <c r="FV246"/>
  <c r="FV245"/>
  <c r="FV244"/>
  <c r="FV243"/>
  <c r="FV242"/>
  <c r="FV241"/>
  <c r="FV240"/>
  <c r="FV239"/>
  <c r="FV238"/>
  <c r="FV237"/>
  <c r="FV236"/>
  <c r="FV234"/>
  <c r="FV233"/>
  <c r="FV232"/>
  <c r="FV231"/>
  <c r="FV230"/>
  <c r="FV229"/>
  <c r="FV228"/>
  <c r="FV227"/>
  <c r="FV226"/>
  <c r="FV225"/>
  <c r="FV224"/>
  <c r="FV223"/>
  <c r="FV221"/>
  <c r="FV220"/>
  <c r="FV219"/>
  <c r="FV218"/>
  <c r="FV217"/>
  <c r="FV216"/>
  <c r="FV215"/>
  <c r="FV214"/>
  <c r="FV213"/>
  <c r="FV212"/>
  <c r="FV211"/>
  <c r="FV210"/>
  <c r="FV208"/>
  <c r="FV207"/>
  <c r="FV206"/>
  <c r="FV205"/>
  <c r="FV204"/>
  <c r="FV203"/>
  <c r="FV202"/>
  <c r="FV201"/>
  <c r="FV200"/>
  <c r="FV199"/>
  <c r="FV198"/>
  <c r="FV197"/>
  <c r="FV195"/>
  <c r="FV194"/>
  <c r="FV193"/>
  <c r="FV192"/>
  <c r="FV191"/>
  <c r="FV190"/>
  <c r="FV189"/>
  <c r="FV188"/>
  <c r="FV187"/>
  <c r="FV186"/>
  <c r="FV185"/>
  <c r="FV184"/>
  <c r="FV182"/>
  <c r="FV181"/>
  <c r="FV180"/>
  <c r="FV179"/>
  <c r="FV178"/>
  <c r="FV177"/>
  <c r="FV176"/>
  <c r="FV175"/>
  <c r="FV174"/>
  <c r="FV173"/>
  <c r="FV172"/>
  <c r="FV171"/>
  <c r="FV169"/>
  <c r="FV168"/>
  <c r="FV167"/>
  <c r="FV166"/>
  <c r="FV165"/>
  <c r="FV164"/>
  <c r="FV163"/>
  <c r="FV162"/>
  <c r="FV161"/>
  <c r="FV160"/>
  <c r="FV159"/>
  <c r="FV158"/>
  <c r="FV156"/>
  <c r="FV155"/>
  <c r="FV154"/>
  <c r="FV153"/>
  <c r="FV152"/>
  <c r="FV151"/>
  <c r="FV150"/>
  <c r="FV149"/>
  <c r="FV148"/>
  <c r="FV147"/>
  <c r="FV146"/>
  <c r="FV145"/>
  <c r="FV143"/>
  <c r="FV142"/>
  <c r="FV141"/>
  <c r="FV140"/>
  <c r="FV139"/>
  <c r="FV138"/>
  <c r="FV137"/>
  <c r="FV136"/>
  <c r="FV135"/>
  <c r="FV134"/>
  <c r="FV133"/>
  <c r="FV132"/>
  <c r="FV130"/>
  <c r="FV129"/>
  <c r="FV128"/>
  <c r="FV127"/>
  <c r="FV126"/>
  <c r="FV125"/>
  <c r="FV124"/>
  <c r="FV123"/>
  <c r="FV122"/>
  <c r="FV121"/>
  <c r="FV120"/>
  <c r="FV119"/>
  <c r="FV117"/>
  <c r="FV116"/>
  <c r="FV115"/>
  <c r="FV114"/>
  <c r="FV113"/>
  <c r="FV112"/>
  <c r="FV111"/>
  <c r="FV110"/>
  <c r="FV109"/>
  <c r="FV108"/>
  <c r="FV107"/>
  <c r="FV106"/>
  <c r="FV104"/>
  <c r="FV103"/>
  <c r="FV102"/>
  <c r="FV101"/>
  <c r="FV100"/>
  <c r="FV99"/>
  <c r="FV98"/>
  <c r="FV97"/>
  <c r="FV96"/>
  <c r="FV95"/>
  <c r="FV94"/>
  <c r="FV93"/>
  <c r="FV91"/>
  <c r="FV90"/>
  <c r="FV89"/>
  <c r="FV88"/>
  <c r="FV87"/>
  <c r="FV86"/>
  <c r="FV85"/>
  <c r="FV84"/>
  <c r="FV83"/>
  <c r="FV82"/>
  <c r="FV81"/>
  <c r="FV80"/>
  <c r="FV78"/>
  <c r="FV77"/>
  <c r="FV76"/>
  <c r="FV75"/>
  <c r="FV74"/>
  <c r="FV73"/>
  <c r="FV72"/>
  <c r="FV71"/>
  <c r="FV70"/>
  <c r="FV69"/>
  <c r="FV68"/>
  <c r="FV67"/>
  <c r="FV65"/>
  <c r="FV64"/>
  <c r="FV63"/>
  <c r="FV62"/>
  <c r="FV61"/>
  <c r="FV60"/>
  <c r="FV59"/>
  <c r="FV58"/>
  <c r="FV57"/>
  <c r="FV56"/>
  <c r="FV55"/>
  <c r="FV54"/>
  <c r="FV52"/>
  <c r="FV51"/>
  <c r="FV50"/>
  <c r="FV49"/>
  <c r="FV48"/>
  <c r="FV47"/>
  <c r="FV46"/>
  <c r="FV45"/>
  <c r="FV44"/>
  <c r="FV43"/>
  <c r="FV42"/>
  <c r="FV41"/>
  <c r="FV39"/>
  <c r="FV38"/>
  <c r="FV37"/>
  <c r="FV36"/>
  <c r="FV35"/>
  <c r="FV34"/>
  <c r="FV33"/>
  <c r="FV32"/>
  <c r="FV31"/>
  <c r="FV30"/>
  <c r="FV29"/>
  <c r="FV28"/>
  <c r="FV26"/>
  <c r="FV25"/>
  <c r="FV24"/>
  <c r="FV23"/>
  <c r="FV22"/>
  <c r="FV21"/>
  <c r="FV20"/>
  <c r="FV19"/>
  <c r="FV18"/>
  <c r="FV17"/>
  <c r="FV16"/>
  <c r="FV15"/>
  <c r="FL41"/>
  <c r="FO41"/>
  <c r="FL42"/>
  <c r="FO42"/>
  <c r="E71"/>
  <c r="F71" s="1"/>
  <c r="K122" s="1"/>
  <c r="E72"/>
  <c r="F72" s="1"/>
  <c r="K123" s="1"/>
  <c r="E73"/>
  <c r="F73" s="1"/>
  <c r="K124" s="1"/>
  <c r="E70"/>
  <c r="F70" s="1"/>
  <c r="K121" s="1"/>
  <c r="AD137" i="10"/>
  <c r="DR22" i="21"/>
  <c r="K147" l="1"/>
  <c r="K150" s="1"/>
  <c r="CF122" i="10"/>
  <c r="CG122" s="1"/>
  <c r="CH122" s="1"/>
  <c r="CE122"/>
  <c r="CF136"/>
  <c r="CG136" s="1"/>
  <c r="CH136" s="1"/>
  <c r="CE136"/>
  <c r="FL113"/>
  <c r="FM113" s="1"/>
  <c r="FN113" s="1"/>
  <c r="FK113"/>
  <c r="IF36"/>
  <c r="IF37" s="1"/>
  <c r="IG36"/>
  <c r="II36" s="1"/>
  <c r="IJ49"/>
  <c r="IJ52"/>
  <c r="IJ46"/>
  <c r="IJ48"/>
  <c r="IJ43"/>
  <c r="IJ45"/>
  <c r="IJ50"/>
  <c r="IJ47"/>
  <c r="IJ53"/>
  <c r="IJ54"/>
  <c r="IJ51"/>
  <c r="IJ42"/>
  <c r="IJ44"/>
  <c r="L124" i="21"/>
  <c r="N124" s="1"/>
  <c r="L122"/>
  <c r="N122" s="1"/>
  <c r="L123"/>
  <c r="N123" s="1"/>
  <c r="L121"/>
  <c r="N121" s="1"/>
  <c r="L127"/>
  <c r="N127" s="1"/>
  <c r="L126"/>
  <c r="N126" s="1"/>
  <c r="L128"/>
  <c r="N128" s="1"/>
  <c r="L125"/>
  <c r="N125" s="1"/>
  <c r="C368"/>
  <c r="B370"/>
  <c r="C369" s="1"/>
  <c r="D368"/>
  <c r="G368"/>
  <c r="F368"/>
  <c r="L368"/>
  <c r="K368"/>
  <c r="EY33" i="10"/>
  <c r="EZ33"/>
  <c r="FA33" s="1"/>
  <c r="FB33" s="1"/>
  <c r="CJ31"/>
  <c r="CK31" s="1"/>
  <c r="CL31" s="1"/>
  <c r="CI31"/>
  <c r="EY41"/>
  <c r="EZ41"/>
  <c r="FA41" s="1"/>
  <c r="FB41" s="1"/>
  <c r="CI48"/>
  <c r="CJ48"/>
  <c r="CK48" s="1"/>
  <c r="CL48" s="1"/>
  <c r="DG25"/>
  <c r="DH25"/>
  <c r="DI25" s="1"/>
  <c r="DJ25" s="1"/>
  <c r="DG40"/>
  <c r="DH40"/>
  <c r="DI40" s="1"/>
  <c r="DJ40" s="1"/>
  <c r="GU28"/>
  <c r="GV28"/>
  <c r="GW28" s="1"/>
  <c r="GX28" s="1"/>
  <c r="C70" i="21"/>
  <c r="CI55" i="10"/>
  <c r="CJ55"/>
  <c r="CK55" s="1"/>
  <c r="CL55" s="1"/>
  <c r="ER53"/>
  <c r="ES53" s="1"/>
  <c r="ET53" s="1"/>
  <c r="EQ53"/>
  <c r="HO96"/>
  <c r="HP96"/>
  <c r="HQ96" s="1"/>
  <c r="HR96" s="1"/>
  <c r="IJ32"/>
  <c r="IJ41"/>
  <c r="Z88"/>
  <c r="AA88" s="1"/>
  <c r="AB88" s="1"/>
  <c r="Z31"/>
  <c r="AA31" s="1"/>
  <c r="AB31" s="1"/>
  <c r="C73" i="21"/>
  <c r="E712"/>
  <c r="C71"/>
  <c r="E710"/>
  <c r="E709"/>
  <c r="C72"/>
  <c r="E711"/>
  <c r="L136" i="10"/>
  <c r="M136" s="1"/>
  <c r="R83"/>
  <c r="W83"/>
  <c r="T136"/>
  <c r="Y136" s="1"/>
  <c r="W136"/>
  <c r="H71" i="21"/>
  <c r="F710" s="1"/>
  <c r="H70"/>
  <c r="F709" s="1"/>
  <c r="H73"/>
  <c r="F712" s="1"/>
  <c r="H72"/>
  <c r="F711" s="1"/>
  <c r="AE136" i="10"/>
  <c r="S219"/>
  <c r="IF33"/>
  <c r="IH33"/>
  <c r="IL19"/>
  <c r="II50" s="1"/>
  <c r="T83"/>
  <c r="Y83" s="1"/>
  <c r="R136"/>
  <c r="R122"/>
  <c r="T122"/>
  <c r="Y122" s="1"/>
  <c r="GB12" i="21"/>
  <c r="V137" i="10"/>
  <c r="S137"/>
  <c r="W137" s="1"/>
  <c r="DN22" i="21"/>
  <c r="DP22"/>
  <c r="DQ22" s="1"/>
  <c r="BK2" i="10"/>
  <c r="BK3" s="1"/>
  <c r="BK4" s="1"/>
  <c r="BK5" s="1"/>
  <c r="BK6" s="1"/>
  <c r="BK7" s="1"/>
  <c r="BK8" s="1"/>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K40" s="1"/>
  <c r="BK41" s="1"/>
  <c r="BK42" s="1"/>
  <c r="BS2"/>
  <c r="AD86"/>
  <c r="Q14"/>
  <c r="BW14" s="1"/>
  <c r="BX14" s="1"/>
  <c r="BY14" s="1"/>
  <c r="BZ14" s="1"/>
  <c r="S2"/>
  <c r="S107"/>
  <c r="W107" s="1"/>
  <c r="AD107"/>
  <c r="AD96"/>
  <c r="AD14"/>
  <c r="I2"/>
  <c r="AD2"/>
  <c r="AD135"/>
  <c r="CW27" i="21"/>
  <c r="CZ27" s="1"/>
  <c r="CI136" i="10" l="1"/>
  <c r="CJ136"/>
  <c r="CK136" s="1"/>
  <c r="CL136" s="1"/>
  <c r="FO113"/>
  <c r="FP113"/>
  <c r="FQ113" s="1"/>
  <c r="FR113" s="1"/>
  <c r="CI122"/>
  <c r="CJ122"/>
  <c r="CK122" s="1"/>
  <c r="CL122" s="1"/>
  <c r="IH36"/>
  <c r="B371" i="21"/>
  <c r="L370" s="1"/>
  <c r="K369"/>
  <c r="L369"/>
  <c r="D369"/>
  <c r="G369"/>
  <c r="F369"/>
  <c r="E369"/>
  <c r="EU53" i="10"/>
  <c r="EV53"/>
  <c r="EW53" s="1"/>
  <c r="EX53" s="1"/>
  <c r="CA14"/>
  <c r="CB14"/>
  <c r="CC14" s="1"/>
  <c r="CD14" s="1"/>
  <c r="HS96"/>
  <c r="HT96"/>
  <c r="HU96" s="1"/>
  <c r="HV96" s="1"/>
  <c r="CN55"/>
  <c r="CO55" s="1"/>
  <c r="CP55" s="1"/>
  <c r="CM55"/>
  <c r="DL25"/>
  <c r="DM25" s="1"/>
  <c r="DN25" s="1"/>
  <c r="DK25"/>
  <c r="CM31"/>
  <c r="CN31"/>
  <c r="CO31" s="1"/>
  <c r="CP31" s="1"/>
  <c r="GY28"/>
  <c r="GZ28"/>
  <c r="HA28" s="1"/>
  <c r="HB28" s="1"/>
  <c r="FD41"/>
  <c r="FE41" s="1"/>
  <c r="FF41" s="1"/>
  <c r="FC41"/>
  <c r="FC33"/>
  <c r="FD33"/>
  <c r="FE33" s="1"/>
  <c r="FF33" s="1"/>
  <c r="DL40"/>
  <c r="DM40" s="1"/>
  <c r="DN40" s="1"/>
  <c r="DK40"/>
  <c r="CM48"/>
  <c r="CN48"/>
  <c r="CO48" s="1"/>
  <c r="CP48" s="1"/>
  <c r="Z83"/>
  <c r="AA83" s="1"/>
  <c r="AB83" s="1"/>
  <c r="Z122"/>
  <c r="AA122" s="1"/>
  <c r="AB122" s="1"/>
  <c r="Z136"/>
  <c r="AA136" s="1"/>
  <c r="AB136" s="1"/>
  <c r="F713" i="21"/>
  <c r="F716" s="1"/>
  <c r="E713"/>
  <c r="E716" s="1"/>
  <c r="J72"/>
  <c r="J73"/>
  <c r="J74"/>
  <c r="J71"/>
  <c r="L135" i="10"/>
  <c r="M135" s="1"/>
  <c r="L137"/>
  <c r="M137" s="1"/>
  <c r="W2"/>
  <c r="I70" i="21"/>
  <c r="I72"/>
  <c r="I73"/>
  <c r="I71"/>
  <c r="AE135" i="10"/>
  <c r="AE137"/>
  <c r="BU2"/>
  <c r="II33"/>
  <c r="S135"/>
  <c r="S14"/>
  <c r="T2"/>
  <c r="Y2" s="1"/>
  <c r="Z2" s="1"/>
  <c r="R2"/>
  <c r="T137"/>
  <c r="Y137" s="1"/>
  <c r="R137"/>
  <c r="S86"/>
  <c r="S96"/>
  <c r="BW2"/>
  <c r="BX2" s="1"/>
  <c r="J2"/>
  <c r="V86"/>
  <c r="S177"/>
  <c r="V14"/>
  <c r="V107"/>
  <c r="V96"/>
  <c r="T107"/>
  <c r="Y107" s="1"/>
  <c r="R107"/>
  <c r="V2"/>
  <c r="V135"/>
  <c r="CX27" i="21"/>
  <c r="CY27" s="1"/>
  <c r="CV27"/>
  <c r="FT113" i="10" l="1"/>
  <c r="FU113" s="1"/>
  <c r="FV113" s="1"/>
  <c r="FS113"/>
  <c r="CN122"/>
  <c r="CO122" s="1"/>
  <c r="CP122" s="1"/>
  <c r="CM122"/>
  <c r="CN136"/>
  <c r="CO136" s="1"/>
  <c r="CP136" s="1"/>
  <c r="CM136"/>
  <c r="C370" i="21"/>
  <c r="B372"/>
  <c r="C371" s="1"/>
  <c r="D370"/>
  <c r="E370"/>
  <c r="F370"/>
  <c r="G370"/>
  <c r="K370"/>
  <c r="FH41" i="10"/>
  <c r="FI41" s="1"/>
  <c r="FJ41" s="1"/>
  <c r="FG41"/>
  <c r="CR55"/>
  <c r="CS55" s="1"/>
  <c r="CT55" s="1"/>
  <c r="CQ55"/>
  <c r="DP40"/>
  <c r="DQ40" s="1"/>
  <c r="DR40" s="1"/>
  <c r="DO40"/>
  <c r="DO25"/>
  <c r="DP25"/>
  <c r="DQ25" s="1"/>
  <c r="DR25" s="1"/>
  <c r="CR48"/>
  <c r="CS48" s="1"/>
  <c r="CT48" s="1"/>
  <c r="CQ48"/>
  <c r="CQ31"/>
  <c r="CR31"/>
  <c r="CS31" s="1"/>
  <c r="CT31" s="1"/>
  <c r="CF14"/>
  <c r="CG14" s="1"/>
  <c r="CH14" s="1"/>
  <c r="CE14"/>
  <c r="FH33"/>
  <c r="FI33" s="1"/>
  <c r="FJ33" s="1"/>
  <c r="FG33"/>
  <c r="HC28"/>
  <c r="HD28"/>
  <c r="HE28" s="1"/>
  <c r="HF28" s="1"/>
  <c r="HW96"/>
  <c r="HX96"/>
  <c r="HY96" s="1"/>
  <c r="HZ96" s="1"/>
  <c r="EY53"/>
  <c r="EZ53"/>
  <c r="FA53" s="1"/>
  <c r="FB53" s="1"/>
  <c r="Z107"/>
  <c r="AA107" s="1"/>
  <c r="AB107" s="1"/>
  <c r="Z137"/>
  <c r="AA137" s="1"/>
  <c r="AB137" s="1"/>
  <c r="L2"/>
  <c r="M2" s="1"/>
  <c r="L107"/>
  <c r="M107" s="1"/>
  <c r="L96"/>
  <c r="M96" s="1"/>
  <c r="L14"/>
  <c r="M14" s="1"/>
  <c r="L86"/>
  <c r="M86" s="1"/>
  <c r="R14"/>
  <c r="W14"/>
  <c r="T135"/>
  <c r="Y135" s="1"/>
  <c r="W135"/>
  <c r="T96"/>
  <c r="Y96" s="1"/>
  <c r="W96"/>
  <c r="R86"/>
  <c r="W86"/>
  <c r="AE2"/>
  <c r="AE86"/>
  <c r="AE96"/>
  <c r="AE14"/>
  <c r="AE107"/>
  <c r="AA2"/>
  <c r="AB2" s="1"/>
  <c r="T14"/>
  <c r="Y14" s="1"/>
  <c r="Z14" s="1"/>
  <c r="AA14" s="1"/>
  <c r="AB14" s="1"/>
  <c r="R135"/>
  <c r="T86"/>
  <c r="Y86" s="1"/>
  <c r="BY2"/>
  <c r="BZ2" s="1"/>
  <c r="CA2" s="1"/>
  <c r="R96"/>
  <c r="BV2"/>
  <c r="G371" i="21" l="1"/>
  <c r="CQ122" i="10"/>
  <c r="CR122"/>
  <c r="CS122" s="1"/>
  <c r="CT122" s="1"/>
  <c r="CR136"/>
  <c r="CS136" s="1"/>
  <c r="CT136" s="1"/>
  <c r="CQ136"/>
  <c r="FX113"/>
  <c r="FY113" s="1"/>
  <c r="FZ113" s="1"/>
  <c r="FW113"/>
  <c r="D371" i="21"/>
  <c r="B373"/>
  <c r="E372" s="1"/>
  <c r="K371"/>
  <c r="E371"/>
  <c r="F371"/>
  <c r="L371"/>
  <c r="FD53" i="10"/>
  <c r="FE53" s="1"/>
  <c r="FF53" s="1"/>
  <c r="FC53"/>
  <c r="DS25"/>
  <c r="DT25"/>
  <c r="DU25" s="1"/>
  <c r="DV25" s="1"/>
  <c r="CJ14"/>
  <c r="CK14" s="1"/>
  <c r="CL14" s="1"/>
  <c r="CI14"/>
  <c r="CV48"/>
  <c r="CW48" s="1"/>
  <c r="CX48" s="1"/>
  <c r="CU48"/>
  <c r="DS40"/>
  <c r="DT40"/>
  <c r="DU40" s="1"/>
  <c r="DV40" s="1"/>
  <c r="CU55"/>
  <c r="CV55"/>
  <c r="CW55" s="1"/>
  <c r="CX55" s="1"/>
  <c r="IB96"/>
  <c r="IA96"/>
  <c r="CU31"/>
  <c r="CV31"/>
  <c r="CW31" s="1"/>
  <c r="CX31" s="1"/>
  <c r="FK33"/>
  <c r="FL33"/>
  <c r="FM33" s="1"/>
  <c r="FN33" s="1"/>
  <c r="FL41"/>
  <c r="FM41" s="1"/>
  <c r="FN41" s="1"/>
  <c r="FK41"/>
  <c r="HH28"/>
  <c r="HI28" s="1"/>
  <c r="HJ28" s="1"/>
  <c r="HG28"/>
  <c r="Z96"/>
  <c r="AA96" s="1"/>
  <c r="AB96" s="1"/>
  <c r="Z135"/>
  <c r="AA135" s="1"/>
  <c r="AB135" s="1"/>
  <c r="Z86"/>
  <c r="AA86" s="1"/>
  <c r="AB86" s="1"/>
  <c r="S151"/>
  <c r="CB2"/>
  <c r="CV136" l="1"/>
  <c r="CW136" s="1"/>
  <c r="CX136" s="1"/>
  <c r="CU136"/>
  <c r="CU122"/>
  <c r="CV122"/>
  <c r="CW122" s="1"/>
  <c r="CX122" s="1"/>
  <c r="GB113"/>
  <c r="GC113" s="1"/>
  <c r="GD113" s="1"/>
  <c r="GA113"/>
  <c r="G372" i="21"/>
  <c r="F372"/>
  <c r="K372"/>
  <c r="B374"/>
  <c r="G373" s="1"/>
  <c r="C372"/>
  <c r="D372"/>
  <c r="L372"/>
  <c r="CY31" i="10"/>
  <c r="CZ31"/>
  <c r="DA31" s="1"/>
  <c r="DB31" s="1"/>
  <c r="HK28"/>
  <c r="HL28"/>
  <c r="HM28" s="1"/>
  <c r="HN28" s="1"/>
  <c r="CZ55"/>
  <c r="DA55" s="1"/>
  <c r="DB55" s="1"/>
  <c r="CY55"/>
  <c r="CY48"/>
  <c r="CZ48"/>
  <c r="DA48" s="1"/>
  <c r="DB48" s="1"/>
  <c r="DX25"/>
  <c r="DY25" s="1"/>
  <c r="DZ25" s="1"/>
  <c r="DW25"/>
  <c r="FO41"/>
  <c r="FP41"/>
  <c r="FQ41" s="1"/>
  <c r="FR41" s="1"/>
  <c r="DX40"/>
  <c r="DY40" s="1"/>
  <c r="DZ40" s="1"/>
  <c r="DW40"/>
  <c r="FO33"/>
  <c r="FP33"/>
  <c r="FQ33" s="1"/>
  <c r="FR33" s="1"/>
  <c r="CN14"/>
  <c r="CO14" s="1"/>
  <c r="CP14" s="1"/>
  <c r="CM14"/>
  <c r="FG53"/>
  <c r="FH53"/>
  <c r="FI53" s="1"/>
  <c r="FJ53" s="1"/>
  <c r="T151"/>
  <c r="CC2"/>
  <c r="CD2" s="1"/>
  <c r="S188"/>
  <c r="CY122" l="1"/>
  <c r="CZ122"/>
  <c r="DA122" s="1"/>
  <c r="DB122" s="1"/>
  <c r="GE113"/>
  <c r="GF113"/>
  <c r="GG113" s="1"/>
  <c r="GH113" s="1"/>
  <c r="CY136"/>
  <c r="CZ136"/>
  <c r="DA136" s="1"/>
  <c r="DB136" s="1"/>
  <c r="F373" i="21"/>
  <c r="L373"/>
  <c r="B375"/>
  <c r="E374" s="1"/>
  <c r="K373"/>
  <c r="E373"/>
  <c r="C373"/>
  <c r="D373"/>
  <c r="EB40" i="10"/>
  <c r="EC40" s="1"/>
  <c r="ED40" s="1"/>
  <c r="EA40"/>
  <c r="DD48"/>
  <c r="DE48" s="1"/>
  <c r="DF48" s="1"/>
  <c r="DC48"/>
  <c r="HO28"/>
  <c r="HP28"/>
  <c r="HQ28" s="1"/>
  <c r="HR28" s="1"/>
  <c r="CR14"/>
  <c r="CS14" s="1"/>
  <c r="CT14" s="1"/>
  <c r="CQ14"/>
  <c r="DC31"/>
  <c r="DD31"/>
  <c r="DE31" s="1"/>
  <c r="DF31" s="1"/>
  <c r="FK53"/>
  <c r="FL53"/>
  <c r="FM53" s="1"/>
  <c r="FN53" s="1"/>
  <c r="FS33"/>
  <c r="FT33"/>
  <c r="FU33" s="1"/>
  <c r="FV33" s="1"/>
  <c r="FT41"/>
  <c r="FU41" s="1"/>
  <c r="FV41" s="1"/>
  <c r="FS41"/>
  <c r="EA25"/>
  <c r="EB25"/>
  <c r="EC25" s="1"/>
  <c r="ED25" s="1"/>
  <c r="DC55"/>
  <c r="DD55"/>
  <c r="DE55" s="1"/>
  <c r="DF55" s="1"/>
  <c r="CE2"/>
  <c r="CF2"/>
  <c r="T188"/>
  <c r="GJ113" l="1"/>
  <c r="GK113" s="1"/>
  <c r="GL113" s="1"/>
  <c r="GI113"/>
  <c r="DC136"/>
  <c r="DD136"/>
  <c r="DE136" s="1"/>
  <c r="DF136" s="1"/>
  <c r="DC122"/>
  <c r="DD122"/>
  <c r="DE122" s="1"/>
  <c r="DF122" s="1"/>
  <c r="D374" i="21"/>
  <c r="C374"/>
  <c r="L374"/>
  <c r="B376"/>
  <c r="G375" s="1"/>
  <c r="F374"/>
  <c r="G374"/>
  <c r="K374"/>
  <c r="FX41" i="10"/>
  <c r="FY41" s="1"/>
  <c r="FZ41" s="1"/>
  <c r="FW41"/>
  <c r="FP53"/>
  <c r="FQ53" s="1"/>
  <c r="FR53" s="1"/>
  <c r="FO53"/>
  <c r="DG48"/>
  <c r="DH48"/>
  <c r="DI48" s="1"/>
  <c r="DJ48" s="1"/>
  <c r="EE40"/>
  <c r="EF40"/>
  <c r="EG40" s="1"/>
  <c r="EH40" s="1"/>
  <c r="DH55"/>
  <c r="DI55" s="1"/>
  <c r="DJ55" s="1"/>
  <c r="DG55"/>
  <c r="CV14"/>
  <c r="CW14" s="1"/>
  <c r="CX14" s="1"/>
  <c r="CU14"/>
  <c r="HS28"/>
  <c r="HT28"/>
  <c r="HU28" s="1"/>
  <c r="HV28" s="1"/>
  <c r="FW33"/>
  <c r="FX33"/>
  <c r="FY33" s="1"/>
  <c r="FZ33" s="1"/>
  <c r="DH31"/>
  <c r="DI31" s="1"/>
  <c r="DJ31" s="1"/>
  <c r="DG31"/>
  <c r="EE25"/>
  <c r="EF25"/>
  <c r="EG25" s="1"/>
  <c r="EH25" s="1"/>
  <c r="CG2"/>
  <c r="CH2" s="1"/>
  <c r="CJ2" s="1"/>
  <c r="AE2" i="21"/>
  <c r="X9" s="1"/>
  <c r="DG136" i="10" l="1"/>
  <c r="DH136"/>
  <c r="DI136" s="1"/>
  <c r="DJ136" s="1"/>
  <c r="DH122"/>
  <c r="DI122" s="1"/>
  <c r="DJ122" s="1"/>
  <c r="DG122"/>
  <c r="GN113"/>
  <c r="GO113" s="1"/>
  <c r="GP113" s="1"/>
  <c r="GM113"/>
  <c r="E375" i="21"/>
  <c r="K375"/>
  <c r="B377"/>
  <c r="L376" s="1"/>
  <c r="D375"/>
  <c r="F375"/>
  <c r="L375"/>
  <c r="C375"/>
  <c r="CZ14" i="10"/>
  <c r="DA14" s="1"/>
  <c r="DB14" s="1"/>
  <c r="CY14"/>
  <c r="EI25"/>
  <c r="EJ25"/>
  <c r="EK25" s="1"/>
  <c r="EL25" s="1"/>
  <c r="GA33"/>
  <c r="GB33"/>
  <c r="GC33" s="1"/>
  <c r="GD33" s="1"/>
  <c r="EI40"/>
  <c r="EJ40"/>
  <c r="EK40" s="1"/>
  <c r="EL40" s="1"/>
  <c r="HW28"/>
  <c r="HX28"/>
  <c r="HY28" s="1"/>
  <c r="HZ28" s="1"/>
  <c r="DL48"/>
  <c r="DM48" s="1"/>
  <c r="DN48" s="1"/>
  <c r="DK48"/>
  <c r="FS53"/>
  <c r="FT53"/>
  <c r="FU53" s="1"/>
  <c r="FV53" s="1"/>
  <c r="DK31"/>
  <c r="DL31"/>
  <c r="DM31" s="1"/>
  <c r="DN31" s="1"/>
  <c r="DL55"/>
  <c r="DM55" s="1"/>
  <c r="DN55" s="1"/>
  <c r="DK55"/>
  <c r="GB41"/>
  <c r="GC41" s="1"/>
  <c r="GD41" s="1"/>
  <c r="GA41"/>
  <c r="AX5" i="21"/>
  <c r="AX7"/>
  <c r="AX4"/>
  <c r="AX3"/>
  <c r="AX6"/>
  <c r="AO2"/>
  <c r="AH9" s="1"/>
  <c r="V20"/>
  <c r="V5"/>
  <c r="V9"/>
  <c r="V13"/>
  <c r="V17"/>
  <c r="V8"/>
  <c r="V16"/>
  <c r="V7"/>
  <c r="V11"/>
  <c r="V15"/>
  <c r="V19"/>
  <c r="V6"/>
  <c r="V10"/>
  <c r="V14"/>
  <c r="V18"/>
  <c r="V4"/>
  <c r="V12"/>
  <c r="EO18"/>
  <c r="EI18"/>
  <c r="EN18" s="1"/>
  <c r="V3"/>
  <c r="FF78"/>
  <c r="FF80"/>
  <c r="FF77"/>
  <c r="FF79"/>
  <c r="FF81"/>
  <c r="FF82"/>
  <c r="FF83"/>
  <c r="FF84"/>
  <c r="FF85"/>
  <c r="FF86"/>
  <c r="FF87"/>
  <c r="FF88"/>
  <c r="FF89"/>
  <c r="FF90"/>
  <c r="FF91"/>
  <c r="FF92"/>
  <c r="FF93"/>
  <c r="FF94"/>
  <c r="FF95"/>
  <c r="FF96"/>
  <c r="FF97"/>
  <c r="FF98"/>
  <c r="FF99"/>
  <c r="FF100"/>
  <c r="FF101"/>
  <c r="FF102"/>
  <c r="FF103"/>
  <c r="FF104"/>
  <c r="FF105"/>
  <c r="FF106"/>
  <c r="FF107"/>
  <c r="FF108"/>
  <c r="FF109"/>
  <c r="FF110"/>
  <c r="FF111"/>
  <c r="FF112"/>
  <c r="FF113"/>
  <c r="FF114"/>
  <c r="FF115"/>
  <c r="FF116"/>
  <c r="FF117"/>
  <c r="FF118"/>
  <c r="FF119"/>
  <c r="FF120"/>
  <c r="FF121"/>
  <c r="FF122"/>
  <c r="FF123"/>
  <c r="FF124"/>
  <c r="FF125"/>
  <c r="FF126"/>
  <c r="FF127"/>
  <c r="FF128"/>
  <c r="FF129"/>
  <c r="FF130"/>
  <c r="FF131"/>
  <c r="FF132"/>
  <c r="FF133"/>
  <c r="FF134"/>
  <c r="FF135"/>
  <c r="FF136"/>
  <c r="FF137"/>
  <c r="FF138"/>
  <c r="FF139"/>
  <c r="FF140"/>
  <c r="FF141"/>
  <c r="FF142"/>
  <c r="FF143"/>
  <c r="FF144"/>
  <c r="FF145"/>
  <c r="FF146"/>
  <c r="FF147"/>
  <c r="FF148"/>
  <c r="FF149"/>
  <c r="FF150"/>
  <c r="FF151"/>
  <c r="FF152"/>
  <c r="FF153"/>
  <c r="FF154"/>
  <c r="FF155"/>
  <c r="FF156"/>
  <c r="FF157"/>
  <c r="FF158"/>
  <c r="FF159"/>
  <c r="FF160"/>
  <c r="FF161"/>
  <c r="FF162"/>
  <c r="FF163"/>
  <c r="FF164"/>
  <c r="FF165"/>
  <c r="FF166"/>
  <c r="FF167"/>
  <c r="FF168"/>
  <c r="FF169"/>
  <c r="FF170"/>
  <c r="FF171"/>
  <c r="FF172"/>
  <c r="FF173"/>
  <c r="FF174"/>
  <c r="FF175"/>
  <c r="FF176"/>
  <c r="FF177"/>
  <c r="FF178"/>
  <c r="FF179"/>
  <c r="FF180"/>
  <c r="FF181"/>
  <c r="FF182"/>
  <c r="FF183"/>
  <c r="FF184"/>
  <c r="FF185"/>
  <c r="FF186"/>
  <c r="FF187"/>
  <c r="FF188"/>
  <c r="FF189"/>
  <c r="FF190"/>
  <c r="FF191"/>
  <c r="FF192"/>
  <c r="FF193"/>
  <c r="FF194"/>
  <c r="FF195"/>
  <c r="FF196"/>
  <c r="FF197"/>
  <c r="FF198"/>
  <c r="FF199"/>
  <c r="FF200"/>
  <c r="FF201"/>
  <c r="FF202"/>
  <c r="FF203"/>
  <c r="FF204"/>
  <c r="FF205"/>
  <c r="FF206"/>
  <c r="FF207"/>
  <c r="FF208"/>
  <c r="FF209"/>
  <c r="FF210"/>
  <c r="FF211"/>
  <c r="FF212"/>
  <c r="FF213"/>
  <c r="FF214"/>
  <c r="FF215"/>
  <c r="FF216"/>
  <c r="FF217"/>
  <c r="FF218"/>
  <c r="FF219"/>
  <c r="FF220"/>
  <c r="FF221"/>
  <c r="FF222"/>
  <c r="FF223"/>
  <c r="FF224"/>
  <c r="FF225"/>
  <c r="FF226"/>
  <c r="FF227"/>
  <c r="FF228"/>
  <c r="FF229"/>
  <c r="FF230"/>
  <c r="FF231"/>
  <c r="FF232"/>
  <c r="FF233"/>
  <c r="FF234"/>
  <c r="FF235"/>
  <c r="FF236"/>
  <c r="FF237"/>
  <c r="FF238"/>
  <c r="FF239"/>
  <c r="FF240"/>
  <c r="FF241"/>
  <c r="FF242"/>
  <c r="FF243"/>
  <c r="FF244"/>
  <c r="FF245"/>
  <c r="FF246"/>
  <c r="FF247"/>
  <c r="FF248"/>
  <c r="FF249"/>
  <c r="FF250"/>
  <c r="FF251"/>
  <c r="FF252"/>
  <c r="FF253"/>
  <c r="FF254"/>
  <c r="FF255"/>
  <c r="FF256"/>
  <c r="FF257"/>
  <c r="FF258"/>
  <c r="FF259"/>
  <c r="FF260"/>
  <c r="FF261"/>
  <c r="FF262"/>
  <c r="FF263"/>
  <c r="FF264"/>
  <c r="FF265"/>
  <c r="FF266"/>
  <c r="FF267"/>
  <c r="FF268"/>
  <c r="FF269"/>
  <c r="FF270"/>
  <c r="FF271"/>
  <c r="FF272"/>
  <c r="FF273"/>
  <c r="FF274"/>
  <c r="FF275"/>
  <c r="FF276"/>
  <c r="FF277"/>
  <c r="FF278"/>
  <c r="FF279"/>
  <c r="FF280"/>
  <c r="FF281"/>
  <c r="FF282"/>
  <c r="FF283"/>
  <c r="FF284"/>
  <c r="FF285"/>
  <c r="FF286"/>
  <c r="FF287"/>
  <c r="FF288"/>
  <c r="FF289"/>
  <c r="FF290"/>
  <c r="FF291"/>
  <c r="FF292"/>
  <c r="FF293"/>
  <c r="FF294"/>
  <c r="FF295"/>
  <c r="FF296"/>
  <c r="FF297"/>
  <c r="FF298"/>
  <c r="FF299"/>
  <c r="FF300"/>
  <c r="FF301"/>
  <c r="FF61"/>
  <c r="FF69"/>
  <c r="FF73"/>
  <c r="FF62"/>
  <c r="FF70"/>
  <c r="FF74"/>
  <c r="FF63"/>
  <c r="FF71"/>
  <c r="FF68"/>
  <c r="FF72"/>
  <c r="FF76"/>
  <c r="FF75"/>
  <c r="EZ86"/>
  <c r="FE86" s="1"/>
  <c r="EO20"/>
  <c r="EO21"/>
  <c r="EO16"/>
  <c r="EO19"/>
  <c r="EO17"/>
  <c r="FF55"/>
  <c r="FF57"/>
  <c r="FF59"/>
  <c r="FF56"/>
  <c r="FF58"/>
  <c r="FF60"/>
  <c r="EZ301"/>
  <c r="EZ109"/>
  <c r="FE109" s="1"/>
  <c r="EZ57"/>
  <c r="FE57" s="1"/>
  <c r="EZ62"/>
  <c r="FE62" s="1"/>
  <c r="EZ70"/>
  <c r="FE70" s="1"/>
  <c r="EZ82"/>
  <c r="FE82" s="1"/>
  <c r="EZ87"/>
  <c r="FE87" s="1"/>
  <c r="EZ103"/>
  <c r="FE103" s="1"/>
  <c r="EZ75"/>
  <c r="FE75" s="1"/>
  <c r="EZ79"/>
  <c r="FE79" s="1"/>
  <c r="EZ83"/>
  <c r="FE83" s="1"/>
  <c r="EZ96"/>
  <c r="FE96" s="1"/>
  <c r="EZ100"/>
  <c r="FE100" s="1"/>
  <c r="EZ56"/>
  <c r="FE56" s="1"/>
  <c r="EZ60"/>
  <c r="FE60" s="1"/>
  <c r="EZ64"/>
  <c r="FE64" s="1"/>
  <c r="EZ68"/>
  <c r="FE68" s="1"/>
  <c r="EZ72"/>
  <c r="FE72" s="1"/>
  <c r="EZ76"/>
  <c r="FE76" s="1"/>
  <c r="EZ80"/>
  <c r="FE80" s="1"/>
  <c r="EZ84"/>
  <c r="FE84" s="1"/>
  <c r="EZ89"/>
  <c r="FE89" s="1"/>
  <c r="EZ93"/>
  <c r="FE93" s="1"/>
  <c r="EZ97"/>
  <c r="FE97" s="1"/>
  <c r="EZ101"/>
  <c r="FE101" s="1"/>
  <c r="EZ105"/>
  <c r="FE105" s="1"/>
  <c r="EZ61"/>
  <c r="FE61" s="1"/>
  <c r="EZ65"/>
  <c r="FE65" s="1"/>
  <c r="EZ69"/>
  <c r="FE69" s="1"/>
  <c r="EZ73"/>
  <c r="FE73" s="1"/>
  <c r="EZ77"/>
  <c r="FE77" s="1"/>
  <c r="EZ81"/>
  <c r="FE81" s="1"/>
  <c r="EZ85"/>
  <c r="FE85" s="1"/>
  <c r="EZ90"/>
  <c r="FE90" s="1"/>
  <c r="EZ94"/>
  <c r="FE94" s="1"/>
  <c r="EZ98"/>
  <c r="FE98" s="1"/>
  <c r="EZ102"/>
  <c r="FE102" s="1"/>
  <c r="EZ106"/>
  <c r="FE106" s="1"/>
  <c r="EZ58"/>
  <c r="FE58" s="1"/>
  <c r="EZ66"/>
  <c r="FE66" s="1"/>
  <c r="EZ74"/>
  <c r="FE74" s="1"/>
  <c r="EZ78"/>
  <c r="FE78" s="1"/>
  <c r="EZ91"/>
  <c r="FE91" s="1"/>
  <c r="EZ95"/>
  <c r="FE95" s="1"/>
  <c r="EZ99"/>
  <c r="FE99" s="1"/>
  <c r="EZ107"/>
  <c r="FE107" s="1"/>
  <c r="EZ55"/>
  <c r="FE55" s="1"/>
  <c r="EZ59"/>
  <c r="FE59" s="1"/>
  <c r="EZ63"/>
  <c r="FE63" s="1"/>
  <c r="EZ67"/>
  <c r="FE67" s="1"/>
  <c r="EZ71"/>
  <c r="FE71" s="1"/>
  <c r="EZ88"/>
  <c r="FE88" s="1"/>
  <c r="EZ92"/>
  <c r="FE92" s="1"/>
  <c r="EZ104"/>
  <c r="FE104" s="1"/>
  <c r="EZ108"/>
  <c r="FE108" s="1"/>
  <c r="EI13"/>
  <c r="EN13" s="1"/>
  <c r="EO13"/>
  <c r="EO14"/>
  <c r="EI14"/>
  <c r="EN14" s="1"/>
  <c r="EI15"/>
  <c r="EN15" s="1"/>
  <c r="EO15"/>
  <c r="EI16"/>
  <c r="EN16" s="1"/>
  <c r="EI17"/>
  <c r="EN17" s="1"/>
  <c r="EI19"/>
  <c r="EN19" s="1"/>
  <c r="EI20"/>
  <c r="EN20" s="1"/>
  <c r="EI21"/>
  <c r="EN21" s="1"/>
  <c r="EI22"/>
  <c r="EN22" s="1"/>
  <c r="EO22"/>
  <c r="EI23"/>
  <c r="EN23" s="1"/>
  <c r="EO23"/>
  <c r="EI24"/>
  <c r="EN24" s="1"/>
  <c r="EO24"/>
  <c r="EI25"/>
  <c r="EN25" s="1"/>
  <c r="EO25"/>
  <c r="EI31"/>
  <c r="EO31"/>
  <c r="AE186" i="10"/>
  <c r="CI2"/>
  <c r="CK2"/>
  <c r="CL2" s="1"/>
  <c r="CN2" s="1"/>
  <c r="EZ168" i="21"/>
  <c r="FE168" s="1"/>
  <c r="EZ167"/>
  <c r="FE167" s="1"/>
  <c r="EI41"/>
  <c r="Q118" i="10"/>
  <c r="BW118" s="1"/>
  <c r="BX118" s="1"/>
  <c r="BY118" s="1"/>
  <c r="BZ118" s="1"/>
  <c r="AD118"/>
  <c r="CP28" i="21"/>
  <c r="CR28" s="1"/>
  <c r="CW28"/>
  <c r="CZ28" s="1"/>
  <c r="Q8" i="10"/>
  <c r="BW8" s="1"/>
  <c r="BX8" s="1"/>
  <c r="BY8" s="1"/>
  <c r="BZ8" s="1"/>
  <c r="GQ113" l="1"/>
  <c r="GR113"/>
  <c r="GS113" s="1"/>
  <c r="GT113" s="1"/>
  <c r="DK122"/>
  <c r="DL122"/>
  <c r="DM122" s="1"/>
  <c r="DN122" s="1"/>
  <c r="DK136"/>
  <c r="DL136"/>
  <c r="DM136" s="1"/>
  <c r="DN136" s="1"/>
  <c r="CB118"/>
  <c r="CC118" s="1"/>
  <c r="CD118" s="1"/>
  <c r="CA118"/>
  <c r="G376" i="21"/>
  <c r="K376"/>
  <c r="B378"/>
  <c r="F377" s="1"/>
  <c r="F376"/>
  <c r="E376"/>
  <c r="D376"/>
  <c r="C376"/>
  <c r="EN40" i="10"/>
  <c r="EO40" s="1"/>
  <c r="EP40" s="1"/>
  <c r="EM40"/>
  <c r="DO31"/>
  <c r="DP31"/>
  <c r="DQ31" s="1"/>
  <c r="DR31" s="1"/>
  <c r="IB28"/>
  <c r="IA28"/>
  <c r="CB8"/>
  <c r="CC8" s="1"/>
  <c r="CD8" s="1"/>
  <c r="CA8"/>
  <c r="DO48"/>
  <c r="DP48"/>
  <c r="DQ48" s="1"/>
  <c r="DR48" s="1"/>
  <c r="EM25"/>
  <c r="EN25"/>
  <c r="EO25" s="1"/>
  <c r="EP25" s="1"/>
  <c r="GF41"/>
  <c r="GG41" s="1"/>
  <c r="GH41" s="1"/>
  <c r="GE41"/>
  <c r="FW53"/>
  <c r="FX53"/>
  <c r="FY53" s="1"/>
  <c r="FZ53" s="1"/>
  <c r="GF33"/>
  <c r="GG33" s="1"/>
  <c r="GH33" s="1"/>
  <c r="GE33"/>
  <c r="DO55"/>
  <c r="DP55"/>
  <c r="DQ55" s="1"/>
  <c r="DR55" s="1"/>
  <c r="DD14"/>
  <c r="DE14" s="1"/>
  <c r="DF14" s="1"/>
  <c r="DC14"/>
  <c r="FE301" i="21"/>
  <c r="AQ9"/>
  <c r="CO2" i="10"/>
  <c r="CP2" s="1"/>
  <c r="CQ2" s="1"/>
  <c r="EN31" i="21"/>
  <c r="CM2" i="10"/>
  <c r="V118"/>
  <c r="S118"/>
  <c r="CV28" i="21"/>
  <c r="CX28"/>
  <c r="CY28" s="1"/>
  <c r="AD45" i="10"/>
  <c r="GV113" l="1"/>
  <c r="GW113" s="1"/>
  <c r="GX113" s="1"/>
  <c r="GU113"/>
  <c r="DO136"/>
  <c r="DP136"/>
  <c r="DQ136" s="1"/>
  <c r="DR136" s="1"/>
  <c r="CE118"/>
  <c r="CF118"/>
  <c r="CG118" s="1"/>
  <c r="CH118" s="1"/>
  <c r="DO122"/>
  <c r="DP122"/>
  <c r="DQ122" s="1"/>
  <c r="DR122" s="1"/>
  <c r="K377" i="21"/>
  <c r="G377"/>
  <c r="D377"/>
  <c r="B379"/>
  <c r="L378" s="1"/>
  <c r="L377"/>
  <c r="E377"/>
  <c r="C377"/>
  <c r="ER25" i="10"/>
  <c r="ES25" s="1"/>
  <c r="ET25" s="1"/>
  <c r="EQ25"/>
  <c r="GI33"/>
  <c r="GJ33"/>
  <c r="GK33" s="1"/>
  <c r="GL33" s="1"/>
  <c r="GJ41"/>
  <c r="GK41" s="1"/>
  <c r="GL41" s="1"/>
  <c r="GI41"/>
  <c r="ER40"/>
  <c r="ES40" s="1"/>
  <c r="ET40" s="1"/>
  <c r="EQ40"/>
  <c r="DS55"/>
  <c r="DT55"/>
  <c r="DU55" s="1"/>
  <c r="DV55" s="1"/>
  <c r="GB53"/>
  <c r="GC53" s="1"/>
  <c r="GD53" s="1"/>
  <c r="GA53"/>
  <c r="DS31"/>
  <c r="DT31"/>
  <c r="DU31" s="1"/>
  <c r="DV31" s="1"/>
  <c r="DH14"/>
  <c r="DI14" s="1"/>
  <c r="DJ14" s="1"/>
  <c r="DG14"/>
  <c r="DS48"/>
  <c r="DT48"/>
  <c r="DU48" s="1"/>
  <c r="DV48" s="1"/>
  <c r="CE8"/>
  <c r="CF8"/>
  <c r="CG8" s="1"/>
  <c r="CH8" s="1"/>
  <c r="CR2"/>
  <c r="L118"/>
  <c r="M118" s="1"/>
  <c r="L45"/>
  <c r="M45" s="1"/>
  <c r="R118"/>
  <c r="W118"/>
  <c r="AE118"/>
  <c r="AE45"/>
  <c r="T118"/>
  <c r="Y118" s="1"/>
  <c r="V45"/>
  <c r="S45"/>
  <c r="W45" s="1"/>
  <c r="CI118" l="1"/>
  <c r="CJ118"/>
  <c r="CK118" s="1"/>
  <c r="CL118" s="1"/>
  <c r="DS122"/>
  <c r="DT122"/>
  <c r="DU122" s="1"/>
  <c r="DV122" s="1"/>
  <c r="GZ113"/>
  <c r="HA113" s="1"/>
  <c r="HB113" s="1"/>
  <c r="GY113"/>
  <c r="DT136"/>
  <c r="DU136" s="1"/>
  <c r="DV136" s="1"/>
  <c r="DS136"/>
  <c r="E378" i="21"/>
  <c r="G378"/>
  <c r="K378"/>
  <c r="B380"/>
  <c r="G379" s="1"/>
  <c r="C378"/>
  <c r="D378"/>
  <c r="F378"/>
  <c r="DW48" i="10"/>
  <c r="DX48"/>
  <c r="DY48" s="1"/>
  <c r="DZ48" s="1"/>
  <c r="DW31"/>
  <c r="DX31"/>
  <c r="DY31" s="1"/>
  <c r="DZ31" s="1"/>
  <c r="GM33"/>
  <c r="GN33"/>
  <c r="GO33" s="1"/>
  <c r="GP33" s="1"/>
  <c r="CJ8"/>
  <c r="CK8" s="1"/>
  <c r="CL8" s="1"/>
  <c r="CI8"/>
  <c r="DW55"/>
  <c r="DX55"/>
  <c r="DY55" s="1"/>
  <c r="DZ55" s="1"/>
  <c r="GN41"/>
  <c r="GO41" s="1"/>
  <c r="GP41" s="1"/>
  <c r="GM41"/>
  <c r="EU40"/>
  <c r="EV40"/>
  <c r="EW40" s="1"/>
  <c r="EX40" s="1"/>
  <c r="DK14"/>
  <c r="DL14"/>
  <c r="DM14" s="1"/>
  <c r="DN14" s="1"/>
  <c r="GF53"/>
  <c r="GG53" s="1"/>
  <c r="GH53" s="1"/>
  <c r="GE53"/>
  <c r="EU25"/>
  <c r="EV25"/>
  <c r="EW25" s="1"/>
  <c r="EX25" s="1"/>
  <c r="Z118"/>
  <c r="AA118" s="1"/>
  <c r="AB118" s="1"/>
  <c r="CS2"/>
  <c r="CT2" s="1"/>
  <c r="CU2" s="1"/>
  <c r="T45"/>
  <c r="R45"/>
  <c r="HC113" l="1"/>
  <c r="HD113"/>
  <c r="HE113" s="1"/>
  <c r="HF113" s="1"/>
  <c r="DX122"/>
  <c r="DY122" s="1"/>
  <c r="DZ122" s="1"/>
  <c r="DW122"/>
  <c r="CM118"/>
  <c r="CN118"/>
  <c r="CO118" s="1"/>
  <c r="CP118" s="1"/>
  <c r="DW136"/>
  <c r="DX136"/>
  <c r="DY136" s="1"/>
  <c r="DZ136" s="1"/>
  <c r="C379" i="21"/>
  <c r="K379"/>
  <c r="B381"/>
  <c r="E380" s="1"/>
  <c r="E379"/>
  <c r="F379"/>
  <c r="L379"/>
  <c r="D379"/>
  <c r="EA48" i="10"/>
  <c r="EB48"/>
  <c r="EC48" s="1"/>
  <c r="ED48" s="1"/>
  <c r="GR41"/>
  <c r="GS41" s="1"/>
  <c r="GT41" s="1"/>
  <c r="GQ41"/>
  <c r="CM8"/>
  <c r="CN8"/>
  <c r="CO8" s="1"/>
  <c r="CP8" s="1"/>
  <c r="EZ25"/>
  <c r="FA25" s="1"/>
  <c r="FB25" s="1"/>
  <c r="EY25"/>
  <c r="GI53"/>
  <c r="GJ53"/>
  <c r="GK53" s="1"/>
  <c r="GL53" s="1"/>
  <c r="EA31"/>
  <c r="EB31"/>
  <c r="EC31" s="1"/>
  <c r="ED31" s="1"/>
  <c r="EZ40"/>
  <c r="FA40" s="1"/>
  <c r="FB40" s="1"/>
  <c r="EY40"/>
  <c r="EA55"/>
  <c r="EB55"/>
  <c r="EC55" s="1"/>
  <c r="ED55" s="1"/>
  <c r="GQ33"/>
  <c r="GR33"/>
  <c r="GS33" s="1"/>
  <c r="GT33" s="1"/>
  <c r="DO14"/>
  <c r="DP14"/>
  <c r="DQ14" s="1"/>
  <c r="DR14" s="1"/>
  <c r="CV2"/>
  <c r="CW2" s="1"/>
  <c r="CX2" s="1"/>
  <c r="CY2" s="1"/>
  <c r="HG113" l="1"/>
  <c r="HH113"/>
  <c r="HI113" s="1"/>
  <c r="HJ113" s="1"/>
  <c r="EA122"/>
  <c r="EB122"/>
  <c r="EC122" s="1"/>
  <c r="ED122" s="1"/>
  <c r="CQ118"/>
  <c r="CR118"/>
  <c r="CS118" s="1"/>
  <c r="CT118" s="1"/>
  <c r="EA136"/>
  <c r="EB136"/>
  <c r="EC136" s="1"/>
  <c r="ED136" s="1"/>
  <c r="B382" i="21"/>
  <c r="K381" s="1"/>
  <c r="L380"/>
  <c r="D380"/>
  <c r="F380"/>
  <c r="G380"/>
  <c r="C380"/>
  <c r="K380"/>
  <c r="EE55" i="10"/>
  <c r="EF55"/>
  <c r="EG55" s="1"/>
  <c r="EH55" s="1"/>
  <c r="EF31"/>
  <c r="EG31" s="1"/>
  <c r="EH31" s="1"/>
  <c r="EE31"/>
  <c r="EE48"/>
  <c r="EF48"/>
  <c r="EG48" s="1"/>
  <c r="EH48" s="1"/>
  <c r="FD25"/>
  <c r="FE25" s="1"/>
  <c r="FF25" s="1"/>
  <c r="FC25"/>
  <c r="GU41"/>
  <c r="GV41"/>
  <c r="GW41" s="1"/>
  <c r="GX41" s="1"/>
  <c r="GU33"/>
  <c r="GV33"/>
  <c r="GW33" s="1"/>
  <c r="GX33" s="1"/>
  <c r="GN53"/>
  <c r="GO53" s="1"/>
  <c r="GP53" s="1"/>
  <c r="GM53"/>
  <c r="CQ8"/>
  <c r="CR8"/>
  <c r="CS8" s="1"/>
  <c r="CT8" s="1"/>
  <c r="DT14"/>
  <c r="DU14" s="1"/>
  <c r="DV14" s="1"/>
  <c r="DS14"/>
  <c r="FC40"/>
  <c r="FD40"/>
  <c r="FE40" s="1"/>
  <c r="FF40" s="1"/>
  <c r="CZ2"/>
  <c r="A4"/>
  <c r="U2" i="54" l="1"/>
  <c r="V2" s="1"/>
  <c r="Y2"/>
  <c r="Z2" s="1"/>
  <c r="AV350" i="10"/>
  <c r="AV363" s="1"/>
  <c r="Y3" i="54"/>
  <c r="Z3" s="1"/>
  <c r="U3"/>
  <c r="V3" s="1"/>
  <c r="U4"/>
  <c r="V4" s="1"/>
  <c r="Y4"/>
  <c r="Z4" s="1"/>
  <c r="U6"/>
  <c r="V6" s="1"/>
  <c r="Y6"/>
  <c r="Z6" s="1"/>
  <c r="U7"/>
  <c r="V7" s="1"/>
  <c r="Y7"/>
  <c r="Z7" s="1"/>
  <c r="U8"/>
  <c r="V8" s="1"/>
  <c r="Y8"/>
  <c r="Z8" s="1"/>
  <c r="U9"/>
  <c r="V9" s="1"/>
  <c r="Y9"/>
  <c r="Z9" s="1"/>
  <c r="U10"/>
  <c r="V10" s="1"/>
  <c r="Y10"/>
  <c r="Z10" s="1"/>
  <c r="U11"/>
  <c r="V11" s="1"/>
  <c r="Y11"/>
  <c r="Z11" s="1"/>
  <c r="U12"/>
  <c r="V12" s="1"/>
  <c r="Y12"/>
  <c r="Z12" s="1"/>
  <c r="U13"/>
  <c r="V13" s="1"/>
  <c r="Y13"/>
  <c r="Z13" s="1"/>
  <c r="U14"/>
  <c r="V14" s="1"/>
  <c r="Y14"/>
  <c r="Z14" s="1"/>
  <c r="U15"/>
  <c r="V15" s="1"/>
  <c r="Y15"/>
  <c r="Z15" s="1"/>
  <c r="U16"/>
  <c r="V16" s="1"/>
  <c r="Y16"/>
  <c r="Z16" s="1"/>
  <c r="U17"/>
  <c r="V17" s="1"/>
  <c r="Y17"/>
  <c r="Z17" s="1"/>
  <c r="U18"/>
  <c r="V18" s="1"/>
  <c r="Y18"/>
  <c r="Z18" s="1"/>
  <c r="U19"/>
  <c r="V19" s="1"/>
  <c r="Y19"/>
  <c r="Z19" s="1"/>
  <c r="U20"/>
  <c r="V20" s="1"/>
  <c r="Y20"/>
  <c r="Z20" s="1"/>
  <c r="U21"/>
  <c r="V21" s="1"/>
  <c r="Y21"/>
  <c r="Z21" s="1"/>
  <c r="U22"/>
  <c r="V22" s="1"/>
  <c r="Y22"/>
  <c r="Z22" s="1"/>
  <c r="U23"/>
  <c r="V23" s="1"/>
  <c r="Y23"/>
  <c r="Z23" s="1"/>
  <c r="U24"/>
  <c r="V24" s="1"/>
  <c r="Y24"/>
  <c r="Z24" s="1"/>
  <c r="U25"/>
  <c r="V25" s="1"/>
  <c r="Y25"/>
  <c r="Z25" s="1"/>
  <c r="U26"/>
  <c r="V26" s="1"/>
  <c r="Y26"/>
  <c r="Z26" s="1"/>
  <c r="U27"/>
  <c r="V27" s="1"/>
  <c r="Y27"/>
  <c r="Z27" s="1"/>
  <c r="U28"/>
  <c r="V28" s="1"/>
  <c r="Y28"/>
  <c r="Z28" s="1"/>
  <c r="U29"/>
  <c r="V29" s="1"/>
  <c r="Y29"/>
  <c r="Z29" s="1"/>
  <c r="U30"/>
  <c r="V30" s="1"/>
  <c r="Y30"/>
  <c r="Z30" s="1"/>
  <c r="U31"/>
  <c r="V31" s="1"/>
  <c r="Y31"/>
  <c r="Z31" s="1"/>
  <c r="U32"/>
  <c r="V32" s="1"/>
  <c r="Y32"/>
  <c r="Z32" s="1"/>
  <c r="U33"/>
  <c r="V33" s="1"/>
  <c r="Y33"/>
  <c r="Z33" s="1"/>
  <c r="U34"/>
  <c r="V34" s="1"/>
  <c r="Y34"/>
  <c r="Z34" s="1"/>
  <c r="U35"/>
  <c r="V35" s="1"/>
  <c r="Y35"/>
  <c r="Z35" s="1"/>
  <c r="U36"/>
  <c r="V36" s="1"/>
  <c r="Y36"/>
  <c r="Z36" s="1"/>
  <c r="U37"/>
  <c r="V37" s="1"/>
  <c r="Y37"/>
  <c r="Z37" s="1"/>
  <c r="U38"/>
  <c r="V38" s="1"/>
  <c r="Y38"/>
  <c r="Z38" s="1"/>
  <c r="U39"/>
  <c r="V39" s="1"/>
  <c r="Y39"/>
  <c r="Z39" s="1"/>
  <c r="U40"/>
  <c r="V40" s="1"/>
  <c r="Y40"/>
  <c r="Z40" s="1"/>
  <c r="U41"/>
  <c r="V41" s="1"/>
  <c r="Y41"/>
  <c r="Z41" s="1"/>
  <c r="U42"/>
  <c r="V42" s="1"/>
  <c r="Y42"/>
  <c r="Z42" s="1"/>
  <c r="U43"/>
  <c r="V43" s="1"/>
  <c r="Y43"/>
  <c r="Z43" s="1"/>
  <c r="U44"/>
  <c r="V44" s="1"/>
  <c r="Y44"/>
  <c r="Z44" s="1"/>
  <c r="U45"/>
  <c r="V45" s="1"/>
  <c r="Y45"/>
  <c r="Z45" s="1"/>
  <c r="U46"/>
  <c r="V46" s="1"/>
  <c r="Y46"/>
  <c r="Z46" s="1"/>
  <c r="U47"/>
  <c r="V47" s="1"/>
  <c r="Y47"/>
  <c r="Z47" s="1"/>
  <c r="Y48"/>
  <c r="Z48" s="1"/>
  <c r="U49"/>
  <c r="V49" s="1"/>
  <c r="Y49"/>
  <c r="Z49" s="1"/>
  <c r="U50"/>
  <c r="V50" s="1"/>
  <c r="Y50"/>
  <c r="Z50" s="1"/>
  <c r="U51"/>
  <c r="V51" s="1"/>
  <c r="Y51"/>
  <c r="Z51" s="1"/>
  <c r="U52"/>
  <c r="V52" s="1"/>
  <c r="Y52"/>
  <c r="Z52" s="1"/>
  <c r="U53"/>
  <c r="V53" s="1"/>
  <c r="Y53"/>
  <c r="Z53" s="1"/>
  <c r="U54"/>
  <c r="V54" s="1"/>
  <c r="Y54"/>
  <c r="Z54" s="1"/>
  <c r="U55"/>
  <c r="V55" s="1"/>
  <c r="Y55"/>
  <c r="Z55" s="1"/>
  <c r="U56"/>
  <c r="V56" s="1"/>
  <c r="Y56"/>
  <c r="Z56" s="1"/>
  <c r="U57"/>
  <c r="V57" s="1"/>
  <c r="Y57"/>
  <c r="Z57" s="1"/>
  <c r="U58"/>
  <c r="V58" s="1"/>
  <c r="Y58"/>
  <c r="Z58" s="1"/>
  <c r="U59"/>
  <c r="V59" s="1"/>
  <c r="Y59"/>
  <c r="Z59" s="1"/>
  <c r="U60"/>
  <c r="V60" s="1"/>
  <c r="Y60"/>
  <c r="Z60" s="1"/>
  <c r="U61"/>
  <c r="V61" s="1"/>
  <c r="Y61"/>
  <c r="Z61" s="1"/>
  <c r="U62"/>
  <c r="V62" s="1"/>
  <c r="Y62"/>
  <c r="Z62" s="1"/>
  <c r="U63"/>
  <c r="V63" s="1"/>
  <c r="Y63"/>
  <c r="Z63" s="1"/>
  <c r="U64"/>
  <c r="V64" s="1"/>
  <c r="Y64"/>
  <c r="Z64" s="1"/>
  <c r="U65"/>
  <c r="V65" s="1"/>
  <c r="Y65"/>
  <c r="Z65" s="1"/>
  <c r="U66"/>
  <c r="V66" s="1"/>
  <c r="Y66"/>
  <c r="Z66" s="1"/>
  <c r="U67"/>
  <c r="V67" s="1"/>
  <c r="Y67"/>
  <c r="Z67" s="1"/>
  <c r="U68"/>
  <c r="V68" s="1"/>
  <c r="Y68"/>
  <c r="Z68" s="1"/>
  <c r="U69"/>
  <c r="V69" s="1"/>
  <c r="Y69"/>
  <c r="Z69" s="1"/>
  <c r="U70"/>
  <c r="V70" s="1"/>
  <c r="Y70"/>
  <c r="Z70" s="1"/>
  <c r="U71"/>
  <c r="V71" s="1"/>
  <c r="Y71"/>
  <c r="Z71" s="1"/>
  <c r="U72"/>
  <c r="V72" s="1"/>
  <c r="Y72"/>
  <c r="Z72" s="1"/>
  <c r="U73"/>
  <c r="V73" s="1"/>
  <c r="Y73"/>
  <c r="Z73" s="1"/>
  <c r="U74"/>
  <c r="V74" s="1"/>
  <c r="Y74"/>
  <c r="Z74" s="1"/>
  <c r="U75"/>
  <c r="V75" s="1"/>
  <c r="Y75"/>
  <c r="Z75" s="1"/>
  <c r="U76"/>
  <c r="V76" s="1"/>
  <c r="Y76"/>
  <c r="Z76" s="1"/>
  <c r="U77"/>
  <c r="V77" s="1"/>
  <c r="Y77"/>
  <c r="Z77" s="1"/>
  <c r="U78"/>
  <c r="V78" s="1"/>
  <c r="Y78"/>
  <c r="Z78" s="1"/>
  <c r="U79"/>
  <c r="V79" s="1"/>
  <c r="Y79"/>
  <c r="Z79" s="1"/>
  <c r="U80"/>
  <c r="V80" s="1"/>
  <c r="Y80"/>
  <c r="Z80" s="1"/>
  <c r="U81"/>
  <c r="V81" s="1"/>
  <c r="Y81"/>
  <c r="Z81" s="1"/>
  <c r="U82"/>
  <c r="V82" s="1"/>
  <c r="Y82"/>
  <c r="Z82" s="1"/>
  <c r="U83"/>
  <c r="V83" s="1"/>
  <c r="Y83"/>
  <c r="Z83" s="1"/>
  <c r="U84"/>
  <c r="V84" s="1"/>
  <c r="Y84"/>
  <c r="Z84" s="1"/>
  <c r="U85"/>
  <c r="V85" s="1"/>
  <c r="Y85"/>
  <c r="Z85" s="1"/>
  <c r="U86"/>
  <c r="V86" s="1"/>
  <c r="Y86"/>
  <c r="Z86" s="1"/>
  <c r="U87"/>
  <c r="V87" s="1"/>
  <c r="Y87"/>
  <c r="Z87" s="1"/>
  <c r="U88"/>
  <c r="V88" s="1"/>
  <c r="Y88"/>
  <c r="Z88" s="1"/>
  <c r="U89"/>
  <c r="V89" s="1"/>
  <c r="Y89"/>
  <c r="Z89" s="1"/>
  <c r="U90"/>
  <c r="V90" s="1"/>
  <c r="Y90"/>
  <c r="Z90" s="1"/>
  <c r="U48"/>
  <c r="V48" s="1"/>
  <c r="U91"/>
  <c r="V91" s="1"/>
  <c r="Y91"/>
  <c r="Z91" s="1"/>
  <c r="U92"/>
  <c r="V92" s="1"/>
  <c r="Y92"/>
  <c r="Z92" s="1"/>
  <c r="U93"/>
  <c r="V93" s="1"/>
  <c r="Y93"/>
  <c r="Z93" s="1"/>
  <c r="U94"/>
  <c r="V94" s="1"/>
  <c r="Y94"/>
  <c r="Z94" s="1"/>
  <c r="U95"/>
  <c r="V95" s="1"/>
  <c r="Y95"/>
  <c r="Z95" s="1"/>
  <c r="H7" s="1"/>
  <c r="U96"/>
  <c r="V96" s="1"/>
  <c r="Y96"/>
  <c r="Z96" s="1"/>
  <c r="U97"/>
  <c r="V97" s="1"/>
  <c r="Y97"/>
  <c r="Z97" s="1"/>
  <c r="U98"/>
  <c r="V98" s="1"/>
  <c r="Y98"/>
  <c r="Z98" s="1"/>
  <c r="U99"/>
  <c r="V99" s="1"/>
  <c r="Y99"/>
  <c r="Z99" s="1"/>
  <c r="U100"/>
  <c r="V100" s="1"/>
  <c r="Y100"/>
  <c r="Z100" s="1"/>
  <c r="U101"/>
  <c r="V101" s="1"/>
  <c r="Y101"/>
  <c r="Z101" s="1"/>
  <c r="U102"/>
  <c r="V102" s="1"/>
  <c r="Y102"/>
  <c r="Z102" s="1"/>
  <c r="Y5"/>
  <c r="Z5" s="1"/>
  <c r="U5"/>
  <c r="V5" s="1"/>
  <c r="EE122" i="10"/>
  <c r="EF122"/>
  <c r="EG122" s="1"/>
  <c r="EH122" s="1"/>
  <c r="CU118"/>
  <c r="CV118"/>
  <c r="CW118" s="1"/>
  <c r="CX118" s="1"/>
  <c r="HL113"/>
  <c r="HM113" s="1"/>
  <c r="HN113" s="1"/>
  <c r="HK113"/>
  <c r="EE136"/>
  <c r="EF136"/>
  <c r="EG136" s="1"/>
  <c r="EH136" s="1"/>
  <c r="D381" i="21"/>
  <c r="B383"/>
  <c r="E382" s="1"/>
  <c r="C381"/>
  <c r="L381"/>
  <c r="G381"/>
  <c r="E381"/>
  <c r="F381"/>
  <c r="GQ53" i="10"/>
  <c r="GR53"/>
  <c r="GS53" s="1"/>
  <c r="GT53" s="1"/>
  <c r="GZ41"/>
  <c r="HA41" s="1"/>
  <c r="HB41" s="1"/>
  <c r="GY41"/>
  <c r="EI48"/>
  <c r="EJ48"/>
  <c r="EK48" s="1"/>
  <c r="EL48" s="1"/>
  <c r="EI55"/>
  <c r="EJ55"/>
  <c r="EK55" s="1"/>
  <c r="EL55" s="1"/>
  <c r="CV8"/>
  <c r="CW8" s="1"/>
  <c r="CX8" s="1"/>
  <c r="CU8"/>
  <c r="GY33"/>
  <c r="GZ33"/>
  <c r="HA33" s="1"/>
  <c r="HB33" s="1"/>
  <c r="FG40"/>
  <c r="FH40"/>
  <c r="FI40" s="1"/>
  <c r="FJ40" s="1"/>
  <c r="DX14"/>
  <c r="DY14" s="1"/>
  <c r="DZ14" s="1"/>
  <c r="DW14"/>
  <c r="FH25"/>
  <c r="FI25" s="1"/>
  <c r="FJ25" s="1"/>
  <c r="FG25"/>
  <c r="EJ31"/>
  <c r="EK31" s="1"/>
  <c r="EL31" s="1"/>
  <c r="EI31"/>
  <c r="BJ2"/>
  <c r="BJ3" s="1"/>
  <c r="BJ4" s="1"/>
  <c r="BJ5" s="1"/>
  <c r="BJ6" s="1"/>
  <c r="BJ7" s="1"/>
  <c r="BJ8" s="1"/>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J40" s="1"/>
  <c r="BJ41" s="1"/>
  <c r="BJ42" s="1"/>
  <c r="BI2"/>
  <c r="AV308"/>
  <c r="H5" i="54"/>
  <c r="AV225" i="10"/>
  <c r="AT224" s="1"/>
  <c r="DA2"/>
  <c r="DB2" s="1"/>
  <c r="DC2" s="1"/>
  <c r="AV296"/>
  <c r="AV298" s="1"/>
  <c r="AV181"/>
  <c r="AX94"/>
  <c r="AV288"/>
  <c r="AV290" s="1"/>
  <c r="AV291" s="1"/>
  <c r="AV266"/>
  <c r="GD51" i="21"/>
  <c r="GD52" s="1"/>
  <c r="AV390" i="10"/>
  <c r="AV391" s="1"/>
  <c r="A5"/>
  <c r="P224"/>
  <c r="BH2"/>
  <c r="BG2" s="1"/>
  <c r="AV145"/>
  <c r="AV274"/>
  <c r="AV276" s="1"/>
  <c r="AV258"/>
  <c r="AT257" s="1"/>
  <c r="AV232"/>
  <c r="AT231" s="1"/>
  <c r="AV250"/>
  <c r="AV252" s="1"/>
  <c r="AV217"/>
  <c r="AT216" s="1"/>
  <c r="AV240"/>
  <c r="BB112"/>
  <c r="AV353" l="1"/>
  <c r="AV354" s="1"/>
  <c r="AV355" s="1"/>
  <c r="AV364"/>
  <c r="AT349"/>
  <c r="AV352"/>
  <c r="AV369"/>
  <c r="AV368"/>
  <c r="AV310"/>
  <c r="AV322"/>
  <c r="BC112"/>
  <c r="GF48" i="21"/>
  <c r="GF51" s="1"/>
  <c r="GF49"/>
  <c r="CY118" i="10"/>
  <c r="CZ118"/>
  <c r="DA118" s="1"/>
  <c r="DB118" s="1"/>
  <c r="HP113"/>
  <c r="HQ113" s="1"/>
  <c r="HR113" s="1"/>
  <c r="HO113"/>
  <c r="EI122"/>
  <c r="EJ122"/>
  <c r="EK122" s="1"/>
  <c r="EL122" s="1"/>
  <c r="EI136"/>
  <c r="EJ136"/>
  <c r="EK136" s="1"/>
  <c r="EL136" s="1"/>
  <c r="AV321"/>
  <c r="AV311"/>
  <c r="K382" i="21"/>
  <c r="F382"/>
  <c r="D382"/>
  <c r="G382"/>
  <c r="B384"/>
  <c r="L383" s="1"/>
  <c r="C382"/>
  <c r="L382"/>
  <c r="EM31" i="10"/>
  <c r="EN31"/>
  <c r="EO31" s="1"/>
  <c r="EP31" s="1"/>
  <c r="EB14"/>
  <c r="EC14" s="1"/>
  <c r="ED14" s="1"/>
  <c r="EA14"/>
  <c r="CZ8"/>
  <c r="DA8" s="1"/>
  <c r="DB8" s="1"/>
  <c r="CY8"/>
  <c r="HD41"/>
  <c r="HE41" s="1"/>
  <c r="HF41" s="1"/>
  <c r="HC41"/>
  <c r="FL40"/>
  <c r="FM40" s="1"/>
  <c r="FN40" s="1"/>
  <c r="FK40"/>
  <c r="HD33"/>
  <c r="HE33" s="1"/>
  <c r="HF33" s="1"/>
  <c r="HC33"/>
  <c r="EM55"/>
  <c r="EN55"/>
  <c r="EO55" s="1"/>
  <c r="EP55" s="1"/>
  <c r="FK25"/>
  <c r="FL25"/>
  <c r="FM25" s="1"/>
  <c r="FN25" s="1"/>
  <c r="EM48"/>
  <c r="EN48"/>
  <c r="EO48" s="1"/>
  <c r="EP48" s="1"/>
  <c r="GU53"/>
  <c r="GV53"/>
  <c r="GW53" s="1"/>
  <c r="GX53" s="1"/>
  <c r="H9" i="54"/>
  <c r="H6"/>
  <c r="H3"/>
  <c r="H4"/>
  <c r="H2"/>
  <c r="AT307" i="10"/>
  <c r="DD2"/>
  <c r="DE2" s="1"/>
  <c r="DF2" s="1"/>
  <c r="DG2" s="1"/>
  <c r="AT295"/>
  <c r="AV299"/>
  <c r="AV121" s="1"/>
  <c r="AX121" s="1"/>
  <c r="AX297"/>
  <c r="AX298" s="1"/>
  <c r="AX299" s="1"/>
  <c r="AV211"/>
  <c r="AV205"/>
  <c r="BC189"/>
  <c r="AV204"/>
  <c r="AW188"/>
  <c r="AZ188" s="1"/>
  <c r="AV208"/>
  <c r="AV206"/>
  <c r="AV207"/>
  <c r="AV209"/>
  <c r="BC192"/>
  <c r="AV210"/>
  <c r="BC195"/>
  <c r="AW181"/>
  <c r="AT202" s="1"/>
  <c r="AT287"/>
  <c r="AX289"/>
  <c r="AX290" s="1"/>
  <c r="AX291" s="1"/>
  <c r="AV292"/>
  <c r="AV268"/>
  <c r="AX267" s="1"/>
  <c r="AX268" s="1"/>
  <c r="AX269" s="1"/>
  <c r="AT265"/>
  <c r="G2" i="54"/>
  <c r="BH3" i="10"/>
  <c r="BG3" s="1"/>
  <c r="AV284"/>
  <c r="AV277"/>
  <c r="AX275"/>
  <c r="AX276" s="1"/>
  <c r="AX277" s="1"/>
  <c r="AT273"/>
  <c r="AV260"/>
  <c r="AV261" s="1"/>
  <c r="AV125" s="1"/>
  <c r="AV242"/>
  <c r="AV243" s="1"/>
  <c r="AT239"/>
  <c r="AX251"/>
  <c r="AX252" s="1"/>
  <c r="AX253" s="1"/>
  <c r="AT249"/>
  <c r="AV234"/>
  <c r="AX233" s="1"/>
  <c r="AX234" s="1"/>
  <c r="AX235" s="1"/>
  <c r="AV227"/>
  <c r="AX226" s="1"/>
  <c r="AX227" s="1"/>
  <c r="AX228" s="1"/>
  <c r="G6" i="54"/>
  <c r="T224" i="10"/>
  <c r="AW145"/>
  <c r="AW152"/>
  <c r="AV172"/>
  <c r="AV174"/>
  <c r="AV175"/>
  <c r="AV173"/>
  <c r="AV170"/>
  <c r="AV171"/>
  <c r="AV168"/>
  <c r="AV169"/>
  <c r="BC156"/>
  <c r="BC159"/>
  <c r="BC153"/>
  <c r="F6" i="54"/>
  <c r="G5"/>
  <c r="G3"/>
  <c r="F7"/>
  <c r="G7"/>
  <c r="F4"/>
  <c r="G4"/>
  <c r="F5"/>
  <c r="F3"/>
  <c r="F2"/>
  <c r="AV219" i="10"/>
  <c r="AV220" s="1"/>
  <c r="AV122" s="1"/>
  <c r="AX122" s="1"/>
  <c r="BI3"/>
  <c r="BI4" s="1"/>
  <c r="BI5" s="1"/>
  <c r="BI6" s="1"/>
  <c r="BI7" s="1"/>
  <c r="BI8" s="1"/>
  <c r="BI9" s="1"/>
  <c r="BI10" s="1"/>
  <c r="BI11" s="1"/>
  <c r="BI12" s="1"/>
  <c r="BI13" s="1"/>
  <c r="BI14" s="1"/>
  <c r="BI15" s="1"/>
  <c r="BI16" s="1"/>
  <c r="BI17" s="1"/>
  <c r="BI18" s="1"/>
  <c r="BI19" s="1"/>
  <c r="BI20" s="1"/>
  <c r="BI21" s="1"/>
  <c r="BI22" s="1"/>
  <c r="BI23" s="1"/>
  <c r="BI24" s="1"/>
  <c r="BI25" s="1"/>
  <c r="BI26" s="1"/>
  <c r="BI27" s="1"/>
  <c r="BI28" s="1"/>
  <c r="BI29" s="1"/>
  <c r="BI30" s="1"/>
  <c r="BI31" s="1"/>
  <c r="AE184"/>
  <c r="AE185"/>
  <c r="AV370" l="1"/>
  <c r="AV123" s="1"/>
  <c r="BC310"/>
  <c r="BC312"/>
  <c r="BC311"/>
  <c r="AV312"/>
  <c r="BG112"/>
  <c r="BG118" s="1"/>
  <c r="GF52" i="21"/>
  <c r="GG49"/>
  <c r="GG48"/>
  <c r="EM136" i="10"/>
  <c r="EN136"/>
  <c r="EO136" s="1"/>
  <c r="EP136" s="1"/>
  <c r="HT113"/>
  <c r="HU113" s="1"/>
  <c r="HV113" s="1"/>
  <c r="HS113"/>
  <c r="EN122"/>
  <c r="EO122" s="1"/>
  <c r="EP122" s="1"/>
  <c r="EM122"/>
  <c r="DC118"/>
  <c r="DD118"/>
  <c r="DE118" s="1"/>
  <c r="DF118" s="1"/>
  <c r="AV119"/>
  <c r="AX119" s="1"/>
  <c r="K383" i="21"/>
  <c r="G383"/>
  <c r="E383"/>
  <c r="B385"/>
  <c r="E384" s="1"/>
  <c r="C383"/>
  <c r="D383"/>
  <c r="F383"/>
  <c r="EQ55" i="10"/>
  <c r="ER55"/>
  <c r="ES55" s="1"/>
  <c r="ET55" s="1"/>
  <c r="EQ31"/>
  <c r="ER31"/>
  <c r="ES31" s="1"/>
  <c r="ET31" s="1"/>
  <c r="GY53"/>
  <c r="GZ53"/>
  <c r="HA53" s="1"/>
  <c r="HB53" s="1"/>
  <c r="FP40"/>
  <c r="FQ40" s="1"/>
  <c r="FR40" s="1"/>
  <c r="FO40"/>
  <c r="DC8"/>
  <c r="DD8"/>
  <c r="DE8" s="1"/>
  <c r="DF8" s="1"/>
  <c r="EQ48"/>
  <c r="ER48"/>
  <c r="ES48" s="1"/>
  <c r="ET48" s="1"/>
  <c r="FO25"/>
  <c r="FP25"/>
  <c r="FQ25" s="1"/>
  <c r="FR25" s="1"/>
  <c r="HH33"/>
  <c r="HI33" s="1"/>
  <c r="HJ33" s="1"/>
  <c r="HG33"/>
  <c r="HH41"/>
  <c r="HI41" s="1"/>
  <c r="HJ41" s="1"/>
  <c r="HG41"/>
  <c r="EF14"/>
  <c r="EG14" s="1"/>
  <c r="EH14" s="1"/>
  <c r="EE14"/>
  <c r="AU326"/>
  <c r="AU327" s="1"/>
  <c r="AU328" s="1"/>
  <c r="DH2"/>
  <c r="DI2" s="1"/>
  <c r="DJ2" s="1"/>
  <c r="DK2" s="1"/>
  <c r="AV300"/>
  <c r="AZ207"/>
  <c r="AW207"/>
  <c r="AX207" s="1"/>
  <c r="AZ204"/>
  <c r="AW204"/>
  <c r="AX204" s="1"/>
  <c r="AW210"/>
  <c r="AX210" s="1"/>
  <c r="AZ210"/>
  <c r="AW206"/>
  <c r="AX206" s="1"/>
  <c r="AZ206"/>
  <c r="AZ208"/>
  <c r="AW208"/>
  <c r="AX208" s="1"/>
  <c r="AZ205"/>
  <c r="AW205"/>
  <c r="AX205" s="1"/>
  <c r="AW209"/>
  <c r="AX209" s="1"/>
  <c r="AZ209"/>
  <c r="BA188"/>
  <c r="AY188"/>
  <c r="BB184"/>
  <c r="BB185" s="1"/>
  <c r="BC186" s="1"/>
  <c r="AZ211"/>
  <c r="AW211"/>
  <c r="AX211" s="1"/>
  <c r="AV269"/>
  <c r="AV126" s="1"/>
  <c r="AX126" s="1"/>
  <c r="AX125"/>
  <c r="S224"/>
  <c r="AW171"/>
  <c r="AX171" s="1"/>
  <c r="AT166"/>
  <c r="AZ152"/>
  <c r="BA152" s="1"/>
  <c r="AW170"/>
  <c r="AX170" s="1"/>
  <c r="AW175"/>
  <c r="AX175" s="1"/>
  <c r="AW172"/>
  <c r="AX172" s="1"/>
  <c r="AW169"/>
  <c r="AX169" s="1"/>
  <c r="AW173"/>
  <c r="AX173" s="1"/>
  <c r="AW174"/>
  <c r="AX174" s="1"/>
  <c r="AW168"/>
  <c r="AX168" s="1"/>
  <c r="BH4"/>
  <c r="BG4" s="1"/>
  <c r="BF242"/>
  <c r="BF243" s="1"/>
  <c r="BF244" s="1"/>
  <c r="AV278"/>
  <c r="AV127"/>
  <c r="AX127" s="1"/>
  <c r="AX259"/>
  <c r="AX260" s="1"/>
  <c r="AX261" s="1"/>
  <c r="AV253"/>
  <c r="AV124" s="1"/>
  <c r="AX124" s="1"/>
  <c r="AV228"/>
  <c r="AV117" s="1"/>
  <c r="AX117" s="1"/>
  <c r="AV235"/>
  <c r="AV118" s="1"/>
  <c r="AX118" s="1"/>
  <c r="AV262"/>
  <c r="AV85"/>
  <c r="BI32"/>
  <c r="BI33" s="1"/>
  <c r="BI34" s="1"/>
  <c r="BI35" s="1"/>
  <c r="BI36" s="1"/>
  <c r="BI37" s="1"/>
  <c r="BI38" s="1"/>
  <c r="BI39" s="1"/>
  <c r="BI40" s="1"/>
  <c r="BI41" s="1"/>
  <c r="BI42" s="1"/>
  <c r="G12" i="54"/>
  <c r="BB148" i="10"/>
  <c r="BB149" s="1"/>
  <c r="BC150" s="1"/>
  <c r="F12" i="54"/>
  <c r="AZ171" i="10"/>
  <c r="AZ175"/>
  <c r="AZ169"/>
  <c r="AZ168"/>
  <c r="AZ170"/>
  <c r="AZ174"/>
  <c r="AZ172"/>
  <c r="AZ173"/>
  <c r="AX218"/>
  <c r="AX219" s="1"/>
  <c r="AX220" s="1"/>
  <c r="AY152"/>
  <c r="AV244"/>
  <c r="AV221"/>
  <c r="AX123" l="1"/>
  <c r="AV371"/>
  <c r="BG121"/>
  <c r="BG115"/>
  <c r="C16" i="54"/>
  <c r="F14"/>
  <c r="AV313" i="10"/>
  <c r="HW113"/>
  <c r="HX113"/>
  <c r="HY113" s="1"/>
  <c r="HZ113" s="1"/>
  <c r="DG118"/>
  <c r="DH118"/>
  <c r="DI118" s="1"/>
  <c r="DJ118" s="1"/>
  <c r="ER122"/>
  <c r="ES122" s="1"/>
  <c r="ET122" s="1"/>
  <c r="EQ122"/>
  <c r="EQ136"/>
  <c r="ER136"/>
  <c r="ES136" s="1"/>
  <c r="ET136" s="1"/>
  <c r="C384" i="21"/>
  <c r="D384"/>
  <c r="G384"/>
  <c r="B386"/>
  <c r="F385" s="1"/>
  <c r="F384"/>
  <c r="L384"/>
  <c r="K384"/>
  <c r="HK41" i="10"/>
  <c r="HL41"/>
  <c r="HM41" s="1"/>
  <c r="HN41" s="1"/>
  <c r="FT40"/>
  <c r="FU40" s="1"/>
  <c r="FV40" s="1"/>
  <c r="FS40"/>
  <c r="EU55"/>
  <c r="EV55"/>
  <c r="EW55" s="1"/>
  <c r="EX55" s="1"/>
  <c r="EU48"/>
  <c r="EV48"/>
  <c r="EW48" s="1"/>
  <c r="EX48" s="1"/>
  <c r="DG8"/>
  <c r="DH8"/>
  <c r="DI8" s="1"/>
  <c r="DJ8" s="1"/>
  <c r="EU31"/>
  <c r="EV31"/>
  <c r="EW31" s="1"/>
  <c r="EX31" s="1"/>
  <c r="EJ14"/>
  <c r="EK14" s="1"/>
  <c r="EL14" s="1"/>
  <c r="EI14"/>
  <c r="HL33"/>
  <c r="HM33" s="1"/>
  <c r="HN33" s="1"/>
  <c r="HK33"/>
  <c r="FS25"/>
  <c r="FT25"/>
  <c r="FU25" s="1"/>
  <c r="FV25" s="1"/>
  <c r="HC53"/>
  <c r="HD53"/>
  <c r="HE53" s="1"/>
  <c r="HF53" s="1"/>
  <c r="DL2"/>
  <c r="DM2" s="1"/>
  <c r="DN2" s="1"/>
  <c r="AV120"/>
  <c r="AX120" s="1"/>
  <c r="AX188"/>
  <c r="AV270"/>
  <c r="BA85"/>
  <c r="AZ85"/>
  <c r="BD454"/>
  <c r="AX454"/>
  <c r="BD451"/>
  <c r="BA454"/>
  <c r="BD448"/>
  <c r="AY104"/>
  <c r="AW104"/>
  <c r="AT85"/>
  <c r="AV392"/>
  <c r="AV393" s="1"/>
  <c r="BH5"/>
  <c r="BG5" s="1"/>
  <c r="AV254"/>
  <c r="AV229"/>
  <c r="AV236"/>
  <c r="BA104"/>
  <c r="BB104"/>
  <c r="AX152"/>
  <c r="AV331" l="1"/>
  <c r="AV337"/>
  <c r="AU340" s="1"/>
  <c r="AV340" s="1"/>
  <c r="AV335"/>
  <c r="AV334"/>
  <c r="AV336"/>
  <c r="EU136"/>
  <c r="EV136"/>
  <c r="EW136" s="1"/>
  <c r="EX136" s="1"/>
  <c r="EU122"/>
  <c r="EV122"/>
  <c r="EW122" s="1"/>
  <c r="EX122" s="1"/>
  <c r="IA113"/>
  <c r="IB113"/>
  <c r="DK118"/>
  <c r="DL118"/>
  <c r="DM118" s="1"/>
  <c r="DN118" s="1"/>
  <c r="K385" i="21"/>
  <c r="B387"/>
  <c r="L386" s="1"/>
  <c r="G385"/>
  <c r="D385"/>
  <c r="L385"/>
  <c r="E385"/>
  <c r="C385"/>
  <c r="DK8" i="10"/>
  <c r="DL8"/>
  <c r="DM8" s="1"/>
  <c r="DN8" s="1"/>
  <c r="EZ48"/>
  <c r="FA48" s="1"/>
  <c r="FB48" s="1"/>
  <c r="EY48"/>
  <c r="EY55"/>
  <c r="EZ55"/>
  <c r="FA55" s="1"/>
  <c r="FB55" s="1"/>
  <c r="HP41"/>
  <c r="HQ41" s="1"/>
  <c r="HR41" s="1"/>
  <c r="HO41"/>
  <c r="EZ31"/>
  <c r="FA31" s="1"/>
  <c r="FB31" s="1"/>
  <c r="EY31"/>
  <c r="HG53"/>
  <c r="HH53"/>
  <c r="HI53" s="1"/>
  <c r="HJ53" s="1"/>
  <c r="HO33"/>
  <c r="HP33"/>
  <c r="HQ33" s="1"/>
  <c r="HR33" s="1"/>
  <c r="FX40"/>
  <c r="FY40" s="1"/>
  <c r="FZ40" s="1"/>
  <c r="FW40"/>
  <c r="FW25"/>
  <c r="FX25"/>
  <c r="FY25" s="1"/>
  <c r="FZ25" s="1"/>
  <c r="EN14"/>
  <c r="EO14" s="1"/>
  <c r="EP14" s="1"/>
  <c r="EM14"/>
  <c r="BC104"/>
  <c r="BH6"/>
  <c r="BG6" s="1"/>
  <c r="AY140"/>
  <c r="AX140"/>
  <c r="BC85"/>
  <c r="DP2"/>
  <c r="DO2"/>
  <c r="AU346" l="1"/>
  <c r="AV346" s="1"/>
  <c r="F386" i="21"/>
  <c r="DO118" i="10"/>
  <c r="DP118"/>
  <c r="DQ118" s="1"/>
  <c r="DR118" s="1"/>
  <c r="EZ122"/>
  <c r="FA122" s="1"/>
  <c r="FB122" s="1"/>
  <c r="EY122"/>
  <c r="EY136"/>
  <c r="EZ136"/>
  <c r="FA136" s="1"/>
  <c r="FB136" s="1"/>
  <c r="G386" i="21"/>
  <c r="B388"/>
  <c r="F387" s="1"/>
  <c r="K386"/>
  <c r="C386"/>
  <c r="E386"/>
  <c r="D386"/>
  <c r="GB40" i="10"/>
  <c r="GC40" s="1"/>
  <c r="GD40" s="1"/>
  <c r="GA40"/>
  <c r="FC31"/>
  <c r="FD31"/>
  <c r="FE31" s="1"/>
  <c r="FF31" s="1"/>
  <c r="HT33"/>
  <c r="HU33" s="1"/>
  <c r="HV33" s="1"/>
  <c r="HS33"/>
  <c r="HK53"/>
  <c r="HL53"/>
  <c r="HM53" s="1"/>
  <c r="HN53" s="1"/>
  <c r="ER14"/>
  <c r="ES14" s="1"/>
  <c r="ET14" s="1"/>
  <c r="EQ14"/>
  <c r="HS41"/>
  <c r="HT41"/>
  <c r="HU41" s="1"/>
  <c r="HV41" s="1"/>
  <c r="FC48"/>
  <c r="FD48"/>
  <c r="FE48" s="1"/>
  <c r="FF48" s="1"/>
  <c r="GB25"/>
  <c r="GC25" s="1"/>
  <c r="GD25" s="1"/>
  <c r="GA25"/>
  <c r="FC55"/>
  <c r="FD55"/>
  <c r="FE55" s="1"/>
  <c r="FF55" s="1"/>
  <c r="DP8"/>
  <c r="DQ8" s="1"/>
  <c r="DR8" s="1"/>
  <c r="DO8"/>
  <c r="BH7"/>
  <c r="BG7" s="1"/>
  <c r="AZ140"/>
  <c r="DQ2"/>
  <c r="DR2" s="1"/>
  <c r="DT118" l="1"/>
  <c r="DU118" s="1"/>
  <c r="DV118" s="1"/>
  <c r="DS118"/>
  <c r="FD136"/>
  <c r="FE136" s="1"/>
  <c r="FF136" s="1"/>
  <c r="FC136"/>
  <c r="FD122"/>
  <c r="FE122" s="1"/>
  <c r="FF122" s="1"/>
  <c r="FC122"/>
  <c r="E387" i="21"/>
  <c r="K387"/>
  <c r="C387"/>
  <c r="B389"/>
  <c r="L388" s="1"/>
  <c r="L387"/>
  <c r="D387"/>
  <c r="G387"/>
  <c r="FG55" i="10"/>
  <c r="FH55"/>
  <c r="FI55" s="1"/>
  <c r="FJ55" s="1"/>
  <c r="GE25"/>
  <c r="GF25"/>
  <c r="GG25" s="1"/>
  <c r="GH25" s="1"/>
  <c r="HO53"/>
  <c r="HP53"/>
  <c r="HQ53" s="1"/>
  <c r="HR53" s="1"/>
  <c r="FG48"/>
  <c r="FH48"/>
  <c r="FI48" s="1"/>
  <c r="FJ48" s="1"/>
  <c r="EV14"/>
  <c r="EW14" s="1"/>
  <c r="EX14" s="1"/>
  <c r="EU14"/>
  <c r="FH31"/>
  <c r="FI31" s="1"/>
  <c r="FJ31" s="1"/>
  <c r="FG31"/>
  <c r="DT8"/>
  <c r="DU8" s="1"/>
  <c r="DV8" s="1"/>
  <c r="DS8"/>
  <c r="HW41"/>
  <c r="HX41"/>
  <c r="HY41" s="1"/>
  <c r="HZ41" s="1"/>
  <c r="HX33"/>
  <c r="HY33" s="1"/>
  <c r="HZ33" s="1"/>
  <c r="HW33"/>
  <c r="GE40"/>
  <c r="GF40"/>
  <c r="GG40" s="1"/>
  <c r="GH40" s="1"/>
  <c r="BH8"/>
  <c r="BG8" s="1"/>
  <c r="DT2"/>
  <c r="DS2"/>
  <c r="FG122" l="1"/>
  <c r="FH122"/>
  <c r="FI122" s="1"/>
  <c r="FJ122" s="1"/>
  <c r="FH136"/>
  <c r="FI136" s="1"/>
  <c r="FJ136" s="1"/>
  <c r="FG136"/>
  <c r="DW118"/>
  <c r="DX118"/>
  <c r="DY118" s="1"/>
  <c r="DZ118" s="1"/>
  <c r="G388" i="21"/>
  <c r="D388"/>
  <c r="E388"/>
  <c r="F388"/>
  <c r="B390"/>
  <c r="D389" s="1"/>
  <c r="K388"/>
  <c r="C388"/>
  <c r="FL31" i="10"/>
  <c r="FM31" s="1"/>
  <c r="FN31" s="1"/>
  <c r="FK31"/>
  <c r="EY14"/>
  <c r="EZ14"/>
  <c r="FA14" s="1"/>
  <c r="FB14" s="1"/>
  <c r="GI25"/>
  <c r="GJ25"/>
  <c r="GK25" s="1"/>
  <c r="GL25" s="1"/>
  <c r="FK48"/>
  <c r="FL48"/>
  <c r="FM48" s="1"/>
  <c r="FN48" s="1"/>
  <c r="IA33"/>
  <c r="IB33"/>
  <c r="DW8"/>
  <c r="DX8"/>
  <c r="DY8" s="1"/>
  <c r="DZ8" s="1"/>
  <c r="HS53"/>
  <c r="HT53"/>
  <c r="HU53" s="1"/>
  <c r="HV53" s="1"/>
  <c r="FK55"/>
  <c r="FL55"/>
  <c r="FM55" s="1"/>
  <c r="FN55" s="1"/>
  <c r="GJ40"/>
  <c r="GK40" s="1"/>
  <c r="GL40" s="1"/>
  <c r="GI40"/>
  <c r="IB41"/>
  <c r="IA41"/>
  <c r="BH9"/>
  <c r="BG9" s="1"/>
  <c r="DU2"/>
  <c r="DV2" s="1"/>
  <c r="EA118" l="1"/>
  <c r="EB118"/>
  <c r="EC118" s="1"/>
  <c r="ED118" s="1"/>
  <c r="FL122"/>
  <c r="FM122" s="1"/>
  <c r="FN122" s="1"/>
  <c r="FK122"/>
  <c r="FK136"/>
  <c r="FL136"/>
  <c r="FM136" s="1"/>
  <c r="FN136" s="1"/>
  <c r="B391" i="21"/>
  <c r="K390" s="1"/>
  <c r="L389"/>
  <c r="K389"/>
  <c r="G389"/>
  <c r="F389"/>
  <c r="E389"/>
  <c r="C389"/>
  <c r="FO31" i="10"/>
  <c r="FP31"/>
  <c r="FQ31" s="1"/>
  <c r="FR31" s="1"/>
  <c r="FP55"/>
  <c r="FQ55" s="1"/>
  <c r="FR55" s="1"/>
  <c r="FO55"/>
  <c r="EA8"/>
  <c r="EB8"/>
  <c r="EC8" s="1"/>
  <c r="ED8" s="1"/>
  <c r="FP48"/>
  <c r="FQ48" s="1"/>
  <c r="FR48" s="1"/>
  <c r="FO48"/>
  <c r="FD14"/>
  <c r="FE14" s="1"/>
  <c r="FF14" s="1"/>
  <c r="FC14"/>
  <c r="HW53"/>
  <c r="HX53"/>
  <c r="HY53" s="1"/>
  <c r="HZ53" s="1"/>
  <c r="GM25"/>
  <c r="GN25"/>
  <c r="GO25" s="1"/>
  <c r="GP25" s="1"/>
  <c r="GN40"/>
  <c r="GO40" s="1"/>
  <c r="GP40" s="1"/>
  <c r="GM40"/>
  <c r="BH10"/>
  <c r="BG10" s="1"/>
  <c r="DW2"/>
  <c r="DX2"/>
  <c r="FO136" l="1"/>
  <c r="FP136"/>
  <c r="FQ136" s="1"/>
  <c r="FR136" s="1"/>
  <c r="FP122"/>
  <c r="FQ122" s="1"/>
  <c r="FR122" s="1"/>
  <c r="FO122"/>
  <c r="EE118"/>
  <c r="EF118"/>
  <c r="EG118" s="1"/>
  <c r="EH118" s="1"/>
  <c r="B392" i="21"/>
  <c r="E391" s="1"/>
  <c r="C390"/>
  <c r="L390"/>
  <c r="G390"/>
  <c r="D390"/>
  <c r="E390"/>
  <c r="F390"/>
  <c r="FH14" i="10"/>
  <c r="FI14" s="1"/>
  <c r="FJ14" s="1"/>
  <c r="FG14"/>
  <c r="EF8"/>
  <c r="EG8" s="1"/>
  <c r="EH8" s="1"/>
  <c r="EE8"/>
  <c r="FS31"/>
  <c r="FT31"/>
  <c r="FU31" s="1"/>
  <c r="FV31" s="1"/>
  <c r="FS48"/>
  <c r="FT48"/>
  <c r="FU48" s="1"/>
  <c r="FV48" s="1"/>
  <c r="FT55"/>
  <c r="FU55" s="1"/>
  <c r="FV55" s="1"/>
  <c r="FS55"/>
  <c r="GR40"/>
  <c r="GS40" s="1"/>
  <c r="GT40" s="1"/>
  <c r="GQ40"/>
  <c r="GQ25"/>
  <c r="GR25"/>
  <c r="GS25" s="1"/>
  <c r="GT25" s="1"/>
  <c r="IA53"/>
  <c r="IB53"/>
  <c r="BH11"/>
  <c r="BG11" s="1"/>
  <c r="DY2"/>
  <c r="DZ2" s="1"/>
  <c r="EI118" l="1"/>
  <c r="EJ118"/>
  <c r="EK118" s="1"/>
  <c r="EL118" s="1"/>
  <c r="FS136"/>
  <c r="FT136"/>
  <c r="FU136" s="1"/>
  <c r="FV136" s="1"/>
  <c r="FS122"/>
  <c r="FT122"/>
  <c r="FU122" s="1"/>
  <c r="FV122" s="1"/>
  <c r="C391" i="21"/>
  <c r="G391"/>
  <c r="B393"/>
  <c r="K392" s="1"/>
  <c r="K391"/>
  <c r="F391"/>
  <c r="D391"/>
  <c r="L391"/>
  <c r="FW48" i="10"/>
  <c r="FX48"/>
  <c r="FY48" s="1"/>
  <c r="FZ48" s="1"/>
  <c r="FW31"/>
  <c r="FX31"/>
  <c r="FY31" s="1"/>
  <c r="FZ31" s="1"/>
  <c r="GV40"/>
  <c r="GW40" s="1"/>
  <c r="GX40" s="1"/>
  <c r="GU40"/>
  <c r="GV25"/>
  <c r="GW25" s="1"/>
  <c r="GX25" s="1"/>
  <c r="GU25"/>
  <c r="FW55"/>
  <c r="FX55"/>
  <c r="FY55" s="1"/>
  <c r="FZ55" s="1"/>
  <c r="EI8"/>
  <c r="EJ8"/>
  <c r="EK8" s="1"/>
  <c r="EL8" s="1"/>
  <c r="FK14"/>
  <c r="FL14"/>
  <c r="FM14" s="1"/>
  <c r="FN14" s="1"/>
  <c r="BH12"/>
  <c r="BG12" s="1"/>
  <c r="EB2"/>
  <c r="EA2"/>
  <c r="FW136" l="1"/>
  <c r="FX136"/>
  <c r="FY136" s="1"/>
  <c r="FZ136" s="1"/>
  <c r="FW122"/>
  <c r="FX122"/>
  <c r="FY122" s="1"/>
  <c r="FZ122" s="1"/>
  <c r="EN118"/>
  <c r="EO118" s="1"/>
  <c r="EP118" s="1"/>
  <c r="EM118"/>
  <c r="L392" i="21"/>
  <c r="G392"/>
  <c r="D392"/>
  <c r="F392"/>
  <c r="E392"/>
  <c r="C392"/>
  <c r="B394"/>
  <c r="L393" s="1"/>
  <c r="GA31" i="10"/>
  <c r="GB31"/>
  <c r="GC31" s="1"/>
  <c r="GD31" s="1"/>
  <c r="GB48"/>
  <c r="GC48" s="1"/>
  <c r="GD48" s="1"/>
  <c r="GA48"/>
  <c r="EN8"/>
  <c r="EO8" s="1"/>
  <c r="EP8" s="1"/>
  <c r="EM8"/>
  <c r="GA55"/>
  <c r="GB55"/>
  <c r="GC55" s="1"/>
  <c r="GD55" s="1"/>
  <c r="GY25"/>
  <c r="GZ25"/>
  <c r="HA25" s="1"/>
  <c r="HB25" s="1"/>
  <c r="GZ40"/>
  <c r="HA40" s="1"/>
  <c r="HB40" s="1"/>
  <c r="GY40"/>
  <c r="FO14"/>
  <c r="FP14"/>
  <c r="FQ14" s="1"/>
  <c r="FR14" s="1"/>
  <c r="BH13"/>
  <c r="BG13" s="1"/>
  <c r="EC2"/>
  <c r="ED2" s="1"/>
  <c r="ER118" l="1"/>
  <c r="ES118" s="1"/>
  <c r="ET118" s="1"/>
  <c r="EQ118"/>
  <c r="GB136"/>
  <c r="GC136" s="1"/>
  <c r="GD136" s="1"/>
  <c r="GA136"/>
  <c r="GB122"/>
  <c r="GC122" s="1"/>
  <c r="GD122" s="1"/>
  <c r="GA122"/>
  <c r="K393" i="21"/>
  <c r="E393"/>
  <c r="C393"/>
  <c r="D393"/>
  <c r="B395"/>
  <c r="K394" s="1"/>
  <c r="G393"/>
  <c r="F393"/>
  <c r="HD25" i="10"/>
  <c r="HE25" s="1"/>
  <c r="HF25" s="1"/>
  <c r="HC25"/>
  <c r="GE55"/>
  <c r="GF55"/>
  <c r="GG55" s="1"/>
  <c r="GH55" s="1"/>
  <c r="GE31"/>
  <c r="GF31"/>
  <c r="GG31" s="1"/>
  <c r="GH31" s="1"/>
  <c r="ER8"/>
  <c r="ES8" s="1"/>
  <c r="ET8" s="1"/>
  <c r="EQ8"/>
  <c r="FT14"/>
  <c r="FU14" s="1"/>
  <c r="FV14" s="1"/>
  <c r="FS14"/>
  <c r="HD40"/>
  <c r="HE40" s="1"/>
  <c r="HF40" s="1"/>
  <c r="HC40"/>
  <c r="GE48"/>
  <c r="GF48"/>
  <c r="GG48" s="1"/>
  <c r="GH48" s="1"/>
  <c r="BH14"/>
  <c r="BG14" s="1"/>
  <c r="EF2"/>
  <c r="EE2"/>
  <c r="GF122" l="1"/>
  <c r="GG122" s="1"/>
  <c r="GH122" s="1"/>
  <c r="GE122"/>
  <c r="GF136"/>
  <c r="GG136" s="1"/>
  <c r="GH136" s="1"/>
  <c r="GE136"/>
  <c r="EV118"/>
  <c r="EW118" s="1"/>
  <c r="EX118" s="1"/>
  <c r="EU118"/>
  <c r="B396" i="21"/>
  <c r="E395" s="1"/>
  <c r="L394"/>
  <c r="F394"/>
  <c r="E394"/>
  <c r="D394"/>
  <c r="G394"/>
  <c r="C394"/>
  <c r="GJ55" i="10"/>
  <c r="GK55" s="1"/>
  <c r="GL55" s="1"/>
  <c r="GI55"/>
  <c r="HH40"/>
  <c r="HI40" s="1"/>
  <c r="HJ40" s="1"/>
  <c r="HG40"/>
  <c r="GJ48"/>
  <c r="GK48" s="1"/>
  <c r="GL48" s="1"/>
  <c r="GI48"/>
  <c r="GJ31"/>
  <c r="GK31" s="1"/>
  <c r="GL31" s="1"/>
  <c r="GI31"/>
  <c r="FW14"/>
  <c r="FX14"/>
  <c r="FY14" s="1"/>
  <c r="FZ14" s="1"/>
  <c r="EU8"/>
  <c r="EV8"/>
  <c r="EW8" s="1"/>
  <c r="EX8" s="1"/>
  <c r="HG25"/>
  <c r="HH25"/>
  <c r="HI25" s="1"/>
  <c r="HJ25" s="1"/>
  <c r="BH15"/>
  <c r="BG15" s="1"/>
  <c r="EG2"/>
  <c r="EH2" s="1"/>
  <c r="GI136" l="1"/>
  <c r="GJ136"/>
  <c r="GK136" s="1"/>
  <c r="GL136" s="1"/>
  <c r="EZ118"/>
  <c r="FA118" s="1"/>
  <c r="FB118" s="1"/>
  <c r="EY118"/>
  <c r="GJ122"/>
  <c r="GK122" s="1"/>
  <c r="GL122" s="1"/>
  <c r="GI122"/>
  <c r="G395" i="21"/>
  <c r="B397"/>
  <c r="L396" s="1"/>
  <c r="D395"/>
  <c r="K395"/>
  <c r="L395"/>
  <c r="C395"/>
  <c r="F395"/>
  <c r="EZ8" i="10"/>
  <c r="FA8" s="1"/>
  <c r="FB8" s="1"/>
  <c r="EY8"/>
  <c r="HK25"/>
  <c r="HL25"/>
  <c r="HM25" s="1"/>
  <c r="HN25" s="1"/>
  <c r="GB14"/>
  <c r="GC14" s="1"/>
  <c r="GD14" s="1"/>
  <c r="GA14"/>
  <c r="GM31"/>
  <c r="GN31"/>
  <c r="GO31" s="1"/>
  <c r="GP31" s="1"/>
  <c r="HK40"/>
  <c r="HL40"/>
  <c r="HM40" s="1"/>
  <c r="HN40" s="1"/>
  <c r="GN48"/>
  <c r="GO48" s="1"/>
  <c r="GP48" s="1"/>
  <c r="GM48"/>
  <c r="GN55"/>
  <c r="GO55" s="1"/>
  <c r="GP55" s="1"/>
  <c r="GM55"/>
  <c r="BH16"/>
  <c r="BG16" s="1"/>
  <c r="EI2"/>
  <c r="EJ2"/>
  <c r="FD118" l="1"/>
  <c r="FE118" s="1"/>
  <c r="FF118" s="1"/>
  <c r="FC118"/>
  <c r="GN122"/>
  <c r="GO122" s="1"/>
  <c r="GP122" s="1"/>
  <c r="GM122"/>
  <c r="GM136"/>
  <c r="GN136"/>
  <c r="GO136" s="1"/>
  <c r="GP136" s="1"/>
  <c r="E396" i="21"/>
  <c r="D396"/>
  <c r="C396"/>
  <c r="F396"/>
  <c r="B398"/>
  <c r="F397" s="1"/>
  <c r="G396"/>
  <c r="K396"/>
  <c r="HP40" i="10"/>
  <c r="HQ40" s="1"/>
  <c r="HR40" s="1"/>
  <c r="HO40"/>
  <c r="HO25"/>
  <c r="HP25"/>
  <c r="HQ25" s="1"/>
  <c r="HR25" s="1"/>
  <c r="GQ31"/>
  <c r="GR31"/>
  <c r="GS31" s="1"/>
  <c r="GT31" s="1"/>
  <c r="GQ55"/>
  <c r="GR55"/>
  <c r="GS55" s="1"/>
  <c r="GT55" s="1"/>
  <c r="GQ48"/>
  <c r="GR48"/>
  <c r="GS48" s="1"/>
  <c r="GT48" s="1"/>
  <c r="GE14"/>
  <c r="GF14"/>
  <c r="GG14" s="1"/>
  <c r="GH14" s="1"/>
  <c r="FC8"/>
  <c r="FD8"/>
  <c r="FE8" s="1"/>
  <c r="FF8" s="1"/>
  <c r="BH17"/>
  <c r="BG17" s="1"/>
  <c r="EK2"/>
  <c r="EL2" s="1"/>
  <c r="GR136" l="1"/>
  <c r="GS136" s="1"/>
  <c r="GT136" s="1"/>
  <c r="GQ136"/>
  <c r="FH118"/>
  <c r="FI118" s="1"/>
  <c r="FJ118" s="1"/>
  <c r="FG118"/>
  <c r="GR122"/>
  <c r="GS122" s="1"/>
  <c r="GT122" s="1"/>
  <c r="GQ122"/>
  <c r="G397" i="21"/>
  <c r="K397"/>
  <c r="E397"/>
  <c r="D397"/>
  <c r="L397"/>
  <c r="B399"/>
  <c r="D398" s="1"/>
  <c r="C397"/>
  <c r="HS25" i="10"/>
  <c r="HT25"/>
  <c r="HU25" s="1"/>
  <c r="HV25" s="1"/>
  <c r="FH8"/>
  <c r="FI8" s="1"/>
  <c r="FJ8" s="1"/>
  <c r="FG8"/>
  <c r="GJ14"/>
  <c r="GK14" s="1"/>
  <c r="GL14" s="1"/>
  <c r="GI14"/>
  <c r="GU55"/>
  <c r="GV55"/>
  <c r="GW55" s="1"/>
  <c r="GX55" s="1"/>
  <c r="HT40"/>
  <c r="HU40" s="1"/>
  <c r="HV40" s="1"/>
  <c r="HS40"/>
  <c r="GU48"/>
  <c r="GV48"/>
  <c r="GW48" s="1"/>
  <c r="GX48" s="1"/>
  <c r="GU31"/>
  <c r="GV31"/>
  <c r="GW31" s="1"/>
  <c r="GX31" s="1"/>
  <c r="E398" i="21"/>
  <c r="BH18" i="10"/>
  <c r="BG18" s="1"/>
  <c r="EN2"/>
  <c r="EM2"/>
  <c r="GV122" l="1"/>
  <c r="GW122" s="1"/>
  <c r="GX122" s="1"/>
  <c r="GU122"/>
  <c r="GV136"/>
  <c r="GW136" s="1"/>
  <c r="GX136" s="1"/>
  <c r="GU136"/>
  <c r="FL118"/>
  <c r="FM118" s="1"/>
  <c r="FN118" s="1"/>
  <c r="FK118"/>
  <c r="K398" i="21"/>
  <c r="L398"/>
  <c r="G398"/>
  <c r="C398"/>
  <c r="B400"/>
  <c r="F399" s="1"/>
  <c r="F398"/>
  <c r="GZ48" i="10"/>
  <c r="HA48" s="1"/>
  <c r="HB48" s="1"/>
  <c r="GY48"/>
  <c r="HW40"/>
  <c r="HX40"/>
  <c r="HY40" s="1"/>
  <c r="HZ40" s="1"/>
  <c r="GY55"/>
  <c r="GZ55"/>
  <c r="HA55" s="1"/>
  <c r="HB55" s="1"/>
  <c r="FL8"/>
  <c r="FM8" s="1"/>
  <c r="FN8" s="1"/>
  <c r="FK8"/>
  <c r="GY31"/>
  <c r="GZ31"/>
  <c r="HA31" s="1"/>
  <c r="HB31" s="1"/>
  <c r="HW25"/>
  <c r="HX25"/>
  <c r="HY25" s="1"/>
  <c r="HZ25" s="1"/>
  <c r="GM14"/>
  <c r="GN14"/>
  <c r="GO14" s="1"/>
  <c r="GP14" s="1"/>
  <c r="BH19"/>
  <c r="BG19" s="1"/>
  <c r="EO2"/>
  <c r="EP2" s="1"/>
  <c r="GY122" l="1"/>
  <c r="GZ122"/>
  <c r="HA122" s="1"/>
  <c r="HB122" s="1"/>
  <c r="GY136"/>
  <c r="GZ136"/>
  <c r="HA136" s="1"/>
  <c r="HB136" s="1"/>
  <c r="FP118"/>
  <c r="FQ118" s="1"/>
  <c r="FR118" s="1"/>
  <c r="FO118"/>
  <c r="L399" i="21"/>
  <c r="K399"/>
  <c r="B401"/>
  <c r="C400" s="1"/>
  <c r="G399"/>
  <c r="D399"/>
  <c r="C399"/>
  <c r="E399"/>
  <c r="IB25" i="10"/>
  <c r="IA25"/>
  <c r="HC55"/>
  <c r="HD55"/>
  <c r="HE55" s="1"/>
  <c r="HF55" s="1"/>
  <c r="IB40"/>
  <c r="IA40"/>
  <c r="GR14"/>
  <c r="GS14" s="1"/>
  <c r="GT14" s="1"/>
  <c r="GQ14"/>
  <c r="HC31"/>
  <c r="HD31"/>
  <c r="HE31" s="1"/>
  <c r="HF31" s="1"/>
  <c r="FP8"/>
  <c r="FQ8" s="1"/>
  <c r="FR8" s="1"/>
  <c r="FO8"/>
  <c r="HC48"/>
  <c r="HD48"/>
  <c r="HE48" s="1"/>
  <c r="HF48" s="1"/>
  <c r="BH20"/>
  <c r="BG20" s="1"/>
  <c r="ER2"/>
  <c r="EQ2"/>
  <c r="HC136" l="1"/>
  <c r="HD136"/>
  <c r="HE136" s="1"/>
  <c r="HF136" s="1"/>
  <c r="FS118"/>
  <c r="FT118"/>
  <c r="FU118" s="1"/>
  <c r="FV118" s="1"/>
  <c r="HD122"/>
  <c r="HE122" s="1"/>
  <c r="HF122" s="1"/>
  <c r="HC122"/>
  <c r="G400" i="21"/>
  <c r="E400"/>
  <c r="B402"/>
  <c r="C401" s="1"/>
  <c r="D400"/>
  <c r="F400"/>
  <c r="K400"/>
  <c r="L400"/>
  <c r="FT8" i="10"/>
  <c r="FU8" s="1"/>
  <c r="FV8" s="1"/>
  <c r="FS8"/>
  <c r="GU14"/>
  <c r="GV14"/>
  <c r="GW14" s="1"/>
  <c r="GX14" s="1"/>
  <c r="HH55"/>
  <c r="HI55" s="1"/>
  <c r="HJ55" s="1"/>
  <c r="HG55"/>
  <c r="HG48"/>
  <c r="HH48"/>
  <c r="HI48" s="1"/>
  <c r="HJ48" s="1"/>
  <c r="HG31"/>
  <c r="HH31"/>
  <c r="HI31" s="1"/>
  <c r="HJ31" s="1"/>
  <c r="BH21"/>
  <c r="BG21" s="1"/>
  <c r="ES2"/>
  <c r="ET2" s="1"/>
  <c r="HH122" l="1"/>
  <c r="HI122" s="1"/>
  <c r="HJ122" s="1"/>
  <c r="HG122"/>
  <c r="HH136"/>
  <c r="HI136" s="1"/>
  <c r="HJ136" s="1"/>
  <c r="HG136"/>
  <c r="FW118"/>
  <c r="FX118"/>
  <c r="FY118" s="1"/>
  <c r="FZ118" s="1"/>
  <c r="F401" i="21"/>
  <c r="G401"/>
  <c r="K401"/>
  <c r="L401"/>
  <c r="E401"/>
  <c r="B403"/>
  <c r="E402" s="1"/>
  <c r="D401"/>
  <c r="HL48" i="10"/>
  <c r="HM48" s="1"/>
  <c r="HN48" s="1"/>
  <c r="HK48"/>
  <c r="GZ14"/>
  <c r="HA14" s="1"/>
  <c r="HB14" s="1"/>
  <c r="GY14"/>
  <c r="HL31"/>
  <c r="HM31" s="1"/>
  <c r="HN31" s="1"/>
  <c r="HK31"/>
  <c r="HL55"/>
  <c r="HM55" s="1"/>
  <c r="HN55" s="1"/>
  <c r="HK55"/>
  <c r="FW8"/>
  <c r="FX8"/>
  <c r="FY8" s="1"/>
  <c r="FZ8" s="1"/>
  <c r="BH22"/>
  <c r="BG22" s="1"/>
  <c r="EU2"/>
  <c r="EV2"/>
  <c r="GB118" l="1"/>
  <c r="GC118" s="1"/>
  <c r="GD118" s="1"/>
  <c r="GA118"/>
  <c r="HK136"/>
  <c r="HL136"/>
  <c r="HM136" s="1"/>
  <c r="HN136" s="1"/>
  <c r="HL122"/>
  <c r="HM122" s="1"/>
  <c r="HN122" s="1"/>
  <c r="HK122"/>
  <c r="K402" i="21"/>
  <c r="F402"/>
  <c r="C402"/>
  <c r="B404"/>
  <c r="C403" s="1"/>
  <c r="L402"/>
  <c r="D402"/>
  <c r="G402"/>
  <c r="HO55" i="10"/>
  <c r="HP55"/>
  <c r="HQ55" s="1"/>
  <c r="HR55" s="1"/>
  <c r="HP31"/>
  <c r="HQ31" s="1"/>
  <c r="HR31" s="1"/>
  <c r="HO31"/>
  <c r="GA8"/>
  <c r="GB8"/>
  <c r="GC8" s="1"/>
  <c r="GD8" s="1"/>
  <c r="HO48"/>
  <c r="HP48"/>
  <c r="HQ48" s="1"/>
  <c r="HR48" s="1"/>
  <c r="HD14"/>
  <c r="HE14" s="1"/>
  <c r="HF14" s="1"/>
  <c r="HC14"/>
  <c r="BH23"/>
  <c r="BG23" s="1"/>
  <c r="EW2"/>
  <c r="EX2" s="1"/>
  <c r="HO122" l="1"/>
  <c r="HP122"/>
  <c r="HQ122" s="1"/>
  <c r="HR122" s="1"/>
  <c r="GF118"/>
  <c r="GG118" s="1"/>
  <c r="GH118" s="1"/>
  <c r="GE118"/>
  <c r="HO136"/>
  <c r="HP136"/>
  <c r="HQ136" s="1"/>
  <c r="HR136" s="1"/>
  <c r="F403" i="21"/>
  <c r="L403"/>
  <c r="G403"/>
  <c r="E403"/>
  <c r="B405"/>
  <c r="L404" s="1"/>
  <c r="D403"/>
  <c r="K403"/>
  <c r="HT48" i="10"/>
  <c r="HU48" s="1"/>
  <c r="HV48" s="1"/>
  <c r="HS48"/>
  <c r="GE8"/>
  <c r="GF8"/>
  <c r="GG8" s="1"/>
  <c r="GH8" s="1"/>
  <c r="HT55"/>
  <c r="HU55" s="1"/>
  <c r="HV55" s="1"/>
  <c r="HS55"/>
  <c r="HH14"/>
  <c r="HI14" s="1"/>
  <c r="HJ14" s="1"/>
  <c r="HG14"/>
  <c r="HS31"/>
  <c r="HT31"/>
  <c r="HU31" s="1"/>
  <c r="HV31" s="1"/>
  <c r="BH24"/>
  <c r="BG24" s="1"/>
  <c r="EZ2"/>
  <c r="EY2"/>
  <c r="HT136" l="1"/>
  <c r="HU136" s="1"/>
  <c r="HV136" s="1"/>
  <c r="HS136"/>
  <c r="HT122"/>
  <c r="HU122" s="1"/>
  <c r="HV122" s="1"/>
  <c r="HS122"/>
  <c r="GJ118"/>
  <c r="GK118" s="1"/>
  <c r="GL118" s="1"/>
  <c r="GI118"/>
  <c r="F404" i="21"/>
  <c r="G404"/>
  <c r="C404"/>
  <c r="B406"/>
  <c r="G405" s="1"/>
  <c r="E404"/>
  <c r="D404"/>
  <c r="K404"/>
  <c r="HW55" i="10"/>
  <c r="HX55"/>
  <c r="HY55" s="1"/>
  <c r="HZ55" s="1"/>
  <c r="HX48"/>
  <c r="HY48" s="1"/>
  <c r="HZ48" s="1"/>
  <c r="HW48"/>
  <c r="HW31"/>
  <c r="HX31"/>
  <c r="HY31" s="1"/>
  <c r="HZ31" s="1"/>
  <c r="GI8"/>
  <c r="GJ8"/>
  <c r="GK8" s="1"/>
  <c r="GL8" s="1"/>
  <c r="HK14"/>
  <c r="HL14"/>
  <c r="HM14" s="1"/>
  <c r="HN14" s="1"/>
  <c r="BH25"/>
  <c r="BG25" s="1"/>
  <c r="FA2"/>
  <c r="FB2" s="1"/>
  <c r="HX122" l="1"/>
  <c r="HY122" s="1"/>
  <c r="HZ122" s="1"/>
  <c r="HW122"/>
  <c r="GN118"/>
  <c r="GO118" s="1"/>
  <c r="GP118" s="1"/>
  <c r="GM118"/>
  <c r="HW136"/>
  <c r="HX136"/>
  <c r="HY136" s="1"/>
  <c r="HZ136" s="1"/>
  <c r="B407" i="21"/>
  <c r="C406" s="1"/>
  <c r="E405"/>
  <c r="L405"/>
  <c r="F405"/>
  <c r="D405"/>
  <c r="K405"/>
  <c r="C405"/>
  <c r="HP14" i="10"/>
  <c r="HQ14" s="1"/>
  <c r="HR14" s="1"/>
  <c r="HO14"/>
  <c r="IA48"/>
  <c r="IB48"/>
  <c r="GN8"/>
  <c r="GO8" s="1"/>
  <c r="GP8" s="1"/>
  <c r="GM8"/>
  <c r="IA31"/>
  <c r="IB31"/>
  <c r="IB55"/>
  <c r="IA55"/>
  <c r="BH26"/>
  <c r="BG26" s="1"/>
  <c r="IP22"/>
  <c r="II54" s="1"/>
  <c r="IG33"/>
  <c r="FD2"/>
  <c r="FC2"/>
  <c r="IB122" l="1"/>
  <c r="IA122"/>
  <c r="GR118"/>
  <c r="GS118" s="1"/>
  <c r="GT118" s="1"/>
  <c r="GQ118"/>
  <c r="IB136"/>
  <c r="IA136"/>
  <c r="E406" i="21"/>
  <c r="F406"/>
  <c r="D406"/>
  <c r="G406"/>
  <c r="L406"/>
  <c r="B408"/>
  <c r="C407" s="1"/>
  <c r="K406"/>
  <c r="GR8" i="10"/>
  <c r="GS8" s="1"/>
  <c r="GT8" s="1"/>
  <c r="GQ8"/>
  <c r="HS14"/>
  <c r="HT14"/>
  <c r="HU14" s="1"/>
  <c r="HV14" s="1"/>
  <c r="BH27"/>
  <c r="BG27" s="1"/>
  <c r="FE2"/>
  <c r="FF2" s="1"/>
  <c r="GV118" l="1"/>
  <c r="GW118" s="1"/>
  <c r="GX118" s="1"/>
  <c r="GU118"/>
  <c r="E407" i="21"/>
  <c r="B409"/>
  <c r="K408" s="1"/>
  <c r="F407"/>
  <c r="G407"/>
  <c r="K407"/>
  <c r="D407"/>
  <c r="L407"/>
  <c r="HX14" i="10"/>
  <c r="HY14" s="1"/>
  <c r="HZ14" s="1"/>
  <c r="HW14"/>
  <c r="GV8"/>
  <c r="GW8" s="1"/>
  <c r="GX8" s="1"/>
  <c r="GU8"/>
  <c r="BH28"/>
  <c r="BG28" s="1"/>
  <c r="FG2"/>
  <c r="FH2"/>
  <c r="H184" i="21"/>
  <c r="G184"/>
  <c r="F184"/>
  <c r="E184"/>
  <c r="GZ118" i="10" l="1"/>
  <c r="HA118" s="1"/>
  <c r="HB118" s="1"/>
  <c r="GY118"/>
  <c r="D408" i="21"/>
  <c r="B410"/>
  <c r="C409" s="1"/>
  <c r="G408"/>
  <c r="L408"/>
  <c r="E408"/>
  <c r="C408"/>
  <c r="F408"/>
  <c r="GY8" i="10"/>
  <c r="GZ8"/>
  <c r="HA8" s="1"/>
  <c r="HB8" s="1"/>
  <c r="IA14"/>
  <c r="IB14"/>
  <c r="BH29"/>
  <c r="BG29" s="1"/>
  <c r="FI2"/>
  <c r="FJ2" s="1"/>
  <c r="AD139"/>
  <c r="HC118" l="1"/>
  <c r="HD118"/>
  <c r="HE118" s="1"/>
  <c r="HF118" s="1"/>
  <c r="D409" i="21"/>
  <c r="G409"/>
  <c r="K409"/>
  <c r="B411"/>
  <c r="L410" s="1"/>
  <c r="L409"/>
  <c r="E409"/>
  <c r="F409"/>
  <c r="HD8" i="10"/>
  <c r="HE8" s="1"/>
  <c r="HF8" s="1"/>
  <c r="HC8"/>
  <c r="L93"/>
  <c r="M93" s="1"/>
  <c r="BH30"/>
  <c r="BG30" s="1"/>
  <c r="AE93"/>
  <c r="FL2"/>
  <c r="FK2"/>
  <c r="S139"/>
  <c r="V139"/>
  <c r="HG118" l="1"/>
  <c r="HH118"/>
  <c r="HI118" s="1"/>
  <c r="HJ118" s="1"/>
  <c r="B412" i="21"/>
  <c r="F411" s="1"/>
  <c r="G410"/>
  <c r="E410"/>
  <c r="D410"/>
  <c r="K410"/>
  <c r="F410"/>
  <c r="C410"/>
  <c r="HG8" i="10"/>
  <c r="HH8"/>
  <c r="HI8" s="1"/>
  <c r="HJ8" s="1"/>
  <c r="L139"/>
  <c r="M139" s="1"/>
  <c r="T139"/>
  <c r="Y139" s="1"/>
  <c r="Z139" s="1"/>
  <c r="AA139" s="1"/>
  <c r="AB139" s="1"/>
  <c r="W139"/>
  <c r="BH31"/>
  <c r="BG31" s="1"/>
  <c r="AE139"/>
  <c r="FM2"/>
  <c r="FN2" s="1"/>
  <c r="R139"/>
  <c r="CW30" i="21"/>
  <c r="CV30" s="1"/>
  <c r="CP31"/>
  <c r="CR31" s="1"/>
  <c r="CW31"/>
  <c r="CV31" s="1"/>
  <c r="CW32"/>
  <c r="CX32" s="1"/>
  <c r="CY32" s="1"/>
  <c r="CP33"/>
  <c r="CR33" s="1"/>
  <c r="CW33"/>
  <c r="CV33" s="1"/>
  <c r="CP34"/>
  <c r="CR34" s="1"/>
  <c r="CW34"/>
  <c r="CV34" s="1"/>
  <c r="CW35"/>
  <c r="CX35" s="1"/>
  <c r="CY35" s="1"/>
  <c r="CP36"/>
  <c r="CR36" s="1"/>
  <c r="CW36"/>
  <c r="CV36" s="1"/>
  <c r="CP37"/>
  <c r="CR37" s="1"/>
  <c r="CW37"/>
  <c r="CV37" s="1"/>
  <c r="CW38"/>
  <c r="CX38" s="1"/>
  <c r="CY38" s="1"/>
  <c r="CP39"/>
  <c r="CR39" s="1"/>
  <c r="CW39"/>
  <c r="CV39" s="1"/>
  <c r="CP40"/>
  <c r="CR40" s="1"/>
  <c r="CW40"/>
  <c r="CV40" s="1"/>
  <c r="CW41"/>
  <c r="CX41" s="1"/>
  <c r="CY41" s="1"/>
  <c r="CW42"/>
  <c r="CV42" s="1"/>
  <c r="CP43"/>
  <c r="CR43" s="1"/>
  <c r="CW43"/>
  <c r="CV43" s="1"/>
  <c r="CW44"/>
  <c r="CV44" s="1"/>
  <c r="CP45"/>
  <c r="CR45" s="1"/>
  <c r="CW45"/>
  <c r="CV45" s="1"/>
  <c r="CP29"/>
  <c r="CR29" s="1"/>
  <c r="HL118" i="10" l="1"/>
  <c r="HM118" s="1"/>
  <c r="HN118" s="1"/>
  <c r="HK118"/>
  <c r="G411" i="21"/>
  <c r="B413"/>
  <c r="D412" s="1"/>
  <c r="K411"/>
  <c r="C411"/>
  <c r="L411"/>
  <c r="E411"/>
  <c r="D411"/>
  <c r="HL8" i="10"/>
  <c r="HM8" s="1"/>
  <c r="HN8" s="1"/>
  <c r="HK8"/>
  <c r="I224" i="21"/>
  <c r="I223"/>
  <c r="I222"/>
  <c r="I251"/>
  <c r="I219"/>
  <c r="I225"/>
  <c r="I247"/>
  <c r="I221"/>
  <c r="I220"/>
  <c r="I233"/>
  <c r="I226"/>
  <c r="I231"/>
  <c r="I240"/>
  <c r="I266"/>
  <c r="I245"/>
  <c r="I236"/>
  <c r="I249"/>
  <c r="I234"/>
  <c r="I250"/>
  <c r="I238"/>
  <c r="I262"/>
  <c r="I232"/>
  <c r="I230"/>
  <c r="I243"/>
  <c r="I258"/>
  <c r="I248"/>
  <c r="I235"/>
  <c r="I244"/>
  <c r="I239"/>
  <c r="I246"/>
  <c r="I227"/>
  <c r="I237"/>
  <c r="I254"/>
  <c r="I241"/>
  <c r="I242"/>
  <c r="I228"/>
  <c r="I229"/>
  <c r="I272"/>
  <c r="I256"/>
  <c r="I264"/>
  <c r="I267"/>
  <c r="I268"/>
  <c r="I259"/>
  <c r="I282"/>
  <c r="I271"/>
  <c r="I269"/>
  <c r="I257"/>
  <c r="I278"/>
  <c r="I261"/>
  <c r="I255"/>
  <c r="I252"/>
  <c r="I265"/>
  <c r="I263"/>
  <c r="I260"/>
  <c r="I253"/>
  <c r="I270"/>
  <c r="I273"/>
  <c r="I283"/>
  <c r="I286"/>
  <c r="I277"/>
  <c r="I284"/>
  <c r="I275"/>
  <c r="I274"/>
  <c r="I281"/>
  <c r="I276"/>
  <c r="I280"/>
  <c r="I285"/>
  <c r="I279"/>
  <c r="I298"/>
  <c r="I296"/>
  <c r="I297"/>
  <c r="I290"/>
  <c r="I288"/>
  <c r="I300"/>
  <c r="I302"/>
  <c r="I299"/>
  <c r="I293"/>
  <c r="I291"/>
  <c r="I292"/>
  <c r="I301"/>
  <c r="I294"/>
  <c r="I287"/>
  <c r="I295"/>
  <c r="I289"/>
  <c r="I303"/>
  <c r="I312"/>
  <c r="I307"/>
  <c r="I308"/>
  <c r="I315"/>
  <c r="I313"/>
  <c r="I310"/>
  <c r="I311"/>
  <c r="I309"/>
  <c r="I305"/>
  <c r="I304"/>
  <c r="I314"/>
  <c r="I306"/>
  <c r="I332"/>
  <c r="I326"/>
  <c r="I323"/>
  <c r="I328"/>
  <c r="I352"/>
  <c r="I349"/>
  <c r="I340"/>
  <c r="I341"/>
  <c r="I320"/>
  <c r="I327"/>
  <c r="I322"/>
  <c r="I354"/>
  <c r="I358"/>
  <c r="I362"/>
  <c r="I366"/>
  <c r="I370"/>
  <c r="I374"/>
  <c r="I377"/>
  <c r="I364"/>
  <c r="I372"/>
  <c r="I351"/>
  <c r="I348"/>
  <c r="I318"/>
  <c r="I350"/>
  <c r="I353"/>
  <c r="I357"/>
  <c r="I361"/>
  <c r="I365"/>
  <c r="I373"/>
  <c r="I321"/>
  <c r="I343"/>
  <c r="I331"/>
  <c r="I333"/>
  <c r="I344"/>
  <c r="I345"/>
  <c r="I325"/>
  <c r="I342"/>
  <c r="I324"/>
  <c r="I355"/>
  <c r="I359"/>
  <c r="I363"/>
  <c r="I367"/>
  <c r="I371"/>
  <c r="I375"/>
  <c r="I334"/>
  <c r="I339"/>
  <c r="I347"/>
  <c r="I336"/>
  <c r="I329"/>
  <c r="I338"/>
  <c r="I330"/>
  <c r="I335"/>
  <c r="I346"/>
  <c r="I319"/>
  <c r="I317"/>
  <c r="I356"/>
  <c r="I360"/>
  <c r="I368"/>
  <c r="I376"/>
  <c r="I337"/>
  <c r="I316"/>
  <c r="I369"/>
  <c r="I378"/>
  <c r="I379"/>
  <c r="I380"/>
  <c r="I381"/>
  <c r="I382"/>
  <c r="I383"/>
  <c r="I384"/>
  <c r="I385"/>
  <c r="I386"/>
  <c r="I387"/>
  <c r="I388"/>
  <c r="I389"/>
  <c r="I390"/>
  <c r="I391"/>
  <c r="I392"/>
  <c r="I393"/>
  <c r="I394"/>
  <c r="I395"/>
  <c r="I396"/>
  <c r="I397"/>
  <c r="I398"/>
  <c r="I399"/>
  <c r="I400"/>
  <c r="I401"/>
  <c r="I402"/>
  <c r="I403"/>
  <c r="I404"/>
  <c r="I405"/>
  <c r="I406"/>
  <c r="I407"/>
  <c r="I408"/>
  <c r="I409"/>
  <c r="I410"/>
  <c r="I411"/>
  <c r="BH32" i="10"/>
  <c r="BG32" s="1"/>
  <c r="CN23" i="21"/>
  <c r="CN21"/>
  <c r="CN15"/>
  <c r="CN18"/>
  <c r="CN24"/>
  <c r="CN17"/>
  <c r="CN12"/>
  <c r="FP2" i="10"/>
  <c r="FO2"/>
  <c r="CZ43" i="21"/>
  <c r="CX45"/>
  <c r="CY45" s="1"/>
  <c r="CZ45"/>
  <c r="CZ44"/>
  <c r="CX40"/>
  <c r="CY40" s="1"/>
  <c r="CX34"/>
  <c r="CY34" s="1"/>
  <c r="CX44"/>
  <c r="CY44" s="1"/>
  <c r="CX43"/>
  <c r="CY43" s="1"/>
  <c r="CZ40"/>
  <c r="CX37"/>
  <c r="CY37" s="1"/>
  <c r="CX31"/>
  <c r="CY31" s="1"/>
  <c r="CX30"/>
  <c r="CY30" s="1"/>
  <c r="CX42"/>
  <c r="CY42" s="1"/>
  <c r="CZ41"/>
  <c r="CV41"/>
  <c r="CZ38"/>
  <c r="CV38"/>
  <c r="CZ35"/>
  <c r="CV35"/>
  <c r="CZ32"/>
  <c r="CV32"/>
  <c r="CN16" s="1"/>
  <c r="CX36"/>
  <c r="CY36" s="1"/>
  <c r="CX33"/>
  <c r="CY33" s="1"/>
  <c r="CZ39"/>
  <c r="CZ36"/>
  <c r="CZ33"/>
  <c r="CZ30"/>
  <c r="CX39"/>
  <c r="CY39" s="1"/>
  <c r="CZ42"/>
  <c r="CZ37"/>
  <c r="CZ34"/>
  <c r="CZ31"/>
  <c r="HO118" i="10" l="1"/>
  <c r="HP118"/>
  <c r="HQ118" s="1"/>
  <c r="HR118" s="1"/>
  <c r="F412" i="21"/>
  <c r="L412"/>
  <c r="B414"/>
  <c r="C413" s="1"/>
  <c r="C412"/>
  <c r="K412"/>
  <c r="E412"/>
  <c r="G412"/>
  <c r="I412"/>
  <c r="HO8" i="10"/>
  <c r="HP8"/>
  <c r="HQ8" s="1"/>
  <c r="HR8" s="1"/>
  <c r="BH33"/>
  <c r="BG33" s="1"/>
  <c r="CN22" i="21"/>
  <c r="FQ2" i="10"/>
  <c r="FR2" s="1"/>
  <c r="DR24" i="21"/>
  <c r="DH24"/>
  <c r="DJ24" s="1"/>
  <c r="HT118" i="10" l="1"/>
  <c r="HU118" s="1"/>
  <c r="HV118" s="1"/>
  <c r="HS118"/>
  <c r="I413" i="21"/>
  <c r="K413"/>
  <c r="F413"/>
  <c r="E413"/>
  <c r="B415"/>
  <c r="G414" s="1"/>
  <c r="L413"/>
  <c r="G413"/>
  <c r="D413"/>
  <c r="HS8" i="10"/>
  <c r="HT8"/>
  <c r="HU8" s="1"/>
  <c r="HV8" s="1"/>
  <c r="BH34"/>
  <c r="BG34" s="1"/>
  <c r="FT2"/>
  <c r="FS2"/>
  <c r="DP24" i="21"/>
  <c r="DQ24" s="1"/>
  <c r="DN24"/>
  <c r="HW118" i="10" l="1"/>
  <c r="HX118"/>
  <c r="HY118" s="1"/>
  <c r="HZ118" s="1"/>
  <c r="B416" i="21"/>
  <c r="E415" s="1"/>
  <c r="K414"/>
  <c r="L414"/>
  <c r="I414"/>
  <c r="E414"/>
  <c r="C414"/>
  <c r="F414"/>
  <c r="D414"/>
  <c r="HW8" i="10"/>
  <c r="HX8"/>
  <c r="HY8" s="1"/>
  <c r="HZ8" s="1"/>
  <c r="BH35"/>
  <c r="BG35" s="1"/>
  <c r="FU2"/>
  <c r="FV2" s="1"/>
  <c r="IB118" l="1"/>
  <c r="IA118"/>
  <c r="D415" i="21"/>
  <c r="C415"/>
  <c r="L415"/>
  <c r="F415"/>
  <c r="B417"/>
  <c r="I416" s="1"/>
  <c r="I415"/>
  <c r="G415"/>
  <c r="K415"/>
  <c r="IB8" i="10"/>
  <c r="IA8"/>
  <c r="BH36"/>
  <c r="BG36" s="1"/>
  <c r="FX2"/>
  <c r="FW2"/>
  <c r="EI60" i="21"/>
  <c r="E416" l="1"/>
  <c r="L416"/>
  <c r="G416"/>
  <c r="D416"/>
  <c r="B418"/>
  <c r="E417" s="1"/>
  <c r="F416"/>
  <c r="K416"/>
  <c r="C416"/>
  <c r="BH37" i="10"/>
  <c r="BG37" s="1"/>
  <c r="FY2"/>
  <c r="FZ2" s="1"/>
  <c r="CW29" i="21"/>
  <c r="CZ29" s="1"/>
  <c r="L417" l="1"/>
  <c r="I417"/>
  <c r="C417"/>
  <c r="G417"/>
  <c r="B419"/>
  <c r="E418" s="1"/>
  <c r="D417"/>
  <c r="F417"/>
  <c r="K417"/>
  <c r="BH38" i="10"/>
  <c r="BG38" s="1"/>
  <c r="S84"/>
  <c r="GB2"/>
  <c r="GA2"/>
  <c r="CV29" i="21"/>
  <c r="CX29"/>
  <c r="CY29" s="1"/>
  <c r="P192" i="10"/>
  <c r="ET3" i="21"/>
  <c r="EM26"/>
  <c r="EM27"/>
  <c r="EM28"/>
  <c r="EM29"/>
  <c r="EM30"/>
  <c r="EM32"/>
  <c r="EM33"/>
  <c r="EM34"/>
  <c r="EM35"/>
  <c r="EM36"/>
  <c r="EM37"/>
  <c r="EM38"/>
  <c r="EM39"/>
  <c r="EM40"/>
  <c r="EM41"/>
  <c r="L418" l="1"/>
  <c r="K418"/>
  <c r="D418"/>
  <c r="G418"/>
  <c r="C418"/>
  <c r="F418"/>
  <c r="B420"/>
  <c r="C419" s="1"/>
  <c r="I418"/>
  <c r="L188" i="10"/>
  <c r="M188" s="1"/>
  <c r="T84"/>
  <c r="W84"/>
  <c r="CN25" i="21"/>
  <c r="CN19"/>
  <c r="BH39" i="10"/>
  <c r="BG39" s="1"/>
  <c r="CN20" i="21"/>
  <c r="CN26"/>
  <c r="GC2" i="10"/>
  <c r="GD2" s="1"/>
  <c r="F66" i="21"/>
  <c r="C66" s="1"/>
  <c r="F67"/>
  <c r="F68"/>
  <c r="C68" s="1"/>
  <c r="F65"/>
  <c r="C65" s="1"/>
  <c r="D419" l="1"/>
  <c r="L419"/>
  <c r="I419"/>
  <c r="B421"/>
  <c r="C420" s="1"/>
  <c r="F419"/>
  <c r="E419"/>
  <c r="K419"/>
  <c r="G419"/>
  <c r="C67"/>
  <c r="BH40" i="10"/>
  <c r="BG40" s="1"/>
  <c r="H67" i="21"/>
  <c r="H68"/>
  <c r="H65"/>
  <c r="H66"/>
  <c r="GF2" i="10"/>
  <c r="GE2"/>
  <c r="I420" i="21" l="1"/>
  <c r="E420"/>
  <c r="L420"/>
  <c r="K420"/>
  <c r="G420"/>
  <c r="B422"/>
  <c r="D421" s="1"/>
  <c r="D420"/>
  <c r="F420"/>
  <c r="E666"/>
  <c r="D666"/>
  <c r="BH41" i="10"/>
  <c r="BG41" s="1"/>
  <c r="GG2"/>
  <c r="GH2" s="1"/>
  <c r="I68" i="21"/>
  <c r="I65"/>
  <c r="I66"/>
  <c r="I67"/>
  <c r="L421" l="1"/>
  <c r="F421"/>
  <c r="G421"/>
  <c r="I421"/>
  <c r="E421"/>
  <c r="C421"/>
  <c r="B423"/>
  <c r="E422" s="1"/>
  <c r="K421"/>
  <c r="E667"/>
  <c r="D667"/>
  <c r="F666"/>
  <c r="BH42" i="10"/>
  <c r="BG42" s="1"/>
  <c r="GJ2"/>
  <c r="GI2"/>
  <c r="G422" i="21" l="1"/>
  <c r="L422"/>
  <c r="I422"/>
  <c r="C422"/>
  <c r="F422"/>
  <c r="B424"/>
  <c r="E423" s="1"/>
  <c r="D422"/>
  <c r="K422"/>
  <c r="F667"/>
  <c r="GK2" i="10"/>
  <c r="GL2" s="1"/>
  <c r="B425" i="21" l="1"/>
  <c r="G424" s="1"/>
  <c r="K423"/>
  <c r="C423"/>
  <c r="F423"/>
  <c r="G423"/>
  <c r="I423"/>
  <c r="L423"/>
  <c r="D423"/>
  <c r="GM2" i="10"/>
  <c r="GN2"/>
  <c r="I424" i="21" l="1"/>
  <c r="E424"/>
  <c r="F424"/>
  <c r="C424"/>
  <c r="B426"/>
  <c r="G425" s="1"/>
  <c r="L424"/>
  <c r="K424"/>
  <c r="D424"/>
  <c r="GO2" i="10"/>
  <c r="GP2" s="1"/>
  <c r="L425" i="21" l="1"/>
  <c r="F425"/>
  <c r="E425"/>
  <c r="D425"/>
  <c r="B427"/>
  <c r="L426" s="1"/>
  <c r="C425"/>
  <c r="K425"/>
  <c r="I425"/>
  <c r="GQ2" i="10"/>
  <c r="GR2"/>
  <c r="G426" i="21" l="1"/>
  <c r="B428"/>
  <c r="D427" s="1"/>
  <c r="E426"/>
  <c r="D426"/>
  <c r="C426"/>
  <c r="F426"/>
  <c r="I426"/>
  <c r="K426"/>
  <c r="GS2" i="10"/>
  <c r="GT2" s="1"/>
  <c r="C427" i="21" l="1"/>
  <c r="I427"/>
  <c r="G427"/>
  <c r="K427"/>
  <c r="L427"/>
  <c r="B429"/>
  <c r="E428" s="1"/>
  <c r="E427"/>
  <c r="F427"/>
  <c r="GV2" i="10"/>
  <c r="GU2"/>
  <c r="K428" i="21" l="1"/>
  <c r="G428"/>
  <c r="B430"/>
  <c r="C429" s="1"/>
  <c r="I428"/>
  <c r="C428"/>
  <c r="F428"/>
  <c r="D428"/>
  <c r="L428"/>
  <c r="GW2" i="10"/>
  <c r="GX2" s="1"/>
  <c r="FJ42" i="21"/>
  <c r="FM43" s="1"/>
  <c r="F429" l="1"/>
  <c r="L429"/>
  <c r="B431"/>
  <c r="L430" s="1"/>
  <c r="K429"/>
  <c r="G429"/>
  <c r="I429"/>
  <c r="D429"/>
  <c r="E429"/>
  <c r="GZ2" i="10"/>
  <c r="GY2"/>
  <c r="G430" i="21" l="1"/>
  <c r="E430"/>
  <c r="F430"/>
  <c r="K430"/>
  <c r="I430"/>
  <c r="B432"/>
  <c r="G431" s="1"/>
  <c r="C430"/>
  <c r="D430"/>
  <c r="HA2" i="10"/>
  <c r="HB2" s="1"/>
  <c r="K431" i="21" l="1"/>
  <c r="C431"/>
  <c r="B433"/>
  <c r="E432" s="1"/>
  <c r="I431"/>
  <c r="F431"/>
  <c r="D431"/>
  <c r="E431"/>
  <c r="L431"/>
  <c r="HC2" i="10"/>
  <c r="HD2"/>
  <c r="AD32"/>
  <c r="L432" i="21" l="1"/>
  <c r="G432"/>
  <c r="K432"/>
  <c r="D432"/>
  <c r="I432"/>
  <c r="F432"/>
  <c r="B434"/>
  <c r="E433" s="1"/>
  <c r="C432"/>
  <c r="HE2" i="10"/>
  <c r="HF2" s="1"/>
  <c r="S32"/>
  <c r="V32"/>
  <c r="Q73"/>
  <c r="BW73" s="1"/>
  <c r="BX73" s="1"/>
  <c r="BY73" s="1"/>
  <c r="BZ73" s="1"/>
  <c r="AD73"/>
  <c r="I433" i="21" l="1"/>
  <c r="G433"/>
  <c r="C433"/>
  <c r="L433"/>
  <c r="F433"/>
  <c r="B435"/>
  <c r="E434" s="1"/>
  <c r="K433"/>
  <c r="D433"/>
  <c r="CB73" i="10"/>
  <c r="CC73" s="1"/>
  <c r="CD73" s="1"/>
  <c r="CA73"/>
  <c r="L32"/>
  <c r="M32" s="1"/>
  <c r="R32"/>
  <c r="W32"/>
  <c r="AE32"/>
  <c r="HH2"/>
  <c r="HG2"/>
  <c r="T32"/>
  <c r="Y32" s="1"/>
  <c r="S73"/>
  <c r="V73"/>
  <c r="I434" i="21" l="1"/>
  <c r="B436"/>
  <c r="I435" s="1"/>
  <c r="D434"/>
  <c r="L434"/>
  <c r="G434"/>
  <c r="F434"/>
  <c r="K434"/>
  <c r="C434"/>
  <c r="CE73" i="10"/>
  <c r="CF73"/>
  <c r="CG73" s="1"/>
  <c r="CH73" s="1"/>
  <c r="Z32"/>
  <c r="AA32" s="1"/>
  <c r="AB32" s="1"/>
  <c r="L73"/>
  <c r="M73" s="1"/>
  <c r="T73"/>
  <c r="Y73" s="1"/>
  <c r="W73"/>
  <c r="AE73"/>
  <c r="HI2"/>
  <c r="HJ2" s="1"/>
  <c r="R73"/>
  <c r="G435" i="21" l="1"/>
  <c r="E435"/>
  <c r="K435"/>
  <c r="C435"/>
  <c r="B437"/>
  <c r="E436" s="1"/>
  <c r="F435"/>
  <c r="L435"/>
  <c r="D435"/>
  <c r="CI73" i="10"/>
  <c r="CJ73"/>
  <c r="CK73" s="1"/>
  <c r="CL73" s="1"/>
  <c r="Z73"/>
  <c r="AA73" s="1"/>
  <c r="AB73" s="1"/>
  <c r="HK2"/>
  <c r="HL2"/>
  <c r="K436" i="21" l="1"/>
  <c r="F436"/>
  <c r="I436"/>
  <c r="G436"/>
  <c r="B438"/>
  <c r="K437" s="1"/>
  <c r="D436"/>
  <c r="C436"/>
  <c r="L436"/>
  <c r="CM73" i="10"/>
  <c r="CN73"/>
  <c r="CO73" s="1"/>
  <c r="CP73" s="1"/>
  <c r="HM2"/>
  <c r="HN2" s="1"/>
  <c r="F437" i="21" l="1"/>
  <c r="E437"/>
  <c r="G437"/>
  <c r="C437"/>
  <c r="B439"/>
  <c r="E438" s="1"/>
  <c r="D437"/>
  <c r="L437"/>
  <c r="I437"/>
  <c r="CQ73" i="10"/>
  <c r="CR73"/>
  <c r="CS73" s="1"/>
  <c r="CT73" s="1"/>
  <c r="HO2"/>
  <c r="HP2"/>
  <c r="Q92"/>
  <c r="BW92" s="1"/>
  <c r="BX92" s="1"/>
  <c r="BY92" s="1"/>
  <c r="BZ92" s="1"/>
  <c r="AD92"/>
  <c r="G438" i="21" l="1"/>
  <c r="C438"/>
  <c r="D438"/>
  <c r="K438"/>
  <c r="B440"/>
  <c r="C439" s="1"/>
  <c r="I438"/>
  <c r="F438"/>
  <c r="L438"/>
  <c r="CA92" i="10"/>
  <c r="CB92"/>
  <c r="CC92" s="1"/>
  <c r="CD92" s="1"/>
  <c r="CU73"/>
  <c r="CV73"/>
  <c r="CW73" s="1"/>
  <c r="CX73" s="1"/>
  <c r="F199"/>
  <c r="HQ2"/>
  <c r="HR2" s="1"/>
  <c r="S92"/>
  <c r="V92"/>
  <c r="EM42" i="21"/>
  <c r="EL42"/>
  <c r="D439" l="1"/>
  <c r="B441"/>
  <c r="L440" s="1"/>
  <c r="F439"/>
  <c r="L439"/>
  <c r="G439"/>
  <c r="K439"/>
  <c r="I439"/>
  <c r="E439"/>
  <c r="CY73" i="10"/>
  <c r="CZ73"/>
  <c r="DA73" s="1"/>
  <c r="DB73" s="1"/>
  <c r="CE92"/>
  <c r="CF92"/>
  <c r="CG92" s="1"/>
  <c r="CH92" s="1"/>
  <c r="L92"/>
  <c r="M92" s="1"/>
  <c r="T92"/>
  <c r="Y92" s="1"/>
  <c r="W92"/>
  <c r="AE92"/>
  <c r="HS2"/>
  <c r="HT2"/>
  <c r="R92"/>
  <c r="G440" i="21" l="1"/>
  <c r="I440"/>
  <c r="K440"/>
  <c r="B442"/>
  <c r="L441" s="1"/>
  <c r="D440"/>
  <c r="F440"/>
  <c r="C440"/>
  <c r="E440"/>
  <c r="CJ92" i="10"/>
  <c r="CK92" s="1"/>
  <c r="CL92" s="1"/>
  <c r="CI92"/>
  <c r="DC73"/>
  <c r="DD73"/>
  <c r="DE73" s="1"/>
  <c r="DF73" s="1"/>
  <c r="Z92"/>
  <c r="AA92" s="1"/>
  <c r="AB92" s="1"/>
  <c r="HU2"/>
  <c r="HV2" s="1"/>
  <c r="I441" i="21" l="1"/>
  <c r="K441"/>
  <c r="G441"/>
  <c r="B443"/>
  <c r="K442" s="1"/>
  <c r="F441"/>
  <c r="C441"/>
  <c r="D441"/>
  <c r="E441"/>
  <c r="CM92" i="10"/>
  <c r="CN92"/>
  <c r="CO92" s="1"/>
  <c r="CP92" s="1"/>
  <c r="DH73"/>
  <c r="DI73" s="1"/>
  <c r="DJ73" s="1"/>
  <c r="DG73"/>
  <c r="HX2"/>
  <c r="HW2"/>
  <c r="D442" i="21" l="1"/>
  <c r="G442"/>
  <c r="F442"/>
  <c r="E442"/>
  <c r="B444"/>
  <c r="G443" s="1"/>
  <c r="I442"/>
  <c r="L442"/>
  <c r="C442"/>
  <c r="CR92" i="10"/>
  <c r="CS92" s="1"/>
  <c r="CT92" s="1"/>
  <c r="CQ92"/>
  <c r="DK73"/>
  <c r="DL73"/>
  <c r="DM73" s="1"/>
  <c r="DN73" s="1"/>
  <c r="HY2"/>
  <c r="HZ2" s="1"/>
  <c r="I443" i="21" l="1"/>
  <c r="L443"/>
  <c r="F443"/>
  <c r="D443"/>
  <c r="B445"/>
  <c r="C444" s="1"/>
  <c r="K443"/>
  <c r="E443"/>
  <c r="C443"/>
  <c r="CV92" i="10"/>
  <c r="CW92" s="1"/>
  <c r="CX92" s="1"/>
  <c r="CU92"/>
  <c r="DO73"/>
  <c r="DP73"/>
  <c r="DQ73" s="1"/>
  <c r="DR73" s="1"/>
  <c r="IA2"/>
  <c r="IB2"/>
  <c r="F444" i="21" l="1"/>
  <c r="D444"/>
  <c r="E444"/>
  <c r="L444"/>
  <c r="B446"/>
  <c r="E445" s="1"/>
  <c r="K444"/>
  <c r="I444"/>
  <c r="G444"/>
  <c r="DS73" i="10"/>
  <c r="DT73"/>
  <c r="DU73" s="1"/>
  <c r="DV73" s="1"/>
  <c r="CY92"/>
  <c r="CZ92"/>
  <c r="DA92" s="1"/>
  <c r="DB92" s="1"/>
  <c r="L445" i="21" l="1"/>
  <c r="B447"/>
  <c r="K446" s="1"/>
  <c r="I445"/>
  <c r="K445"/>
  <c r="D445"/>
  <c r="F445"/>
  <c r="C445"/>
  <c r="G445"/>
  <c r="DD92" i="10"/>
  <c r="DE92" s="1"/>
  <c r="DF92" s="1"/>
  <c r="DC92"/>
  <c r="DW73"/>
  <c r="DX73"/>
  <c r="DY73" s="1"/>
  <c r="DZ73" s="1"/>
  <c r="D446" i="21" l="1"/>
  <c r="L446"/>
  <c r="C446"/>
  <c r="E446"/>
  <c r="B448"/>
  <c r="G447" s="1"/>
  <c r="I446"/>
  <c r="F446"/>
  <c r="G446"/>
  <c r="DH92" i="10"/>
  <c r="DI92" s="1"/>
  <c r="DJ92" s="1"/>
  <c r="DG92"/>
  <c r="EA73"/>
  <c r="EB73"/>
  <c r="EC73" s="1"/>
  <c r="ED73" s="1"/>
  <c r="AD75"/>
  <c r="D447" i="21" l="1"/>
  <c r="B449"/>
  <c r="L448" s="1"/>
  <c r="E447"/>
  <c r="K447"/>
  <c r="I447"/>
  <c r="F447"/>
  <c r="L447"/>
  <c r="C447"/>
  <c r="DK92" i="10"/>
  <c r="DL92"/>
  <c r="DM92" s="1"/>
  <c r="DN92" s="1"/>
  <c r="EF73"/>
  <c r="EG73" s="1"/>
  <c r="EH73" s="1"/>
  <c r="EE73"/>
  <c r="S75"/>
  <c r="V75"/>
  <c r="D448" i="21" l="1"/>
  <c r="C448"/>
  <c r="F448"/>
  <c r="K448"/>
  <c r="B450"/>
  <c r="I449" s="1"/>
  <c r="I448"/>
  <c r="G448"/>
  <c r="E448"/>
  <c r="DO92" i="10"/>
  <c r="DP92"/>
  <c r="DQ92" s="1"/>
  <c r="DR92" s="1"/>
  <c r="EI73"/>
  <c r="EJ73"/>
  <c r="EK73" s="1"/>
  <c r="EL73" s="1"/>
  <c r="L75"/>
  <c r="M75" s="1"/>
  <c r="R75"/>
  <c r="W75"/>
  <c r="AE75"/>
  <c r="T75"/>
  <c r="Y75" s="1"/>
  <c r="L449" i="21" l="1"/>
  <c r="D449"/>
  <c r="K449"/>
  <c r="G449"/>
  <c r="B451"/>
  <c r="E450" s="1"/>
  <c r="F449"/>
  <c r="E449"/>
  <c r="C449"/>
  <c r="EM73" i="10"/>
  <c r="EN73"/>
  <c r="EO73" s="1"/>
  <c r="EP73" s="1"/>
  <c r="DS92"/>
  <c r="DT92"/>
  <c r="DU92" s="1"/>
  <c r="DV92" s="1"/>
  <c r="Z75"/>
  <c r="AA75" s="1"/>
  <c r="AB75" s="1"/>
  <c r="P186"/>
  <c r="P190" s="1"/>
  <c r="K450" i="21" l="1"/>
  <c r="G450"/>
  <c r="B452"/>
  <c r="G451" s="1"/>
  <c r="C450"/>
  <c r="I450"/>
  <c r="L450"/>
  <c r="D450"/>
  <c r="F450"/>
  <c r="EQ73" i="10"/>
  <c r="ER73"/>
  <c r="ES73" s="1"/>
  <c r="ET73" s="1"/>
  <c r="DX92"/>
  <c r="DY92" s="1"/>
  <c r="DZ92" s="1"/>
  <c r="DW92"/>
  <c r="U225"/>
  <c r="V225"/>
  <c r="U226"/>
  <c r="V226"/>
  <c r="U218"/>
  <c r="V218"/>
  <c r="U214"/>
  <c r="U215"/>
  <c r="V214"/>
  <c r="V215"/>
  <c r="V216"/>
  <c r="U216"/>
  <c r="S227"/>
  <c r="R189"/>
  <c r="S189"/>
  <c r="DH25" i="21"/>
  <c r="DJ25" s="1"/>
  <c r="DR25"/>
  <c r="L451" l="1"/>
  <c r="I451"/>
  <c r="F451"/>
  <c r="D451"/>
  <c r="B453"/>
  <c r="L452" s="1"/>
  <c r="K451"/>
  <c r="E451"/>
  <c r="C451"/>
  <c r="EB92" i="10"/>
  <c r="EC92" s="1"/>
  <c r="ED92" s="1"/>
  <c r="EA92"/>
  <c r="EU73"/>
  <c r="EV73"/>
  <c r="EW73" s="1"/>
  <c r="EX73" s="1"/>
  <c r="U227"/>
  <c r="T227"/>
  <c r="V227" s="1"/>
  <c r="DP25" i="21"/>
  <c r="DQ25" s="1"/>
  <c r="DN25"/>
  <c r="G452" l="1"/>
  <c r="B454"/>
  <c r="G453" s="1"/>
  <c r="I452"/>
  <c r="K452"/>
  <c r="F452"/>
  <c r="E452"/>
  <c r="D452"/>
  <c r="C452"/>
  <c r="EZ73" i="10"/>
  <c r="FA73" s="1"/>
  <c r="FB73" s="1"/>
  <c r="EY73"/>
  <c r="EE92"/>
  <c r="EF92"/>
  <c r="EG92" s="1"/>
  <c r="EH92" s="1"/>
  <c r="B455" i="21" l="1"/>
  <c r="D454" s="1"/>
  <c r="K453"/>
  <c r="L453"/>
  <c r="I453"/>
  <c r="E453"/>
  <c r="F453"/>
  <c r="C453"/>
  <c r="D453"/>
  <c r="EJ92" i="10"/>
  <c r="EK92" s="1"/>
  <c r="EL92" s="1"/>
  <c r="EI92"/>
  <c r="FC73"/>
  <c r="FD73"/>
  <c r="FE73" s="1"/>
  <c r="FF73" s="1"/>
  <c r="AD78"/>
  <c r="I454" i="21" l="1"/>
  <c r="C454"/>
  <c r="E454"/>
  <c r="L454"/>
  <c r="B456"/>
  <c r="K455" s="1"/>
  <c r="F454"/>
  <c r="K454"/>
  <c r="G454"/>
  <c r="EM92" i="10"/>
  <c r="EN92"/>
  <c r="EO92" s="1"/>
  <c r="EP92" s="1"/>
  <c r="FG73"/>
  <c r="FH73"/>
  <c r="FI73" s="1"/>
  <c r="FJ73" s="1"/>
  <c r="S78"/>
  <c r="V78"/>
  <c r="L455" i="21" l="1"/>
  <c r="I455"/>
  <c r="F455"/>
  <c r="G455"/>
  <c r="B457"/>
  <c r="L456" s="1"/>
  <c r="C455"/>
  <c r="E455"/>
  <c r="D455"/>
  <c r="FK73" i="10"/>
  <c r="FL73"/>
  <c r="FM73" s="1"/>
  <c r="FN73" s="1"/>
  <c r="EQ92"/>
  <c r="ER92"/>
  <c r="ES92" s="1"/>
  <c r="ET92" s="1"/>
  <c r="L78"/>
  <c r="M78" s="1"/>
  <c r="T78"/>
  <c r="Y78" s="1"/>
  <c r="W78"/>
  <c r="AE78"/>
  <c r="R78"/>
  <c r="AD113"/>
  <c r="I456" i="21" l="1"/>
  <c r="E456"/>
  <c r="K456"/>
  <c r="F456"/>
  <c r="G456"/>
  <c r="B458"/>
  <c r="G457" s="1"/>
  <c r="C456"/>
  <c r="D456"/>
  <c r="FP73" i="10"/>
  <c r="FQ73" s="1"/>
  <c r="FR73" s="1"/>
  <c r="FO73"/>
  <c r="EU92"/>
  <c r="EV92"/>
  <c r="EW92" s="1"/>
  <c r="EX92" s="1"/>
  <c r="Z78"/>
  <c r="AA78" s="1"/>
  <c r="AB78" s="1"/>
  <c r="S113"/>
  <c r="V113"/>
  <c r="EM45" i="21"/>
  <c r="EL45"/>
  <c r="FK42"/>
  <c r="FN43" s="1"/>
  <c r="AD68" i="10"/>
  <c r="S143"/>
  <c r="AD143"/>
  <c r="E457" i="21" l="1"/>
  <c r="B459"/>
  <c r="I458" s="1"/>
  <c r="L457"/>
  <c r="C457"/>
  <c r="F457"/>
  <c r="K457"/>
  <c r="I457"/>
  <c r="D457"/>
  <c r="FS73" i="10"/>
  <c r="FT73"/>
  <c r="FU73" s="1"/>
  <c r="FV73" s="1"/>
  <c r="EZ92"/>
  <c r="FA92" s="1"/>
  <c r="FB92" s="1"/>
  <c r="EY92"/>
  <c r="L113"/>
  <c r="M113" s="1"/>
  <c r="T113"/>
  <c r="Y113" s="1"/>
  <c r="W113"/>
  <c r="R143"/>
  <c r="W143"/>
  <c r="AE113"/>
  <c r="R113"/>
  <c r="S68"/>
  <c r="V143"/>
  <c r="V68"/>
  <c r="T143"/>
  <c r="C458" i="21" l="1"/>
  <c r="L458"/>
  <c r="E458"/>
  <c r="K458"/>
  <c r="F458"/>
  <c r="B460"/>
  <c r="C459" s="1"/>
  <c r="G458"/>
  <c r="D458"/>
  <c r="FD92" i="10"/>
  <c r="FE92" s="1"/>
  <c r="FF92" s="1"/>
  <c r="FC92"/>
  <c r="FX73"/>
  <c r="FY73" s="1"/>
  <c r="FZ73" s="1"/>
  <c r="FW73"/>
  <c r="Z113"/>
  <c r="AA113" s="1"/>
  <c r="AB113" s="1"/>
  <c r="L68"/>
  <c r="M68" s="1"/>
  <c r="R68"/>
  <c r="W68"/>
  <c r="M143"/>
  <c r="AE143"/>
  <c r="AE68"/>
  <c r="T68"/>
  <c r="Y68" s="1"/>
  <c r="K35" i="21"/>
  <c r="BX32"/>
  <c r="L459" l="1"/>
  <c r="I459"/>
  <c r="F459"/>
  <c r="D459"/>
  <c r="K459"/>
  <c r="G459"/>
  <c r="B461"/>
  <c r="L460" s="1"/>
  <c r="E459"/>
  <c r="GA73" i="10"/>
  <c r="GB73"/>
  <c r="GC73" s="1"/>
  <c r="GD73" s="1"/>
  <c r="FG92"/>
  <c r="FH92"/>
  <c r="FI92" s="1"/>
  <c r="FJ92" s="1"/>
  <c r="Z68"/>
  <c r="AA68" s="1"/>
  <c r="AB68" s="1"/>
  <c r="CF32" i="21"/>
  <c r="CG32" s="1"/>
  <c r="BZ32"/>
  <c r="AD100" i="10"/>
  <c r="F460" i="21" l="1"/>
  <c r="B462"/>
  <c r="F461" s="1"/>
  <c r="D460"/>
  <c r="K460"/>
  <c r="C460"/>
  <c r="G460"/>
  <c r="I460"/>
  <c r="E460"/>
  <c r="FK92" i="10"/>
  <c r="FL92"/>
  <c r="FM92" s="1"/>
  <c r="FN92" s="1"/>
  <c r="GE73"/>
  <c r="GF73"/>
  <c r="GG73" s="1"/>
  <c r="GH73" s="1"/>
  <c r="S100"/>
  <c r="V100"/>
  <c r="D461" i="21" l="1"/>
  <c r="E461"/>
  <c r="B463"/>
  <c r="K462" s="1"/>
  <c r="C461"/>
  <c r="G461"/>
  <c r="I461"/>
  <c r="K461"/>
  <c r="L461"/>
  <c r="GJ73" i="10"/>
  <c r="GK73" s="1"/>
  <c r="GL73" s="1"/>
  <c r="GI73"/>
  <c r="FO92"/>
  <c r="FP92"/>
  <c r="FQ92" s="1"/>
  <c r="FR92" s="1"/>
  <c r="L100"/>
  <c r="M100" s="1"/>
  <c r="R100"/>
  <c r="W100"/>
  <c r="AE100"/>
  <c r="T100"/>
  <c r="Y100" s="1"/>
  <c r="DH26" i="21"/>
  <c r="DJ26" s="1"/>
  <c r="DR26"/>
  <c r="Q140" i="10"/>
  <c r="BW140" s="1"/>
  <c r="BX140" s="1"/>
  <c r="BY140" s="1"/>
  <c r="BZ140" s="1"/>
  <c r="CA140" l="1"/>
  <c r="CB140"/>
  <c r="CC140" s="1"/>
  <c r="CD140" s="1"/>
  <c r="B464" i="21"/>
  <c r="G463" s="1"/>
  <c r="D462"/>
  <c r="F462"/>
  <c r="L462"/>
  <c r="I462"/>
  <c r="G462"/>
  <c r="C462"/>
  <c r="E462"/>
  <c r="FT92" i="10"/>
  <c r="FU92" s="1"/>
  <c r="FV92" s="1"/>
  <c r="FS92"/>
  <c r="GN73"/>
  <c r="GO73" s="1"/>
  <c r="GP73" s="1"/>
  <c r="GM73"/>
  <c r="Z100"/>
  <c r="AA100" s="1"/>
  <c r="AB100" s="1"/>
  <c r="DP26" i="21"/>
  <c r="DQ26" s="1"/>
  <c r="DN26"/>
  <c r="CF140" i="10" l="1"/>
  <c r="CG140" s="1"/>
  <c r="CH140" s="1"/>
  <c r="CE140"/>
  <c r="F463" i="21"/>
  <c r="D463"/>
  <c r="E463"/>
  <c r="K463"/>
  <c r="I463"/>
  <c r="B465"/>
  <c r="L464" s="1"/>
  <c r="L463"/>
  <c r="C463"/>
  <c r="GQ73" i="10"/>
  <c r="GR73"/>
  <c r="GS73" s="1"/>
  <c r="GT73" s="1"/>
  <c r="FW92"/>
  <c r="FX92"/>
  <c r="FY92" s="1"/>
  <c r="FZ92" s="1"/>
  <c r="CI140" l="1"/>
  <c r="CJ140"/>
  <c r="CK140" s="1"/>
  <c r="CL140" s="1"/>
  <c r="C464" i="21"/>
  <c r="K464"/>
  <c r="I464"/>
  <c r="B466"/>
  <c r="K465" s="1"/>
  <c r="F464"/>
  <c r="G464"/>
  <c r="E464"/>
  <c r="D464"/>
  <c r="GU73" i="10"/>
  <c r="GV73"/>
  <c r="GW73" s="1"/>
  <c r="GX73" s="1"/>
  <c r="GA92"/>
  <c r="GB92"/>
  <c r="GC92" s="1"/>
  <c r="GD92" s="1"/>
  <c r="EZ173" i="21"/>
  <c r="FE173" s="1"/>
  <c r="EO27"/>
  <c r="EO29"/>
  <c r="EO32"/>
  <c r="EO34"/>
  <c r="EO36"/>
  <c r="EO38"/>
  <c r="EO40"/>
  <c r="EO26"/>
  <c r="EO28"/>
  <c r="EO30"/>
  <c r="EO33"/>
  <c r="EO35"/>
  <c r="EO37"/>
  <c r="EO39"/>
  <c r="EO41"/>
  <c r="EI27"/>
  <c r="EN27" s="1"/>
  <c r="EI29"/>
  <c r="EN29" s="1"/>
  <c r="EI32"/>
  <c r="EI34"/>
  <c r="EI36"/>
  <c r="EI38"/>
  <c r="EI26"/>
  <c r="EN26" s="1"/>
  <c r="EI28"/>
  <c r="EN28" s="1"/>
  <c r="EI30"/>
  <c r="EI33"/>
  <c r="EI35"/>
  <c r="EI37"/>
  <c r="EZ110"/>
  <c r="FE110" s="1"/>
  <c r="EZ112"/>
  <c r="FE112" s="1"/>
  <c r="EZ114"/>
  <c r="FE114" s="1"/>
  <c r="EZ116"/>
  <c r="FE116" s="1"/>
  <c r="EZ118"/>
  <c r="FE118" s="1"/>
  <c r="EZ120"/>
  <c r="FE120" s="1"/>
  <c r="EZ122"/>
  <c r="FE122" s="1"/>
  <c r="EZ124"/>
  <c r="FE124" s="1"/>
  <c r="EZ126"/>
  <c r="FE126" s="1"/>
  <c r="EZ128"/>
  <c r="FE128" s="1"/>
  <c r="EZ130"/>
  <c r="FE130" s="1"/>
  <c r="EZ132"/>
  <c r="FE132" s="1"/>
  <c r="EZ134"/>
  <c r="FE134" s="1"/>
  <c r="EZ136"/>
  <c r="FE136" s="1"/>
  <c r="EZ138"/>
  <c r="FE138" s="1"/>
  <c r="EZ140"/>
  <c r="FE140" s="1"/>
  <c r="EZ142"/>
  <c r="FE142" s="1"/>
  <c r="EZ144"/>
  <c r="FE144" s="1"/>
  <c r="EZ146"/>
  <c r="FE146" s="1"/>
  <c r="EZ148"/>
  <c r="FE148" s="1"/>
  <c r="EZ150"/>
  <c r="FE150" s="1"/>
  <c r="EZ152"/>
  <c r="FE152" s="1"/>
  <c r="EZ154"/>
  <c r="FE154" s="1"/>
  <c r="EZ156"/>
  <c r="FE156" s="1"/>
  <c r="EZ158"/>
  <c r="FE158" s="1"/>
  <c r="EZ160"/>
  <c r="FE160" s="1"/>
  <c r="EZ162"/>
  <c r="FE162" s="1"/>
  <c r="EZ111"/>
  <c r="FE111" s="1"/>
  <c r="EZ113"/>
  <c r="FE113" s="1"/>
  <c r="EZ115"/>
  <c r="FE115" s="1"/>
  <c r="EZ117"/>
  <c r="FE117" s="1"/>
  <c r="EZ119"/>
  <c r="FE119" s="1"/>
  <c r="EZ121"/>
  <c r="FE121" s="1"/>
  <c r="EZ123"/>
  <c r="FE123" s="1"/>
  <c r="EZ125"/>
  <c r="FE125" s="1"/>
  <c r="EZ127"/>
  <c r="FE127" s="1"/>
  <c r="EZ129"/>
  <c r="FE129" s="1"/>
  <c r="EZ131"/>
  <c r="FE131" s="1"/>
  <c r="EZ133"/>
  <c r="FE133" s="1"/>
  <c r="EZ135"/>
  <c r="FE135" s="1"/>
  <c r="EZ137"/>
  <c r="FE137" s="1"/>
  <c r="EZ139"/>
  <c r="FE139" s="1"/>
  <c r="EZ141"/>
  <c r="FE141" s="1"/>
  <c r="EZ143"/>
  <c r="FE143" s="1"/>
  <c r="EZ145"/>
  <c r="FE145" s="1"/>
  <c r="EZ147"/>
  <c r="FE147" s="1"/>
  <c r="EZ149"/>
  <c r="FE149" s="1"/>
  <c r="EZ151"/>
  <c r="FE151" s="1"/>
  <c r="EZ153"/>
  <c r="FE153" s="1"/>
  <c r="EZ155"/>
  <c r="FE155" s="1"/>
  <c r="EZ157"/>
  <c r="FE157" s="1"/>
  <c r="EZ159"/>
  <c r="FE159" s="1"/>
  <c r="EZ161"/>
  <c r="FE161" s="1"/>
  <c r="EI42"/>
  <c r="EO42"/>
  <c r="EZ186"/>
  <c r="FE186" s="1"/>
  <c r="EZ187"/>
  <c r="FE187" s="1"/>
  <c r="EO45"/>
  <c r="EI45"/>
  <c r="EZ188"/>
  <c r="FE188" s="1"/>
  <c r="EZ185"/>
  <c r="FE185" s="1"/>
  <c r="CN140" i="10" l="1"/>
  <c r="CO140" s="1"/>
  <c r="CP140" s="1"/>
  <c r="CM140"/>
  <c r="G465" i="21"/>
  <c r="E465"/>
  <c r="B467"/>
  <c r="G466" s="1"/>
  <c r="L465"/>
  <c r="D465"/>
  <c r="C465"/>
  <c r="F465"/>
  <c r="I465"/>
  <c r="GE92" i="10"/>
  <c r="GF92"/>
  <c r="GG92" s="1"/>
  <c r="GH92" s="1"/>
  <c r="GY73"/>
  <c r="GZ73"/>
  <c r="HA73" s="1"/>
  <c r="HB73" s="1"/>
  <c r="EN30" i="21"/>
  <c r="EN33"/>
  <c r="EN34"/>
  <c r="EN35"/>
  <c r="EN36"/>
  <c r="EN32"/>
  <c r="EN37"/>
  <c r="EN38"/>
  <c r="EN45"/>
  <c r="EN42"/>
  <c r="T219" i="10"/>
  <c r="V219" s="1"/>
  <c r="S228"/>
  <c r="U217"/>
  <c r="T217"/>
  <c r="V217" s="1"/>
  <c r="R190"/>
  <c r="R192" s="1"/>
  <c r="P197"/>
  <c r="P199" s="1"/>
  <c r="AD132"/>
  <c r="AD10"/>
  <c r="K466" i="21" l="1"/>
  <c r="CR140" i="10"/>
  <c r="CS140" s="1"/>
  <c r="CT140" s="1"/>
  <c r="CQ140"/>
  <c r="B468" i="21"/>
  <c r="D467" s="1"/>
  <c r="E466"/>
  <c r="F466"/>
  <c r="C466"/>
  <c r="D466"/>
  <c r="L466"/>
  <c r="I466"/>
  <c r="HD73" i="10"/>
  <c r="HE73" s="1"/>
  <c r="HF73" s="1"/>
  <c r="HC73"/>
  <c r="GJ92"/>
  <c r="GK92" s="1"/>
  <c r="GL92" s="1"/>
  <c r="GI92"/>
  <c r="L10"/>
  <c r="M10" s="1"/>
  <c r="AE10"/>
  <c r="U219"/>
  <c r="U228"/>
  <c r="T228"/>
  <c r="V228" s="1"/>
  <c r="S132"/>
  <c r="W132" s="1"/>
  <c r="V132"/>
  <c r="S10"/>
  <c r="W10" s="1"/>
  <c r="V10"/>
  <c r="Q123"/>
  <c r="BW123" s="1"/>
  <c r="BX123" s="1"/>
  <c r="BY123" s="1"/>
  <c r="BZ123" s="1"/>
  <c r="CB123" l="1"/>
  <c r="CC123" s="1"/>
  <c r="CD123" s="1"/>
  <c r="CA123"/>
  <c r="CU140"/>
  <c r="CV140"/>
  <c r="CW140" s="1"/>
  <c r="CX140" s="1"/>
  <c r="F467" i="21"/>
  <c r="C467"/>
  <c r="I467"/>
  <c r="L467"/>
  <c r="B469"/>
  <c r="C468" s="1"/>
  <c r="G467"/>
  <c r="E467"/>
  <c r="K467"/>
  <c r="HG73" i="10"/>
  <c r="HH73"/>
  <c r="HI73" s="1"/>
  <c r="HJ73" s="1"/>
  <c r="GM92"/>
  <c r="GN92"/>
  <c r="GO92" s="1"/>
  <c r="GP92" s="1"/>
  <c r="L132"/>
  <c r="M132" s="1"/>
  <c r="AE132"/>
  <c r="T10"/>
  <c r="Y10" s="1"/>
  <c r="Z10" s="1"/>
  <c r="AA10" s="1"/>
  <c r="AB10" s="1"/>
  <c r="R132"/>
  <c r="T132"/>
  <c r="Y132" s="1"/>
  <c r="R10"/>
  <c r="CY140" l="1"/>
  <c r="CZ140"/>
  <c r="DA140" s="1"/>
  <c r="DB140" s="1"/>
  <c r="CF123"/>
  <c r="CG123" s="1"/>
  <c r="CH123" s="1"/>
  <c r="CE123"/>
  <c r="G468" i="21"/>
  <c r="F468"/>
  <c r="B470"/>
  <c r="K469" s="1"/>
  <c r="E468"/>
  <c r="D468"/>
  <c r="I468"/>
  <c r="L468"/>
  <c r="K468"/>
  <c r="GR92" i="10"/>
  <c r="GS92" s="1"/>
  <c r="GT92" s="1"/>
  <c r="GQ92"/>
  <c r="HK73"/>
  <c r="HL73"/>
  <c r="HM73" s="1"/>
  <c r="HN73" s="1"/>
  <c r="Z132"/>
  <c r="AA132" s="1"/>
  <c r="AB132" s="1"/>
  <c r="AD60"/>
  <c r="DC140" l="1"/>
  <c r="DD140"/>
  <c r="DE140" s="1"/>
  <c r="DF140" s="1"/>
  <c r="CJ123"/>
  <c r="CK123" s="1"/>
  <c r="CL123" s="1"/>
  <c r="CI123"/>
  <c r="G469" i="21"/>
  <c r="D469"/>
  <c r="F469"/>
  <c r="L469"/>
  <c r="B471"/>
  <c r="E470" s="1"/>
  <c r="E469"/>
  <c r="C469"/>
  <c r="I469"/>
  <c r="HO73" i="10"/>
  <c r="HP73"/>
  <c r="HQ73" s="1"/>
  <c r="HR73" s="1"/>
  <c r="GU92"/>
  <c r="GV92"/>
  <c r="GW92" s="1"/>
  <c r="GX92" s="1"/>
  <c r="S60"/>
  <c r="V60"/>
  <c r="AD101"/>
  <c r="AD110"/>
  <c r="CM123" l="1"/>
  <c r="CN123"/>
  <c r="CO123" s="1"/>
  <c r="CP123" s="1"/>
  <c r="DG140"/>
  <c r="DH140"/>
  <c r="DI140" s="1"/>
  <c r="DJ140" s="1"/>
  <c r="L470" i="21"/>
  <c r="C470"/>
  <c r="B472"/>
  <c r="G471" s="1"/>
  <c r="F470"/>
  <c r="D470"/>
  <c r="K470"/>
  <c r="I470"/>
  <c r="G470"/>
  <c r="HS73" i="10"/>
  <c r="HT73"/>
  <c r="HU73" s="1"/>
  <c r="HV73" s="1"/>
  <c r="GY92"/>
  <c r="GZ92"/>
  <c r="HA92" s="1"/>
  <c r="HB92" s="1"/>
  <c r="W60"/>
  <c r="L101"/>
  <c r="M101" s="1"/>
  <c r="L60"/>
  <c r="M60" s="1"/>
  <c r="AE101"/>
  <c r="AE60"/>
  <c r="T60"/>
  <c r="Y60" s="1"/>
  <c r="R60"/>
  <c r="S101"/>
  <c r="W101" s="1"/>
  <c r="S110"/>
  <c r="W110" s="1"/>
  <c r="V101"/>
  <c r="V110"/>
  <c r="CQ123" l="1"/>
  <c r="CR123"/>
  <c r="CS123" s="1"/>
  <c r="CT123" s="1"/>
  <c r="DK140"/>
  <c r="DL140"/>
  <c r="DM140" s="1"/>
  <c r="DN140" s="1"/>
  <c r="B473" i="21"/>
  <c r="F472" s="1"/>
  <c r="C471"/>
  <c r="K471"/>
  <c r="D471"/>
  <c r="I471"/>
  <c r="L471"/>
  <c r="F471"/>
  <c r="E471"/>
  <c r="HC92" i="10"/>
  <c r="HD92"/>
  <c r="HE92" s="1"/>
  <c r="HF92" s="1"/>
  <c r="HX73"/>
  <c r="HY73" s="1"/>
  <c r="HZ73" s="1"/>
  <c r="HW73"/>
  <c r="Z60"/>
  <c r="AA60" s="1"/>
  <c r="AB60" s="1"/>
  <c r="L110"/>
  <c r="M110" s="1"/>
  <c r="AE110"/>
  <c r="R101"/>
  <c r="R110"/>
  <c r="T101"/>
  <c r="Y101" s="1"/>
  <c r="T110"/>
  <c r="DO140" l="1"/>
  <c r="DP140"/>
  <c r="DQ140" s="1"/>
  <c r="DR140" s="1"/>
  <c r="CU123"/>
  <c r="CV123"/>
  <c r="CW123" s="1"/>
  <c r="CX123" s="1"/>
  <c r="G472" i="21"/>
  <c r="C472"/>
  <c r="K472"/>
  <c r="B474"/>
  <c r="G473" s="1"/>
  <c r="D472"/>
  <c r="L472"/>
  <c r="I472"/>
  <c r="E472"/>
  <c r="HG92" i="10"/>
  <c r="HH92"/>
  <c r="HI92" s="1"/>
  <c r="HJ92" s="1"/>
  <c r="IA73"/>
  <c r="IB73"/>
  <c r="Z101"/>
  <c r="AA101" s="1"/>
  <c r="AB101" s="1"/>
  <c r="S62"/>
  <c r="W62" s="1"/>
  <c r="AD62"/>
  <c r="AD95"/>
  <c r="E148"/>
  <c r="Q71"/>
  <c r="BW71" s="1"/>
  <c r="BX71" s="1"/>
  <c r="BY71" s="1"/>
  <c r="BZ71" s="1"/>
  <c r="AD131"/>
  <c r="AD71"/>
  <c r="AD27"/>
  <c r="CY123" l="1"/>
  <c r="CZ123"/>
  <c r="DA123" s="1"/>
  <c r="DB123" s="1"/>
  <c r="DT140"/>
  <c r="DU140" s="1"/>
  <c r="DV140" s="1"/>
  <c r="DS140"/>
  <c r="F473" i="21"/>
  <c r="I473"/>
  <c r="K473"/>
  <c r="E473"/>
  <c r="B475"/>
  <c r="L474" s="1"/>
  <c r="D473"/>
  <c r="L473"/>
  <c r="C473"/>
  <c r="HK92" i="10"/>
  <c r="HL92"/>
  <c r="HM92" s="1"/>
  <c r="HN92" s="1"/>
  <c r="CA71"/>
  <c r="CB71"/>
  <c r="CC71" s="1"/>
  <c r="CD71" s="1"/>
  <c r="L27"/>
  <c r="M27" s="1"/>
  <c r="AE27"/>
  <c r="S131"/>
  <c r="W131" s="1"/>
  <c r="T62"/>
  <c r="Y62" s="1"/>
  <c r="R62"/>
  <c r="V62"/>
  <c r="S95"/>
  <c r="W95" s="1"/>
  <c r="V95"/>
  <c r="S27"/>
  <c r="S71"/>
  <c r="W71" s="1"/>
  <c r="V131"/>
  <c r="V71"/>
  <c r="V27"/>
  <c r="AE147"/>
  <c r="Q37"/>
  <c r="BW37" s="1"/>
  <c r="BX37" s="1"/>
  <c r="BY37" s="1"/>
  <c r="BZ37" s="1"/>
  <c r="AD37"/>
  <c r="C474" i="21" l="1"/>
  <c r="DW140" i="10"/>
  <c r="DX140"/>
  <c r="DY140" s="1"/>
  <c r="DZ140" s="1"/>
  <c r="DC123"/>
  <c r="DD123"/>
  <c r="DE123" s="1"/>
  <c r="DF123" s="1"/>
  <c r="B476" i="21"/>
  <c r="G475" s="1"/>
  <c r="F474"/>
  <c r="I474"/>
  <c r="K474"/>
  <c r="G474"/>
  <c r="D474"/>
  <c r="E474"/>
  <c r="CA37" i="10"/>
  <c r="CB37"/>
  <c r="CC37" s="1"/>
  <c r="CD37" s="1"/>
  <c r="HP92"/>
  <c r="HQ92" s="1"/>
  <c r="HR92" s="1"/>
  <c r="HO92"/>
  <c r="CE71"/>
  <c r="CF71"/>
  <c r="CG71" s="1"/>
  <c r="CH71" s="1"/>
  <c r="Z62"/>
  <c r="AA62" s="1"/>
  <c r="AB62" s="1"/>
  <c r="L49" i="27"/>
  <c r="L37" i="10"/>
  <c r="M37" s="1"/>
  <c r="L95"/>
  <c r="M95" s="1"/>
  <c r="L62"/>
  <c r="M62" s="1"/>
  <c r="L131"/>
  <c r="M131" s="1"/>
  <c r="L71"/>
  <c r="M71" s="1"/>
  <c r="W27"/>
  <c r="AE131"/>
  <c r="AE62"/>
  <c r="AE71"/>
  <c r="AE37"/>
  <c r="AE95"/>
  <c r="R95"/>
  <c r="R71"/>
  <c r="T131"/>
  <c r="Y131" s="1"/>
  <c r="T27"/>
  <c r="Y27" s="1"/>
  <c r="S190"/>
  <c r="R131"/>
  <c r="T71"/>
  <c r="Y71" s="1"/>
  <c r="T95"/>
  <c r="Y95" s="1"/>
  <c r="R27"/>
  <c r="S37"/>
  <c r="W37" s="1"/>
  <c r="V37"/>
  <c r="DH123" l="1"/>
  <c r="DI123" s="1"/>
  <c r="DJ123" s="1"/>
  <c r="DG123"/>
  <c r="EB140"/>
  <c r="EC140" s="1"/>
  <c r="ED140" s="1"/>
  <c r="EA140"/>
  <c r="D475" i="21"/>
  <c r="C475"/>
  <c r="K475"/>
  <c r="B477"/>
  <c r="K476" s="1"/>
  <c r="L475"/>
  <c r="I475"/>
  <c r="E475"/>
  <c r="F475"/>
  <c r="CF37" i="10"/>
  <c r="CG37" s="1"/>
  <c r="CH37" s="1"/>
  <c r="CE37"/>
  <c r="HS92"/>
  <c r="HT92"/>
  <c r="HU92" s="1"/>
  <c r="HV92" s="1"/>
  <c r="CI71"/>
  <c r="CJ71"/>
  <c r="CK71" s="1"/>
  <c r="CL71" s="1"/>
  <c r="Z71"/>
  <c r="AA71" s="1"/>
  <c r="AB71" s="1"/>
  <c r="Z131"/>
  <c r="AA131" s="1"/>
  <c r="AB131" s="1"/>
  <c r="Z95"/>
  <c r="AA95" s="1"/>
  <c r="AB95" s="1"/>
  <c r="Z27"/>
  <c r="AA27" s="1"/>
  <c r="AB27" s="1"/>
  <c r="L45" i="27"/>
  <c r="M45" s="1"/>
  <c r="L46"/>
  <c r="M46" s="1"/>
  <c r="L43"/>
  <c r="M43" s="1"/>
  <c r="L44"/>
  <c r="M44" s="1"/>
  <c r="L39"/>
  <c r="M39" s="1"/>
  <c r="L41"/>
  <c r="M41" s="1"/>
  <c r="L38"/>
  <c r="M38" s="1"/>
  <c r="L40"/>
  <c r="M40" s="1"/>
  <c r="R37" i="10"/>
  <c r="R191"/>
  <c r="T37"/>
  <c r="Y37" s="1"/>
  <c r="DK123" l="1"/>
  <c r="DL123"/>
  <c r="DM123" s="1"/>
  <c r="DN123" s="1"/>
  <c r="EF140"/>
  <c r="EG140" s="1"/>
  <c r="EH140" s="1"/>
  <c r="EE140"/>
  <c r="D476" i="21"/>
  <c r="F476"/>
  <c r="E476"/>
  <c r="G476"/>
  <c r="I476"/>
  <c r="C476"/>
  <c r="B478"/>
  <c r="C477" s="1"/>
  <c r="L476"/>
  <c r="CM71" i="10"/>
  <c r="CN71"/>
  <c r="CO71" s="1"/>
  <c r="CP71" s="1"/>
  <c r="HX92"/>
  <c r="HY92" s="1"/>
  <c r="HZ92" s="1"/>
  <c r="HW92"/>
  <c r="CI37"/>
  <c r="CJ37"/>
  <c r="CK37" s="1"/>
  <c r="CL37" s="1"/>
  <c r="Z37"/>
  <c r="AA37" s="1"/>
  <c r="AB37" s="1"/>
  <c r="R197"/>
  <c r="S191"/>
  <c r="S197" s="1"/>
  <c r="EJ140" l="1"/>
  <c r="EK140" s="1"/>
  <c r="EL140" s="1"/>
  <c r="EI140"/>
  <c r="DO123"/>
  <c r="DP123"/>
  <c r="DQ123" s="1"/>
  <c r="DR123" s="1"/>
  <c r="E477" i="21"/>
  <c r="B479"/>
  <c r="L478" s="1"/>
  <c r="D477"/>
  <c r="L477"/>
  <c r="F477"/>
  <c r="I477"/>
  <c r="K477"/>
  <c r="G477"/>
  <c r="CN37" i="10"/>
  <c r="CO37" s="1"/>
  <c r="CP37" s="1"/>
  <c r="CM37"/>
  <c r="IB92"/>
  <c r="IA92"/>
  <c r="CR71"/>
  <c r="CS71" s="1"/>
  <c r="CT71" s="1"/>
  <c r="CQ71"/>
  <c r="S199"/>
  <c r="S198"/>
  <c r="S196"/>
  <c r="R196"/>
  <c r="BX34" i="21"/>
  <c r="BX35"/>
  <c r="BZ35" s="1"/>
  <c r="EM140" i="10" l="1"/>
  <c r="EN140"/>
  <c r="EO140" s="1"/>
  <c r="EP140" s="1"/>
  <c r="DT123"/>
  <c r="DU123" s="1"/>
  <c r="DV123" s="1"/>
  <c r="DS123"/>
  <c r="B480" i="21"/>
  <c r="G479" s="1"/>
  <c r="K478"/>
  <c r="F478"/>
  <c r="D478"/>
  <c r="E478"/>
  <c r="G478"/>
  <c r="C478"/>
  <c r="I478"/>
  <c r="CV71" i="10"/>
  <c r="CW71" s="1"/>
  <c r="CX71" s="1"/>
  <c r="CU71"/>
  <c r="CR37"/>
  <c r="CS37" s="1"/>
  <c r="CT37" s="1"/>
  <c r="CQ37"/>
  <c r="CF34" i="21"/>
  <c r="CG34" s="1"/>
  <c r="BZ34"/>
  <c r="CF35"/>
  <c r="CG35" s="1"/>
  <c r="S201" i="10"/>
  <c r="R201"/>
  <c r="R198"/>
  <c r="S200"/>
  <c r="R200"/>
  <c r="R199"/>
  <c r="DX123" l="1"/>
  <c r="DY123" s="1"/>
  <c r="DZ123" s="1"/>
  <c r="DW123"/>
  <c r="EQ140"/>
  <c r="ER140"/>
  <c r="ES140" s="1"/>
  <c r="ET140" s="1"/>
  <c r="C479" i="21"/>
  <c r="E479"/>
  <c r="D479"/>
  <c r="F479"/>
  <c r="L479"/>
  <c r="B481"/>
  <c r="C480" s="1"/>
  <c r="K479"/>
  <c r="I479"/>
  <c r="CY71" i="10"/>
  <c r="CZ71"/>
  <c r="DA71" s="1"/>
  <c r="DB71" s="1"/>
  <c r="CV37"/>
  <c r="CW37" s="1"/>
  <c r="CX37" s="1"/>
  <c r="CU37"/>
  <c r="T201"/>
  <c r="S204"/>
  <c r="S203"/>
  <c r="S202"/>
  <c r="R203"/>
  <c r="R204"/>
  <c r="R202"/>
  <c r="EB123" l="1"/>
  <c r="EC123" s="1"/>
  <c r="ED123" s="1"/>
  <c r="EA123"/>
  <c r="EU140"/>
  <c r="EV140"/>
  <c r="EW140" s="1"/>
  <c r="EX140" s="1"/>
  <c r="K480" i="21"/>
  <c r="L480"/>
  <c r="E480"/>
  <c r="F480"/>
  <c r="G480"/>
  <c r="D480"/>
  <c r="B482"/>
  <c r="G481" s="1"/>
  <c r="I480"/>
  <c r="DC71" i="10"/>
  <c r="DD71"/>
  <c r="DE71" s="1"/>
  <c r="DF71" s="1"/>
  <c r="CZ37"/>
  <c r="DA37" s="1"/>
  <c r="DB37" s="1"/>
  <c r="CY37"/>
  <c r="T202"/>
  <c r="T203"/>
  <c r="T204"/>
  <c r="S192"/>
  <c r="S194" s="1"/>
  <c r="S195" s="1"/>
  <c r="R194"/>
  <c r="R195" s="1"/>
  <c r="DH28" i="21"/>
  <c r="DJ28" s="1"/>
  <c r="EY140" i="10" l="1"/>
  <c r="EZ140"/>
  <c r="FA140" s="1"/>
  <c r="FB140" s="1"/>
  <c r="EE123"/>
  <c r="EF123"/>
  <c r="EG123" s="1"/>
  <c r="EH123" s="1"/>
  <c r="F481" i="21"/>
  <c r="D481"/>
  <c r="E481"/>
  <c r="B483"/>
  <c r="L482" s="1"/>
  <c r="L481"/>
  <c r="K481"/>
  <c r="I481"/>
  <c r="C481"/>
  <c r="DD37" i="10"/>
  <c r="DE37" s="1"/>
  <c r="DF37" s="1"/>
  <c r="DC37"/>
  <c r="DG71"/>
  <c r="DH71"/>
  <c r="DI71" s="1"/>
  <c r="DJ71" s="1"/>
  <c r="S193"/>
  <c r="R193"/>
  <c r="DN28" i="21"/>
  <c r="DR28"/>
  <c r="DP28"/>
  <c r="DQ28" s="1"/>
  <c r="D31"/>
  <c r="E16"/>
  <c r="AE179" i="10" s="1"/>
  <c r="EJ123" l="1"/>
  <c r="EK123" s="1"/>
  <c r="EL123" s="1"/>
  <c r="EI123"/>
  <c r="FC140"/>
  <c r="FD140"/>
  <c r="FE140" s="1"/>
  <c r="FF140" s="1"/>
  <c r="C482" i="21"/>
  <c r="B484"/>
  <c r="C483" s="1"/>
  <c r="G482"/>
  <c r="F482"/>
  <c r="D482"/>
  <c r="E482"/>
  <c r="I482"/>
  <c r="K482"/>
  <c r="DK71" i="10"/>
  <c r="DL71"/>
  <c r="DM71" s="1"/>
  <c r="DN71" s="1"/>
  <c r="DH37"/>
  <c r="DI37" s="1"/>
  <c r="DJ37" s="1"/>
  <c r="DG37"/>
  <c r="K32" i="21"/>
  <c r="EN123" i="10" l="1"/>
  <c r="EO123" s="1"/>
  <c r="EP123" s="1"/>
  <c r="EM123"/>
  <c r="FH140"/>
  <c r="FI140" s="1"/>
  <c r="FJ140" s="1"/>
  <c r="FG140"/>
  <c r="B485" i="21"/>
  <c r="L484" s="1"/>
  <c r="F483"/>
  <c r="K483"/>
  <c r="D483"/>
  <c r="L483"/>
  <c r="G483"/>
  <c r="E483"/>
  <c r="I483"/>
  <c r="DK37" i="10"/>
  <c r="DL37"/>
  <c r="DM37" s="1"/>
  <c r="DN37" s="1"/>
  <c r="DO71"/>
  <c r="DP71"/>
  <c r="DQ71" s="1"/>
  <c r="DR71" s="1"/>
  <c r="EM49" i="21"/>
  <c r="EL49"/>
  <c r="E150" i="10"/>
  <c r="F148" s="1"/>
  <c r="AD117"/>
  <c r="FK140" l="1"/>
  <c r="FL140"/>
  <c r="FM140" s="1"/>
  <c r="FN140" s="1"/>
  <c r="EQ123"/>
  <c r="ER123"/>
  <c r="ES123" s="1"/>
  <c r="ET123" s="1"/>
  <c r="E484" i="21"/>
  <c r="F484"/>
  <c r="D484"/>
  <c r="G484"/>
  <c r="B486"/>
  <c r="C485" s="1"/>
  <c r="I484"/>
  <c r="C484"/>
  <c r="K484"/>
  <c r="DP37" i="10"/>
  <c r="DQ37" s="1"/>
  <c r="DR37" s="1"/>
  <c r="DO37"/>
  <c r="DT71"/>
  <c r="DU71" s="1"/>
  <c r="DV71" s="1"/>
  <c r="DS71"/>
  <c r="L117"/>
  <c r="M117" s="1"/>
  <c r="AE117"/>
  <c r="V117"/>
  <c r="S117"/>
  <c r="W117" s="1"/>
  <c r="FO140" l="1"/>
  <c r="FP140"/>
  <c r="FQ140" s="1"/>
  <c r="FR140" s="1"/>
  <c r="EV123"/>
  <c r="EW123" s="1"/>
  <c r="EX123" s="1"/>
  <c r="EU123"/>
  <c r="E485" i="21"/>
  <c r="F485"/>
  <c r="B487"/>
  <c r="K486" s="1"/>
  <c r="D485"/>
  <c r="I485"/>
  <c r="K485"/>
  <c r="G485"/>
  <c r="L485"/>
  <c r="DT37" i="10"/>
  <c r="DU37" s="1"/>
  <c r="DV37" s="1"/>
  <c r="DS37"/>
  <c r="DW71"/>
  <c r="DX71"/>
  <c r="DY71" s="1"/>
  <c r="DZ71" s="1"/>
  <c r="T117"/>
  <c r="Y117" s="1"/>
  <c r="R117"/>
  <c r="EZ123" l="1"/>
  <c r="FA123" s="1"/>
  <c r="FB123" s="1"/>
  <c r="EY123"/>
  <c r="FT140"/>
  <c r="FU140" s="1"/>
  <c r="FV140" s="1"/>
  <c r="FS140"/>
  <c r="B488" i="21"/>
  <c r="G487" s="1"/>
  <c r="F486"/>
  <c r="D486"/>
  <c r="C486"/>
  <c r="L486"/>
  <c r="E486"/>
  <c r="I486"/>
  <c r="G486"/>
  <c r="EA71" i="10"/>
  <c r="EB71"/>
  <c r="EC71" s="1"/>
  <c r="ED71" s="1"/>
  <c r="DW37"/>
  <c r="DX37"/>
  <c r="DY37" s="1"/>
  <c r="DZ37" s="1"/>
  <c r="Z117"/>
  <c r="AA117" s="1"/>
  <c r="AB117" s="1"/>
  <c r="DH27" i="21"/>
  <c r="DJ27" s="1"/>
  <c r="FD123" i="10" l="1"/>
  <c r="FE123" s="1"/>
  <c r="FF123" s="1"/>
  <c r="FC123"/>
  <c r="FW140"/>
  <c r="FX140"/>
  <c r="FY140" s="1"/>
  <c r="FZ140" s="1"/>
  <c r="F487" i="21"/>
  <c r="B489"/>
  <c r="E488" s="1"/>
  <c r="E487"/>
  <c r="L487"/>
  <c r="C487"/>
  <c r="K487"/>
  <c r="I487"/>
  <c r="D487"/>
  <c r="EB37" i="10"/>
  <c r="EC37" s="1"/>
  <c r="ED37" s="1"/>
  <c r="EA37"/>
  <c r="EE71"/>
  <c r="EF71"/>
  <c r="EG71" s="1"/>
  <c r="EH71" s="1"/>
  <c r="DN27" i="21"/>
  <c r="DR27"/>
  <c r="DP27"/>
  <c r="DQ27" s="1"/>
  <c r="GA140" i="10" l="1"/>
  <c r="GB140"/>
  <c r="GC140" s="1"/>
  <c r="GD140" s="1"/>
  <c r="FG123"/>
  <c r="FH123"/>
  <c r="FI123" s="1"/>
  <c r="FJ123" s="1"/>
  <c r="F488" i="21"/>
  <c r="G488"/>
  <c r="B490"/>
  <c r="I489" s="1"/>
  <c r="K488"/>
  <c r="C488"/>
  <c r="L488"/>
  <c r="D488"/>
  <c r="I488"/>
  <c r="EF37" i="10"/>
  <c r="EG37" s="1"/>
  <c r="EH37" s="1"/>
  <c r="EE37"/>
  <c r="EJ71"/>
  <c r="EK71" s="1"/>
  <c r="EL71" s="1"/>
  <c r="EI71"/>
  <c r="FK123" l="1"/>
  <c r="FL123"/>
  <c r="FM123" s="1"/>
  <c r="FN123" s="1"/>
  <c r="GE140"/>
  <c r="GF140"/>
  <c r="GG140" s="1"/>
  <c r="GH140" s="1"/>
  <c r="C489" i="21"/>
  <c r="F489"/>
  <c r="K489"/>
  <c r="D489"/>
  <c r="L489"/>
  <c r="B491"/>
  <c r="K490" s="1"/>
  <c r="E489"/>
  <c r="G489"/>
  <c r="EM71" i="10"/>
  <c r="EN71"/>
  <c r="EO71" s="1"/>
  <c r="EP71" s="1"/>
  <c r="EJ37"/>
  <c r="EK37" s="1"/>
  <c r="EL37" s="1"/>
  <c r="EI37"/>
  <c r="FO123" l="1"/>
  <c r="FP123"/>
  <c r="FQ123" s="1"/>
  <c r="FR123" s="1"/>
  <c r="GJ140"/>
  <c r="GK140" s="1"/>
  <c r="GL140" s="1"/>
  <c r="GI140"/>
  <c r="C490" i="21"/>
  <c r="L490"/>
  <c r="D490"/>
  <c r="E490"/>
  <c r="B492"/>
  <c r="G491" s="1"/>
  <c r="F490"/>
  <c r="G490"/>
  <c r="I490"/>
  <c r="EN37" i="10"/>
  <c r="EO37" s="1"/>
  <c r="EP37" s="1"/>
  <c r="EM37"/>
  <c r="EQ71"/>
  <c r="ER71"/>
  <c r="ES71" s="1"/>
  <c r="ET71" s="1"/>
  <c r="L491" i="21"/>
  <c r="AD15" i="10"/>
  <c r="Q15"/>
  <c r="BW15" s="1"/>
  <c r="BX15" s="1"/>
  <c r="BY15" s="1"/>
  <c r="BZ15" s="1"/>
  <c r="FT123" l="1"/>
  <c r="FU123" s="1"/>
  <c r="FV123" s="1"/>
  <c r="FS123"/>
  <c r="GM140"/>
  <c r="GN140"/>
  <c r="GO140" s="1"/>
  <c r="GP140" s="1"/>
  <c r="I491" i="21"/>
  <c r="K491"/>
  <c r="E491"/>
  <c r="B493"/>
  <c r="L492" s="1"/>
  <c r="D491"/>
  <c r="C491"/>
  <c r="F491"/>
  <c r="EU71" i="10"/>
  <c r="EV71"/>
  <c r="EW71" s="1"/>
  <c r="EX71" s="1"/>
  <c r="ER37"/>
  <c r="ES37" s="1"/>
  <c r="ET37" s="1"/>
  <c r="EQ37"/>
  <c r="CA15"/>
  <c r="CB15"/>
  <c r="CC15" s="1"/>
  <c r="CD15" s="1"/>
  <c r="V15"/>
  <c r="S15"/>
  <c r="W15" s="1"/>
  <c r="GQ140" l="1"/>
  <c r="GR140"/>
  <c r="GS140" s="1"/>
  <c r="GT140" s="1"/>
  <c r="FX123"/>
  <c r="FY123" s="1"/>
  <c r="FZ123" s="1"/>
  <c r="FW123"/>
  <c r="D492" i="21"/>
  <c r="C492"/>
  <c r="E492"/>
  <c r="I492"/>
  <c r="K492"/>
  <c r="F492"/>
  <c r="B494"/>
  <c r="I493" s="1"/>
  <c r="G492"/>
  <c r="CF15" i="10"/>
  <c r="CG15" s="1"/>
  <c r="CH15" s="1"/>
  <c r="CE15"/>
  <c r="EY71"/>
  <c r="EZ71"/>
  <c r="FA71" s="1"/>
  <c r="FB71" s="1"/>
  <c r="EV37"/>
  <c r="EW37" s="1"/>
  <c r="EX37" s="1"/>
  <c r="EU37"/>
  <c r="L15"/>
  <c r="M15" s="1"/>
  <c r="AE15"/>
  <c r="R15"/>
  <c r="T15"/>
  <c r="Y15" s="1"/>
  <c r="Z15" s="1"/>
  <c r="AA15" s="1"/>
  <c r="AB15" s="1"/>
  <c r="GB123" l="1"/>
  <c r="GC123" s="1"/>
  <c r="GD123" s="1"/>
  <c r="GA123"/>
  <c r="GU140"/>
  <c r="GV140"/>
  <c r="GW140" s="1"/>
  <c r="GX140" s="1"/>
  <c r="D493" i="21"/>
  <c r="C493"/>
  <c r="K493"/>
  <c r="G493"/>
  <c r="E493"/>
  <c r="B495"/>
  <c r="C494" s="1"/>
  <c r="L493"/>
  <c r="F493"/>
  <c r="CJ15" i="10"/>
  <c r="CK15" s="1"/>
  <c r="CL15" s="1"/>
  <c r="CI15"/>
  <c r="FC71"/>
  <c r="FD71"/>
  <c r="FE71" s="1"/>
  <c r="FF71" s="1"/>
  <c r="EZ37"/>
  <c r="FA37" s="1"/>
  <c r="FB37" s="1"/>
  <c r="EY37"/>
  <c r="FI12" i="21"/>
  <c r="EM79"/>
  <c r="EL79"/>
  <c r="EM78"/>
  <c r="EL78"/>
  <c r="EM77"/>
  <c r="EL77"/>
  <c r="EM76"/>
  <c r="EL76"/>
  <c r="D43" i="22"/>
  <c r="EL39" i="21"/>
  <c r="FV2"/>
  <c r="FW2" s="1"/>
  <c r="CN3"/>
  <c r="DF3"/>
  <c r="DF39" s="1"/>
  <c r="EB3"/>
  <c r="EL40"/>
  <c r="FW3"/>
  <c r="H4"/>
  <c r="BX36"/>
  <c r="DH29"/>
  <c r="DJ29" s="1"/>
  <c r="EL41"/>
  <c r="EN41" s="1"/>
  <c r="FW4"/>
  <c r="BX37"/>
  <c r="BZ37" s="1"/>
  <c r="EL43"/>
  <c r="EM43"/>
  <c r="FW5"/>
  <c r="BX38"/>
  <c r="BZ38" s="1"/>
  <c r="EL44"/>
  <c r="EM44"/>
  <c r="FW6"/>
  <c r="EL46"/>
  <c r="EM46"/>
  <c r="FW7"/>
  <c r="FW13" s="1"/>
  <c r="DH33"/>
  <c r="DJ33" s="1"/>
  <c r="EL47"/>
  <c r="EM47"/>
  <c r="EL48"/>
  <c r="EM48"/>
  <c r="E9"/>
  <c r="DH35"/>
  <c r="DJ35" s="1"/>
  <c r="EL50"/>
  <c r="EM50"/>
  <c r="DH36"/>
  <c r="DJ36" s="1"/>
  <c r="EL51"/>
  <c r="EM51"/>
  <c r="EL52"/>
  <c r="EM52"/>
  <c r="BX43"/>
  <c r="EL53"/>
  <c r="EM53"/>
  <c r="EL54"/>
  <c r="EM54"/>
  <c r="EL55"/>
  <c r="EM55"/>
  <c r="EL56"/>
  <c r="EM56"/>
  <c r="EL57"/>
  <c r="EM57"/>
  <c r="FJ17"/>
  <c r="E17"/>
  <c r="AE180" i="10" s="1"/>
  <c r="EB23" i="21"/>
  <c r="EL58"/>
  <c r="EM58"/>
  <c r="EL59"/>
  <c r="EM59"/>
  <c r="EL60"/>
  <c r="EN60" s="1"/>
  <c r="EM60"/>
  <c r="EL61"/>
  <c r="EM61"/>
  <c r="EL62"/>
  <c r="EM62"/>
  <c r="EL63"/>
  <c r="EM63"/>
  <c r="EL64"/>
  <c r="EM64"/>
  <c r="EL65"/>
  <c r="EM65"/>
  <c r="EL66"/>
  <c r="EM66"/>
  <c r="F31"/>
  <c r="EL67"/>
  <c r="EM67"/>
  <c r="EL68"/>
  <c r="EM68"/>
  <c r="EL69"/>
  <c r="EM69"/>
  <c r="EL70"/>
  <c r="EM70"/>
  <c r="EL71"/>
  <c r="EM71"/>
  <c r="E78"/>
  <c r="D89" s="1"/>
  <c r="D90" s="1"/>
  <c r="D91" s="1"/>
  <c r="D92" s="1"/>
  <c r="EL72"/>
  <c r="EM72"/>
  <c r="EL73"/>
  <c r="EM73"/>
  <c r="E80"/>
  <c r="EL74"/>
  <c r="EM74"/>
  <c r="EL75"/>
  <c r="EM75"/>
  <c r="EL80"/>
  <c r="EM80"/>
  <c r="FJ40"/>
  <c r="FP45" s="1"/>
  <c r="EL81"/>
  <c r="EM81"/>
  <c r="FJ41"/>
  <c r="EL82"/>
  <c r="EM82"/>
  <c r="EL83"/>
  <c r="EM83"/>
  <c r="EL84"/>
  <c r="EM84"/>
  <c r="EL85"/>
  <c r="EM85"/>
  <c r="EL86"/>
  <c r="EM86"/>
  <c r="EL87"/>
  <c r="EM87"/>
  <c r="EL88"/>
  <c r="EM88"/>
  <c r="E119"/>
  <c r="E120"/>
  <c r="F120" s="1"/>
  <c r="E121"/>
  <c r="F121" s="1"/>
  <c r="E122"/>
  <c r="F122" s="1"/>
  <c r="E123"/>
  <c r="F123" s="1"/>
  <c r="E124"/>
  <c r="F124" s="1"/>
  <c r="E125"/>
  <c r="F125" s="1"/>
  <c r="E126"/>
  <c r="F126" s="1"/>
  <c r="E127"/>
  <c r="F127" s="1"/>
  <c r="E128"/>
  <c r="F128" s="1"/>
  <c r="E136"/>
  <c r="F136" s="1"/>
  <c r="E137"/>
  <c r="F137" s="1"/>
  <c r="E138"/>
  <c r="F138" s="1"/>
  <c r="E139"/>
  <c r="F139" s="1"/>
  <c r="E140"/>
  <c r="F140" s="1"/>
  <c r="E141"/>
  <c r="F141" s="1"/>
  <c r="E142"/>
  <c r="F142" s="1"/>
  <c r="E143"/>
  <c r="F143" s="1"/>
  <c r="E144"/>
  <c r="F144" s="1"/>
  <c r="E145"/>
  <c r="F145" s="1"/>
  <c r="E146"/>
  <c r="F146" s="1"/>
  <c r="E147"/>
  <c r="F147" s="1"/>
  <c r="E148"/>
  <c r="F148" s="1"/>
  <c r="E149"/>
  <c r="F149" s="1"/>
  <c r="E150"/>
  <c r="F150" s="1"/>
  <c r="E151"/>
  <c r="F151" s="1"/>
  <c r="E152"/>
  <c r="F152" s="1"/>
  <c r="E153"/>
  <c r="F153" s="1"/>
  <c r="E154"/>
  <c r="F154" s="1"/>
  <c r="E155"/>
  <c r="F155" s="1"/>
  <c r="E156"/>
  <c r="F156" s="1"/>
  <c r="E157"/>
  <c r="F157" s="1"/>
  <c r="E158"/>
  <c r="F158" s="1"/>
  <c r="E159"/>
  <c r="F159" s="1"/>
  <c r="E160"/>
  <c r="F160" s="1"/>
  <c r="E161"/>
  <c r="F161" s="1"/>
  <c r="E162"/>
  <c r="F162" s="1"/>
  <c r="E163"/>
  <c r="F163" s="1"/>
  <c r="E164"/>
  <c r="F164" s="1"/>
  <c r="E165"/>
  <c r="F165" s="1"/>
  <c r="AD3" i="10"/>
  <c r="AY2"/>
  <c r="AZ2" s="1"/>
  <c r="AZ3"/>
  <c r="AD6"/>
  <c r="AZ5"/>
  <c r="AD8"/>
  <c r="AZ6"/>
  <c r="AD9"/>
  <c r="AD12"/>
  <c r="AX8"/>
  <c r="S13"/>
  <c r="AD13"/>
  <c r="S16"/>
  <c r="AD16"/>
  <c r="Q17"/>
  <c r="BW17" s="1"/>
  <c r="BX17" s="1"/>
  <c r="BY17" s="1"/>
  <c r="BZ17" s="1"/>
  <c r="AD17"/>
  <c r="Q18"/>
  <c r="BW18" s="1"/>
  <c r="BX18" s="1"/>
  <c r="BY18" s="1"/>
  <c r="BZ18" s="1"/>
  <c r="AD18"/>
  <c r="Q19"/>
  <c r="BW19" s="1"/>
  <c r="BX19" s="1"/>
  <c r="BY19" s="1"/>
  <c r="BZ19" s="1"/>
  <c r="AD19"/>
  <c r="Q20"/>
  <c r="BW20" s="1"/>
  <c r="BX20" s="1"/>
  <c r="BY20" s="1"/>
  <c r="BZ20" s="1"/>
  <c r="AD20"/>
  <c r="S21"/>
  <c r="W21" s="1"/>
  <c r="AD21"/>
  <c r="AD22"/>
  <c r="AD25"/>
  <c r="S26"/>
  <c r="W26" s="1"/>
  <c r="AD26"/>
  <c r="AD33"/>
  <c r="AD36"/>
  <c r="AD38"/>
  <c r="AD40"/>
  <c r="AD41"/>
  <c r="Q43"/>
  <c r="BW43" s="1"/>
  <c r="BX43" s="1"/>
  <c r="BY43" s="1"/>
  <c r="BZ43" s="1"/>
  <c r="AD43"/>
  <c r="AD46"/>
  <c r="AD47"/>
  <c r="AD50"/>
  <c r="S51"/>
  <c r="W51" s="1"/>
  <c r="AD51"/>
  <c r="S52"/>
  <c r="W52" s="1"/>
  <c r="V52"/>
  <c r="AD52"/>
  <c r="AD53"/>
  <c r="AD54"/>
  <c r="AD55"/>
  <c r="AD57"/>
  <c r="AD58"/>
  <c r="Q59"/>
  <c r="BW59" s="1"/>
  <c r="BX59" s="1"/>
  <c r="BY59" s="1"/>
  <c r="BZ59" s="1"/>
  <c r="AD59"/>
  <c r="Q61"/>
  <c r="BW61" s="1"/>
  <c r="BX61" s="1"/>
  <c r="BY61" s="1"/>
  <c r="BZ61" s="1"/>
  <c r="AD61"/>
  <c r="Q63"/>
  <c r="BW63" s="1"/>
  <c r="BX63" s="1"/>
  <c r="BY63" s="1"/>
  <c r="BZ63" s="1"/>
  <c r="AD63"/>
  <c r="S66"/>
  <c r="AD66"/>
  <c r="AD67"/>
  <c r="Q72"/>
  <c r="BW72" s="1"/>
  <c r="BX72" s="1"/>
  <c r="BY72" s="1"/>
  <c r="BZ72" s="1"/>
  <c r="AD72"/>
  <c r="AD79"/>
  <c r="AD80"/>
  <c r="AD81"/>
  <c r="AD82"/>
  <c r="AD84"/>
  <c r="AD87"/>
  <c r="S89"/>
  <c r="W89" s="1"/>
  <c r="AD89"/>
  <c r="AD90"/>
  <c r="AD93"/>
  <c r="AD104"/>
  <c r="AD108"/>
  <c r="Q109"/>
  <c r="BW109" s="1"/>
  <c r="BX109" s="1"/>
  <c r="BY109" s="1"/>
  <c r="BZ109" s="1"/>
  <c r="AD109"/>
  <c r="AD111"/>
  <c r="AD114"/>
  <c r="AD115"/>
  <c r="S119"/>
  <c r="AD119"/>
  <c r="AD120"/>
  <c r="Q126"/>
  <c r="BW126" s="1"/>
  <c r="BX126" s="1"/>
  <c r="BY126" s="1"/>
  <c r="BZ126" s="1"/>
  <c r="AD126"/>
  <c r="Q127"/>
  <c r="BW127" s="1"/>
  <c r="BX127" s="1"/>
  <c r="BY127" s="1"/>
  <c r="BZ127" s="1"/>
  <c r="AD127"/>
  <c r="AD129"/>
  <c r="AD133"/>
  <c r="AD134"/>
  <c r="AD140"/>
  <c r="S11"/>
  <c r="AD11"/>
  <c r="AD24"/>
  <c r="AD48"/>
  <c r="Q94"/>
  <c r="BW94" s="1"/>
  <c r="BX94" s="1"/>
  <c r="BY94" s="1"/>
  <c r="BZ94" s="1"/>
  <c r="AD94"/>
  <c r="AD123"/>
  <c r="AD138"/>
  <c r="S142"/>
  <c r="W177" s="1"/>
  <c r="AD142"/>
  <c r="AD144"/>
  <c r="AW76"/>
  <c r="AD145"/>
  <c r="S146"/>
  <c r="W146" s="1"/>
  <c r="AD146"/>
  <c r="T156"/>
  <c r="GY140" l="1"/>
  <c r="GZ140"/>
  <c r="HA140" s="1"/>
  <c r="HB140" s="1"/>
  <c r="CA126"/>
  <c r="CB126"/>
  <c r="CC126" s="1"/>
  <c r="CD126" s="1"/>
  <c r="CB109"/>
  <c r="CC109" s="1"/>
  <c r="CD109" s="1"/>
  <c r="CA109"/>
  <c r="CA127"/>
  <c r="CB127"/>
  <c r="CC127" s="1"/>
  <c r="CD127" s="1"/>
  <c r="GE123"/>
  <c r="GF123"/>
  <c r="GG123" s="1"/>
  <c r="GH123" s="1"/>
  <c r="I494" i="21"/>
  <c r="B496"/>
  <c r="G495" s="1"/>
  <c r="E494"/>
  <c r="L494"/>
  <c r="F494"/>
  <c r="D494"/>
  <c r="K494"/>
  <c r="G494"/>
  <c r="FD37" i="10"/>
  <c r="FE37" s="1"/>
  <c r="FF37" s="1"/>
  <c r="FC37"/>
  <c r="CN15"/>
  <c r="CO15" s="1"/>
  <c r="CP15" s="1"/>
  <c r="CM15"/>
  <c r="CA94"/>
  <c r="CB94"/>
  <c r="CC94" s="1"/>
  <c r="CD94" s="1"/>
  <c r="FG71"/>
  <c r="FH71"/>
  <c r="FI71" s="1"/>
  <c r="FJ71" s="1"/>
  <c r="CA63"/>
  <c r="CB63"/>
  <c r="CC63" s="1"/>
  <c r="CD63" s="1"/>
  <c r="CA20"/>
  <c r="CB20"/>
  <c r="CC20" s="1"/>
  <c r="CD20" s="1"/>
  <c r="CA18"/>
  <c r="CB18"/>
  <c r="CC18" s="1"/>
  <c r="CD18" s="1"/>
  <c r="CB19"/>
  <c r="CC19" s="1"/>
  <c r="CD19" s="1"/>
  <c r="CA19"/>
  <c r="CB17"/>
  <c r="CC17" s="1"/>
  <c r="CD17" s="1"/>
  <c r="CA17"/>
  <c r="CB59"/>
  <c r="CC59" s="1"/>
  <c r="CD59" s="1"/>
  <c r="CA59"/>
  <c r="CB61"/>
  <c r="CC61" s="1"/>
  <c r="CD61" s="1"/>
  <c r="CA61"/>
  <c r="CB72"/>
  <c r="CC72" s="1"/>
  <c r="CD72" s="1"/>
  <c r="CA72"/>
  <c r="CB43"/>
  <c r="CC43" s="1"/>
  <c r="CD43" s="1"/>
  <c r="CA43"/>
  <c r="EP15" i="21"/>
  <c r="EQ15" s="1"/>
  <c r="ER15" s="1"/>
  <c r="EP12"/>
  <c r="EQ12" s="1"/>
  <c r="ER12" s="1"/>
  <c r="EP4"/>
  <c r="EP7"/>
  <c r="EP10"/>
  <c r="EP2"/>
  <c r="EP6"/>
  <c r="EP8"/>
  <c r="EP11"/>
  <c r="EP3"/>
  <c r="EP5"/>
  <c r="EP9"/>
  <c r="J221"/>
  <c r="J225"/>
  <c r="J219"/>
  <c r="J226"/>
  <c r="J220"/>
  <c r="J223"/>
  <c r="J222"/>
  <c r="J230"/>
  <c r="J227"/>
  <c r="J264"/>
  <c r="J229"/>
  <c r="J228"/>
  <c r="J224"/>
  <c r="J237"/>
  <c r="J248"/>
  <c r="J235"/>
  <c r="J281"/>
  <c r="J254"/>
  <c r="J250"/>
  <c r="J239"/>
  <c r="J258"/>
  <c r="J271"/>
  <c r="J261"/>
  <c r="J251"/>
  <c r="J283"/>
  <c r="J260"/>
  <c r="J231"/>
  <c r="J274"/>
  <c r="J236"/>
  <c r="J275"/>
  <c r="J276"/>
  <c r="J233"/>
  <c r="J255"/>
  <c r="J272"/>
  <c r="J295"/>
  <c r="J277"/>
  <c r="J242"/>
  <c r="J234"/>
  <c r="J282"/>
  <c r="J268"/>
  <c r="J243"/>
  <c r="J249"/>
  <c r="J270"/>
  <c r="J266"/>
  <c r="J241"/>
  <c r="J238"/>
  <c r="J245"/>
  <c r="J279"/>
  <c r="J240"/>
  <c r="J278"/>
  <c r="J267"/>
  <c r="J280"/>
  <c r="J247"/>
  <c r="J262"/>
  <c r="J259"/>
  <c r="J263"/>
  <c r="J246"/>
  <c r="J232"/>
  <c r="J257"/>
  <c r="J265"/>
  <c r="J253"/>
  <c r="J244"/>
  <c r="J273"/>
  <c r="J256"/>
  <c r="J284"/>
  <c r="J252"/>
  <c r="J269"/>
  <c r="J287"/>
  <c r="J319"/>
  <c r="J297"/>
  <c r="J296"/>
  <c r="J288"/>
  <c r="J298"/>
  <c r="J292"/>
  <c r="J286"/>
  <c r="J307"/>
  <c r="J299"/>
  <c r="J289"/>
  <c r="J285"/>
  <c r="J321"/>
  <c r="J293"/>
  <c r="J291"/>
  <c r="J290"/>
  <c r="J294"/>
  <c r="J314"/>
  <c r="J327"/>
  <c r="J318"/>
  <c r="J313"/>
  <c r="J304"/>
  <c r="J328"/>
  <c r="J342"/>
  <c r="J305"/>
  <c r="J324"/>
  <c r="J310"/>
  <c r="J317"/>
  <c r="J316"/>
  <c r="J322"/>
  <c r="J302"/>
  <c r="J315"/>
  <c r="J331"/>
  <c r="J312"/>
  <c r="J311"/>
  <c r="J334"/>
  <c r="J306"/>
  <c r="J301"/>
  <c r="J300"/>
  <c r="J303"/>
  <c r="J332"/>
  <c r="J333"/>
  <c r="J329"/>
  <c r="J330"/>
  <c r="J325"/>
  <c r="J309"/>
  <c r="J320"/>
  <c r="J308"/>
  <c r="J323"/>
  <c r="J326"/>
  <c r="J339"/>
  <c r="J395"/>
  <c r="J393"/>
  <c r="J337"/>
  <c r="J335"/>
  <c r="J340"/>
  <c r="J355"/>
  <c r="J336"/>
  <c r="J392"/>
  <c r="J391"/>
  <c r="J338"/>
  <c r="J341"/>
  <c r="J357"/>
  <c r="J353"/>
  <c r="J494"/>
  <c r="J413"/>
  <c r="J363"/>
  <c r="J371"/>
  <c r="J451"/>
  <c r="J429"/>
  <c r="J360"/>
  <c r="J444"/>
  <c r="J449"/>
  <c r="J406"/>
  <c r="J423"/>
  <c r="J452"/>
  <c r="J389"/>
  <c r="J351"/>
  <c r="J381"/>
  <c r="J382"/>
  <c r="J417"/>
  <c r="J402"/>
  <c r="J426"/>
  <c r="J347"/>
  <c r="J362"/>
  <c r="J436"/>
  <c r="J345"/>
  <c r="J446"/>
  <c r="J425"/>
  <c r="J480"/>
  <c r="J370"/>
  <c r="J418"/>
  <c r="J390"/>
  <c r="J349"/>
  <c r="J387"/>
  <c r="J445"/>
  <c r="J383"/>
  <c r="J398"/>
  <c r="J455"/>
  <c r="J368"/>
  <c r="J422"/>
  <c r="J411"/>
  <c r="J439"/>
  <c r="J346"/>
  <c r="J416"/>
  <c r="J412"/>
  <c r="J380"/>
  <c r="J420"/>
  <c r="J453"/>
  <c r="J442"/>
  <c r="J461"/>
  <c r="J405"/>
  <c r="J374"/>
  <c r="J361"/>
  <c r="J447"/>
  <c r="J441"/>
  <c r="J388"/>
  <c r="J366"/>
  <c r="J454"/>
  <c r="J465"/>
  <c r="J469"/>
  <c r="J473"/>
  <c r="J477"/>
  <c r="J481"/>
  <c r="J485"/>
  <c r="J367"/>
  <c r="J434"/>
  <c r="J399"/>
  <c r="J419"/>
  <c r="J364"/>
  <c r="J394"/>
  <c r="J396"/>
  <c r="J401"/>
  <c r="J459"/>
  <c r="J403"/>
  <c r="J438"/>
  <c r="J369"/>
  <c r="J385"/>
  <c r="J410"/>
  <c r="J432"/>
  <c r="J456"/>
  <c r="J427"/>
  <c r="J350"/>
  <c r="J457"/>
  <c r="J373"/>
  <c r="J404"/>
  <c r="J377"/>
  <c r="J354"/>
  <c r="J414"/>
  <c r="J375"/>
  <c r="J384"/>
  <c r="J359"/>
  <c r="J378"/>
  <c r="J365"/>
  <c r="J458"/>
  <c r="J466"/>
  <c r="J470"/>
  <c r="J474"/>
  <c r="J478"/>
  <c r="J482"/>
  <c r="J486"/>
  <c r="J379"/>
  <c r="J397"/>
  <c r="J462"/>
  <c r="J467"/>
  <c r="J471"/>
  <c r="J475"/>
  <c r="J479"/>
  <c r="J483"/>
  <c r="J487"/>
  <c r="J488"/>
  <c r="J421"/>
  <c r="J468"/>
  <c r="J472"/>
  <c r="J476"/>
  <c r="J484"/>
  <c r="J352"/>
  <c r="J450"/>
  <c r="J372"/>
  <c r="J435"/>
  <c r="J407"/>
  <c r="J428"/>
  <c r="J408"/>
  <c r="J386"/>
  <c r="J409"/>
  <c r="J433"/>
  <c r="J376"/>
  <c r="J448"/>
  <c r="J460"/>
  <c r="J443"/>
  <c r="J463"/>
  <c r="J358"/>
  <c r="J437"/>
  <c r="J400"/>
  <c r="J343"/>
  <c r="J430"/>
  <c r="J356"/>
  <c r="J415"/>
  <c r="J348"/>
  <c r="J424"/>
  <c r="J431"/>
  <c r="J344"/>
  <c r="J440"/>
  <c r="J464"/>
  <c r="J489"/>
  <c r="J490"/>
  <c r="J491"/>
  <c r="J492"/>
  <c r="J493"/>
  <c r="BZ43"/>
  <c r="BV12"/>
  <c r="BX149" i="10"/>
  <c r="BX150" s="1"/>
  <c r="AE89"/>
  <c r="K3" i="21"/>
  <c r="EP18"/>
  <c r="EQ18" s="1"/>
  <c r="ER18" s="1"/>
  <c r="E223" i="10"/>
  <c r="W13"/>
  <c r="E221"/>
  <c r="E216"/>
  <c r="C182"/>
  <c r="A181" s="1"/>
  <c r="E210"/>
  <c r="W66"/>
  <c r="W11"/>
  <c r="H5" i="21"/>
  <c r="E89"/>
  <c r="E90" s="1"/>
  <c r="F90" s="1"/>
  <c r="E83"/>
  <c r="E84" s="1"/>
  <c r="E85" s="1"/>
  <c r="J169" i="10"/>
  <c r="J172"/>
  <c r="J171"/>
  <c r="J170"/>
  <c r="FI21" i="21"/>
  <c r="FJ21" s="1"/>
  <c r="FI25"/>
  <c r="FJ25" s="1"/>
  <c r="FI29"/>
  <c r="FJ29" s="1"/>
  <c r="FI33"/>
  <c r="FJ33" s="1"/>
  <c r="FI18"/>
  <c r="FI22"/>
  <c r="FJ22" s="1"/>
  <c r="FI26"/>
  <c r="FJ26" s="1"/>
  <c r="FI30"/>
  <c r="FJ30" s="1"/>
  <c r="FI34"/>
  <c r="FJ34" s="1"/>
  <c r="FI19"/>
  <c r="FJ19" s="1"/>
  <c r="FI23"/>
  <c r="FJ23" s="1"/>
  <c r="FI27"/>
  <c r="FJ27" s="1"/>
  <c r="FI31"/>
  <c r="FJ31" s="1"/>
  <c r="FI35"/>
  <c r="FJ35" s="1"/>
  <c r="FI20"/>
  <c r="FJ20" s="1"/>
  <c r="FI24"/>
  <c r="FJ24" s="1"/>
  <c r="FI28"/>
  <c r="FI32"/>
  <c r="L47" i="10"/>
  <c r="M47" s="1"/>
  <c r="L146"/>
  <c r="M146" s="1"/>
  <c r="L145"/>
  <c r="M145" s="1"/>
  <c r="L144"/>
  <c r="M144" s="1"/>
  <c r="L142"/>
  <c r="L140"/>
  <c r="M140" s="1"/>
  <c r="L134"/>
  <c r="M134" s="1"/>
  <c r="L33" i="27"/>
  <c r="M33" s="1"/>
  <c r="F89" i="22"/>
  <c r="L35" i="27"/>
  <c r="M35" s="1"/>
  <c r="L36"/>
  <c r="M36" s="1"/>
  <c r="L34"/>
  <c r="M34" s="1"/>
  <c r="G118" i="22"/>
  <c r="L127" i="10"/>
  <c r="M127" s="1"/>
  <c r="L108"/>
  <c r="M108" s="1"/>
  <c r="L59"/>
  <c r="M59" s="1"/>
  <c r="L57"/>
  <c r="M57" s="1"/>
  <c r="L54"/>
  <c r="M54" s="1"/>
  <c r="L50"/>
  <c r="M50" s="1"/>
  <c r="L41"/>
  <c r="M41" s="1"/>
  <c r="L38"/>
  <c r="M38" s="1"/>
  <c r="L33"/>
  <c r="M33" s="1"/>
  <c r="L25"/>
  <c r="M25" s="1"/>
  <c r="L20"/>
  <c r="M20" s="1"/>
  <c r="L16"/>
  <c r="M16" s="1"/>
  <c r="L129"/>
  <c r="M129" s="1"/>
  <c r="L119"/>
  <c r="M119" s="1"/>
  <c r="L89"/>
  <c r="M89" s="1"/>
  <c r="L82"/>
  <c r="M82" s="1"/>
  <c r="L79"/>
  <c r="M79" s="1"/>
  <c r="L61"/>
  <c r="M61" s="1"/>
  <c r="L21"/>
  <c r="M21" s="1"/>
  <c r="L17"/>
  <c r="M17" s="1"/>
  <c r="L133"/>
  <c r="M133" s="1"/>
  <c r="L120"/>
  <c r="M120" s="1"/>
  <c r="L109"/>
  <c r="M109" s="1"/>
  <c r="L104"/>
  <c r="M104" s="1"/>
  <c r="L90"/>
  <c r="M90" s="1"/>
  <c r="L63"/>
  <c r="M63" s="1"/>
  <c r="L58"/>
  <c r="M58" s="1"/>
  <c r="L55"/>
  <c r="M55" s="1"/>
  <c r="L51"/>
  <c r="M51" s="1"/>
  <c r="L43"/>
  <c r="M43" s="1"/>
  <c r="L40"/>
  <c r="M40" s="1"/>
  <c r="L36"/>
  <c r="M36" s="1"/>
  <c r="L22"/>
  <c r="M22" s="1"/>
  <c r="L18"/>
  <c r="M18" s="1"/>
  <c r="L126"/>
  <c r="M126" s="1"/>
  <c r="L115"/>
  <c r="M115" s="1"/>
  <c r="L111"/>
  <c r="M111" s="1"/>
  <c r="L66"/>
  <c r="M66" s="1"/>
  <c r="L52"/>
  <c r="M52" s="1"/>
  <c r="L19"/>
  <c r="M19" s="1"/>
  <c r="L13"/>
  <c r="M13" s="1"/>
  <c r="EP17" i="21"/>
  <c r="EQ17" s="1"/>
  <c r="EP16"/>
  <c r="EQ16" s="1"/>
  <c r="EP20"/>
  <c r="EP19"/>
  <c r="EP21"/>
  <c r="CF36"/>
  <c r="CG36" s="1"/>
  <c r="BZ36"/>
  <c r="H187" i="10"/>
  <c r="J187" s="1"/>
  <c r="T16"/>
  <c r="Y16" s="1"/>
  <c r="Z16" s="1"/>
  <c r="AA16" s="1"/>
  <c r="AB16" s="1"/>
  <c r="W16"/>
  <c r="W142"/>
  <c r="W119"/>
  <c r="DF36" i="21"/>
  <c r="AE114" i="10"/>
  <c r="L114"/>
  <c r="CF43" i="21"/>
  <c r="CG43" s="1"/>
  <c r="CF38"/>
  <c r="CG38" s="1"/>
  <c r="CF37"/>
  <c r="CG37" s="1"/>
  <c r="AE145" i="10"/>
  <c r="AE146"/>
  <c r="AE142"/>
  <c r="AE144"/>
  <c r="AE140"/>
  <c r="AE133"/>
  <c r="AE120"/>
  <c r="AE109"/>
  <c r="AE126"/>
  <c r="AE115"/>
  <c r="AE111"/>
  <c r="AE134"/>
  <c r="AE127"/>
  <c r="AE129"/>
  <c r="AE119"/>
  <c r="AE59"/>
  <c r="AE57"/>
  <c r="AE54"/>
  <c r="AE50"/>
  <c r="AE41"/>
  <c r="AE38"/>
  <c r="AE33"/>
  <c r="AE25"/>
  <c r="AE20"/>
  <c r="AE16"/>
  <c r="AE82"/>
  <c r="AE63"/>
  <c r="AE58"/>
  <c r="AE55"/>
  <c r="AE51"/>
  <c r="AE47"/>
  <c r="AE43"/>
  <c r="AE40"/>
  <c r="AE36"/>
  <c r="AE22"/>
  <c r="AE18"/>
  <c r="AE104"/>
  <c r="AE90"/>
  <c r="AE79"/>
  <c r="AE66"/>
  <c r="AE52"/>
  <c r="AE19"/>
  <c r="AE13"/>
  <c r="AE108"/>
  <c r="AE61"/>
  <c r="AE21"/>
  <c r="AE17"/>
  <c r="AZ8"/>
  <c r="I9" i="21"/>
  <c r="FP43"/>
  <c r="FP44"/>
  <c r="EP14"/>
  <c r="EQ14" s="1"/>
  <c r="ER14" s="1"/>
  <c r="EP22"/>
  <c r="EP25"/>
  <c r="EP13"/>
  <c r="EQ13" s="1"/>
  <c r="ER13" s="1"/>
  <c r="EP23"/>
  <c r="EP24"/>
  <c r="EP31"/>
  <c r="EP41"/>
  <c r="EP60"/>
  <c r="EP45"/>
  <c r="EP38"/>
  <c r="EP30"/>
  <c r="EP42"/>
  <c r="EP37"/>
  <c r="EP29"/>
  <c r="EP33"/>
  <c r="EP34"/>
  <c r="EP35"/>
  <c r="EP36"/>
  <c r="EP32"/>
  <c r="L9" i="27"/>
  <c r="L12"/>
  <c r="L6"/>
  <c r="G149" i="10"/>
  <c r="I149" s="1"/>
  <c r="T177"/>
  <c r="FW8" i="21"/>
  <c r="O74" i="10"/>
  <c r="E74" s="1"/>
  <c r="X74" s="1"/>
  <c r="O91"/>
  <c r="E91" s="1"/>
  <c r="X91" s="1"/>
  <c r="O103"/>
  <c r="P103" s="1"/>
  <c r="O124"/>
  <c r="G31" i="21"/>
  <c r="I31" s="1"/>
  <c r="D34"/>
  <c r="E34" s="1"/>
  <c r="AE151" i="10"/>
  <c r="AZ20"/>
  <c r="AE152"/>
  <c r="AZ23"/>
  <c r="AE148"/>
  <c r="AZ11"/>
  <c r="AE149"/>
  <c r="AZ14"/>
  <c r="AZ15" s="1"/>
  <c r="AE150"/>
  <c r="AZ17"/>
  <c r="O98"/>
  <c r="E98" s="1"/>
  <c r="X98" s="1"/>
  <c r="O112"/>
  <c r="E112" s="1"/>
  <c r="X112" s="1"/>
  <c r="O85"/>
  <c r="E85" s="1"/>
  <c r="X85" s="1"/>
  <c r="O29"/>
  <c r="E29" s="1"/>
  <c r="X29" s="1"/>
  <c r="O7"/>
  <c r="E7" s="1"/>
  <c r="X7" s="1"/>
  <c r="DF12" i="21"/>
  <c r="O44" i="10"/>
  <c r="E44" s="1"/>
  <c r="X44" s="1"/>
  <c r="O28"/>
  <c r="E28" s="1"/>
  <c r="X28" s="1"/>
  <c r="O42"/>
  <c r="E42" s="1"/>
  <c r="X42" s="1"/>
  <c r="O39"/>
  <c r="E39" s="1"/>
  <c r="X39" s="1"/>
  <c r="O88"/>
  <c r="E88" s="1"/>
  <c r="X88" s="1"/>
  <c r="O31"/>
  <c r="E31" s="1"/>
  <c r="X31" s="1"/>
  <c r="O83"/>
  <c r="E83" s="1"/>
  <c r="X83" s="1"/>
  <c r="O136"/>
  <c r="E136" s="1"/>
  <c r="X136" s="1"/>
  <c r="O122"/>
  <c r="E122" s="1"/>
  <c r="X122" s="1"/>
  <c r="FW10" i="21"/>
  <c r="FW11"/>
  <c r="FW12"/>
  <c r="FW9"/>
  <c r="FM41"/>
  <c r="FM42"/>
  <c r="O137" i="10"/>
  <c r="E137" s="1"/>
  <c r="X137" s="1"/>
  <c r="O86"/>
  <c r="E86" s="1"/>
  <c r="X86" s="1"/>
  <c r="O107"/>
  <c r="E107" s="1"/>
  <c r="X107" s="1"/>
  <c r="O96"/>
  <c r="E96" s="1"/>
  <c r="X96" s="1"/>
  <c r="O14"/>
  <c r="E14" s="1"/>
  <c r="X14" s="1"/>
  <c r="O2"/>
  <c r="E2" s="1"/>
  <c r="X2" s="1"/>
  <c r="O135"/>
  <c r="E135" s="1"/>
  <c r="X135" s="1"/>
  <c r="FK40" i="21"/>
  <c r="FP42"/>
  <c r="FP41"/>
  <c r="EP27"/>
  <c r="EP28"/>
  <c r="EP26"/>
  <c r="O118" i="10"/>
  <c r="O45"/>
  <c r="O139"/>
  <c r="O32"/>
  <c r="O73"/>
  <c r="P202"/>
  <c r="P204" s="1"/>
  <c r="O92"/>
  <c r="O75"/>
  <c r="O78"/>
  <c r="O113"/>
  <c r="O68"/>
  <c r="O143"/>
  <c r="E143" s="1"/>
  <c r="R142"/>
  <c r="R11"/>
  <c r="R66"/>
  <c r="T52"/>
  <c r="R51"/>
  <c r="R26"/>
  <c r="T21"/>
  <c r="R16"/>
  <c r="R89"/>
  <c r="R13"/>
  <c r="R119"/>
  <c r="R146"/>
  <c r="O100"/>
  <c r="FK41" i="21"/>
  <c r="F119"/>
  <c r="G119" s="1"/>
  <c r="G120" s="1"/>
  <c r="G121" s="1"/>
  <c r="G122" s="1"/>
  <c r="G123" s="1"/>
  <c r="G124" s="1"/>
  <c r="G125" s="1"/>
  <c r="G126" s="1"/>
  <c r="G127" s="1"/>
  <c r="G128" s="1"/>
  <c r="H117"/>
  <c r="O132" i="10"/>
  <c r="O10"/>
  <c r="O60"/>
  <c r="O101"/>
  <c r="O110"/>
  <c r="O62"/>
  <c r="O95"/>
  <c r="O131"/>
  <c r="O71"/>
  <c r="O27"/>
  <c r="O37"/>
  <c r="DN29" i="21"/>
  <c r="DR29"/>
  <c r="DN36"/>
  <c r="DR36"/>
  <c r="DN35"/>
  <c r="DR35"/>
  <c r="DN34"/>
  <c r="DR34"/>
  <c r="DN33"/>
  <c r="DR33"/>
  <c r="DN32"/>
  <c r="DR32"/>
  <c r="DN31"/>
  <c r="DF18" s="1"/>
  <c r="DR31"/>
  <c r="DN30"/>
  <c r="DR30"/>
  <c r="EZ201"/>
  <c r="FE201" s="1"/>
  <c r="EO49"/>
  <c r="EI49"/>
  <c r="EP49" s="1"/>
  <c r="EI88"/>
  <c r="EP88" s="1"/>
  <c r="O117" i="10"/>
  <c r="S145"/>
  <c r="W145" s="1"/>
  <c r="S144"/>
  <c r="S123"/>
  <c r="W123" s="1"/>
  <c r="S94"/>
  <c r="W94" s="1"/>
  <c r="S48"/>
  <c r="S24"/>
  <c r="S8"/>
  <c r="S20"/>
  <c r="S19"/>
  <c r="W19" s="1"/>
  <c r="S18"/>
  <c r="W18" s="1"/>
  <c r="S17"/>
  <c r="S6"/>
  <c r="S140"/>
  <c r="W140" s="1"/>
  <c r="S133"/>
  <c r="W133" s="1"/>
  <c r="S129"/>
  <c r="S127"/>
  <c r="F220" s="1"/>
  <c r="H220" s="1"/>
  <c r="S120"/>
  <c r="S114"/>
  <c r="W114" s="1"/>
  <c r="S111"/>
  <c r="S109"/>
  <c r="W109" s="1"/>
  <c r="S108"/>
  <c r="W108" s="1"/>
  <c r="S104"/>
  <c r="W104" s="1"/>
  <c r="S93"/>
  <c r="S90"/>
  <c r="W90" s="1"/>
  <c r="S87"/>
  <c r="W87" s="1"/>
  <c r="S82"/>
  <c r="W82" s="1"/>
  <c r="S81"/>
  <c r="W81" s="1"/>
  <c r="S80"/>
  <c r="W80" s="1"/>
  <c r="S79"/>
  <c r="W79" s="1"/>
  <c r="S72"/>
  <c r="W72" s="1"/>
  <c r="S67"/>
  <c r="W67" s="1"/>
  <c r="S61"/>
  <c r="S59"/>
  <c r="W59" s="1"/>
  <c r="S58"/>
  <c r="W58" s="1"/>
  <c r="S57"/>
  <c r="S54"/>
  <c r="W54" s="1"/>
  <c r="S53"/>
  <c r="W53" s="1"/>
  <c r="S50"/>
  <c r="S46"/>
  <c r="S43"/>
  <c r="W43" s="1"/>
  <c r="S41"/>
  <c r="T40"/>
  <c r="Y40" s="1"/>
  <c r="S38"/>
  <c r="S33"/>
  <c r="S25"/>
  <c r="S22"/>
  <c r="W22" s="1"/>
  <c r="S12"/>
  <c r="S3"/>
  <c r="O55"/>
  <c r="O15"/>
  <c r="O52"/>
  <c r="R21"/>
  <c r="V46"/>
  <c r="EI40" i="21"/>
  <c r="EP40" s="1"/>
  <c r="V53" i="10"/>
  <c r="T142"/>
  <c r="S158" s="1"/>
  <c r="V72"/>
  <c r="F149"/>
  <c r="T51"/>
  <c r="V104"/>
  <c r="K3" i="14"/>
  <c r="L3" s="1"/>
  <c r="V146" i="10"/>
  <c r="V25"/>
  <c r="V144"/>
  <c r="R52"/>
  <c r="S179"/>
  <c r="T119"/>
  <c r="Y119" s="1"/>
  <c r="O81"/>
  <c r="V67"/>
  <c r="V41"/>
  <c r="S175"/>
  <c r="T26"/>
  <c r="Y26" s="1"/>
  <c r="V82"/>
  <c r="O13"/>
  <c r="V12"/>
  <c r="O133"/>
  <c r="V129"/>
  <c r="O129"/>
  <c r="O120"/>
  <c r="V145"/>
  <c r="O145"/>
  <c r="E145" s="1"/>
  <c r="EZ210" i="21"/>
  <c r="FE210" s="1"/>
  <c r="EZ209"/>
  <c r="FE209" s="1"/>
  <c r="EI79"/>
  <c r="EP79" s="1"/>
  <c r="EO79"/>
  <c r="EI78"/>
  <c r="EP78" s="1"/>
  <c r="EO78"/>
  <c r="EI77"/>
  <c r="EP77" s="1"/>
  <c r="EO77"/>
  <c r="EI76"/>
  <c r="EP76" s="1"/>
  <c r="EO76"/>
  <c r="EZ205"/>
  <c r="FE205" s="1"/>
  <c r="EZ204"/>
  <c r="FE204" s="1"/>
  <c r="O108" i="10"/>
  <c r="O51"/>
  <c r="V138"/>
  <c r="V94"/>
  <c r="O94"/>
  <c r="V24"/>
  <c r="V47"/>
  <c r="V38"/>
  <c r="V79"/>
  <c r="O79"/>
  <c r="DP35" i="21"/>
  <c r="DQ35" s="1"/>
  <c r="DP30"/>
  <c r="DQ30" s="1"/>
  <c r="DP32"/>
  <c r="DQ32" s="1"/>
  <c r="E81"/>
  <c r="H31"/>
  <c r="K31" s="1"/>
  <c r="FI15"/>
  <c r="EZ261"/>
  <c r="FE261" s="1"/>
  <c r="FJ32"/>
  <c r="O87" i="10"/>
  <c r="O142"/>
  <c r="O140"/>
  <c r="O134"/>
  <c r="V126"/>
  <c r="V55"/>
  <c r="O50"/>
  <c r="O47"/>
  <c r="O26"/>
  <c r="V22"/>
  <c r="V18"/>
  <c r="I5" i="21"/>
  <c r="O146" i="10"/>
  <c r="E146" s="1"/>
  <c r="O138"/>
  <c r="O24"/>
  <c r="O93"/>
  <c r="O82"/>
  <c r="O80"/>
  <c r="O38"/>
  <c r="V33"/>
  <c r="O25"/>
  <c r="V134"/>
  <c r="O127"/>
  <c r="O126"/>
  <c r="O89"/>
  <c r="O84"/>
  <c r="V61"/>
  <c r="O61"/>
  <c r="V58"/>
  <c r="O58"/>
  <c r="O41"/>
  <c r="O22"/>
  <c r="O18"/>
  <c r="S176"/>
  <c r="S178"/>
  <c r="O144"/>
  <c r="E144" s="1"/>
  <c r="S134"/>
  <c r="S126"/>
  <c r="W126" s="1"/>
  <c r="S115"/>
  <c r="W115" s="1"/>
  <c r="O104"/>
  <c r="O72"/>
  <c r="O67"/>
  <c r="S63"/>
  <c r="W63" s="1"/>
  <c r="O53"/>
  <c r="S47"/>
  <c r="O46"/>
  <c r="S36"/>
  <c r="W36" s="1"/>
  <c r="V13"/>
  <c r="S9"/>
  <c r="V6"/>
  <c r="EZ277" i="21"/>
  <c r="FE277" s="1"/>
  <c r="EZ299"/>
  <c r="FE299" s="1"/>
  <c r="EZ295"/>
  <c r="FE295" s="1"/>
  <c r="EZ291"/>
  <c r="FE291" s="1"/>
  <c r="EZ289"/>
  <c r="FE289" s="1"/>
  <c r="EZ273"/>
  <c r="FE273" s="1"/>
  <c r="EZ287"/>
  <c r="FE287" s="1"/>
  <c r="EZ285"/>
  <c r="FE285" s="1"/>
  <c r="EZ283"/>
  <c r="FE283" s="1"/>
  <c r="EZ281"/>
  <c r="FE281" s="1"/>
  <c r="EZ279"/>
  <c r="FE279" s="1"/>
  <c r="EZ275"/>
  <c r="FE275" s="1"/>
  <c r="EZ271"/>
  <c r="FE271" s="1"/>
  <c r="EZ269"/>
  <c r="FE269" s="1"/>
  <c r="EZ267"/>
  <c r="FE267" s="1"/>
  <c r="EZ265"/>
  <c r="FE265" s="1"/>
  <c r="EZ263"/>
  <c r="FE263" s="1"/>
  <c r="EZ259"/>
  <c r="FE259" s="1"/>
  <c r="EZ247"/>
  <c r="FE247" s="1"/>
  <c r="EZ245"/>
  <c r="FE245" s="1"/>
  <c r="EZ243"/>
  <c r="FE243" s="1"/>
  <c r="EZ241"/>
  <c r="FE241" s="1"/>
  <c r="EZ239"/>
  <c r="FE239" s="1"/>
  <c r="EZ237"/>
  <c r="FE237" s="1"/>
  <c r="EZ235"/>
  <c r="FE235" s="1"/>
  <c r="EZ233"/>
  <c r="FE233" s="1"/>
  <c r="EZ231"/>
  <c r="FE231" s="1"/>
  <c r="EZ229"/>
  <c r="FE229" s="1"/>
  <c r="EZ227"/>
  <c r="FE227" s="1"/>
  <c r="EZ225"/>
  <c r="FE225" s="1"/>
  <c r="EZ223"/>
  <c r="FE223" s="1"/>
  <c r="EZ221"/>
  <c r="FE221" s="1"/>
  <c r="EZ219"/>
  <c r="FE219" s="1"/>
  <c r="EZ217"/>
  <c r="FE217" s="1"/>
  <c r="EI87"/>
  <c r="EP87" s="1"/>
  <c r="EI86"/>
  <c r="EP86" s="1"/>
  <c r="EI85"/>
  <c r="EP85" s="1"/>
  <c r="EI83"/>
  <c r="EP83" s="1"/>
  <c r="EI82"/>
  <c r="EP82" s="1"/>
  <c r="EI81"/>
  <c r="EP81" s="1"/>
  <c r="EI80"/>
  <c r="EP80" s="1"/>
  <c r="EI72"/>
  <c r="EP72" s="1"/>
  <c r="EI69"/>
  <c r="EP69" s="1"/>
  <c r="EZ195"/>
  <c r="FE195" s="1"/>
  <c r="EO68"/>
  <c r="EZ193"/>
  <c r="FE193" s="1"/>
  <c r="EO66"/>
  <c r="EI65"/>
  <c r="EP65" s="1"/>
  <c r="EI64"/>
  <c r="EP64" s="1"/>
  <c r="EZ190"/>
  <c r="FE190" s="1"/>
  <c r="EO63"/>
  <c r="EI61"/>
  <c r="EP61" s="1"/>
  <c r="EI58"/>
  <c r="EP58" s="1"/>
  <c r="EZ178"/>
  <c r="FE178" s="1"/>
  <c r="EO54"/>
  <c r="EI53"/>
  <c r="EP53" s="1"/>
  <c r="EZ172"/>
  <c r="FE172" s="1"/>
  <c r="EO48"/>
  <c r="EZ163"/>
  <c r="FE163" s="1"/>
  <c r="V48" i="10"/>
  <c r="O48"/>
  <c r="V115"/>
  <c r="O115"/>
  <c r="O114"/>
  <c r="V111"/>
  <c r="O111"/>
  <c r="O109"/>
  <c r="V90"/>
  <c r="O90"/>
  <c r="V89"/>
  <c r="V66"/>
  <c r="O66"/>
  <c r="V57"/>
  <c r="O57"/>
  <c r="O54"/>
  <c r="O21"/>
  <c r="O20"/>
  <c r="V19"/>
  <c r="O19"/>
  <c r="V8"/>
  <c r="O8"/>
  <c r="EZ298" i="21"/>
  <c r="FE298" s="1"/>
  <c r="EZ292"/>
  <c r="FE292" s="1"/>
  <c r="EZ278"/>
  <c r="FE278" s="1"/>
  <c r="EZ276"/>
  <c r="FE276" s="1"/>
  <c r="EZ274"/>
  <c r="FE274" s="1"/>
  <c r="EZ272"/>
  <c r="FE272" s="1"/>
  <c r="EZ262"/>
  <c r="FE262" s="1"/>
  <c r="EZ260"/>
  <c r="FE260" s="1"/>
  <c r="EZ258"/>
  <c r="FE258" s="1"/>
  <c r="EZ256"/>
  <c r="FE256" s="1"/>
  <c r="EZ254"/>
  <c r="FE254" s="1"/>
  <c r="EZ252"/>
  <c r="FE252" s="1"/>
  <c r="EZ212"/>
  <c r="FE212" s="1"/>
  <c r="EO84"/>
  <c r="EZ203"/>
  <c r="FE203" s="1"/>
  <c r="EO75"/>
  <c r="EZ202"/>
  <c r="FE202" s="1"/>
  <c r="EO74"/>
  <c r="EZ200"/>
  <c r="FE200" s="1"/>
  <c r="EO73"/>
  <c r="EZ198"/>
  <c r="FE198" s="1"/>
  <c r="EO71"/>
  <c r="EZ197"/>
  <c r="FE197" s="1"/>
  <c r="EO70"/>
  <c r="EZ194"/>
  <c r="FE194" s="1"/>
  <c r="EO67"/>
  <c r="EZ189"/>
  <c r="FE189" s="1"/>
  <c r="EO62"/>
  <c r="EZ183"/>
  <c r="FE183" s="1"/>
  <c r="EO60"/>
  <c r="EI59"/>
  <c r="EP59" s="1"/>
  <c r="EI57"/>
  <c r="EP57" s="1"/>
  <c r="EI56"/>
  <c r="EP56" s="1"/>
  <c r="EI55"/>
  <c r="EP55" s="1"/>
  <c r="EI52"/>
  <c r="EP52" s="1"/>
  <c r="EZ175"/>
  <c r="FE175" s="1"/>
  <c r="EO51"/>
  <c r="EZ174"/>
  <c r="FE174" s="1"/>
  <c r="EO50"/>
  <c r="EI46"/>
  <c r="EP46" s="1"/>
  <c r="EZ300"/>
  <c r="FE300" s="1"/>
  <c r="EZ297"/>
  <c r="FE297" s="1"/>
  <c r="EZ296"/>
  <c r="FE296" s="1"/>
  <c r="EZ294"/>
  <c r="FE294" s="1"/>
  <c r="EZ293"/>
  <c r="FE293" s="1"/>
  <c r="EZ290"/>
  <c r="FE290" s="1"/>
  <c r="EZ288"/>
  <c r="FE288" s="1"/>
  <c r="EZ286"/>
  <c r="FE286" s="1"/>
  <c r="EZ284"/>
  <c r="FE284" s="1"/>
  <c r="EZ282"/>
  <c r="FE282" s="1"/>
  <c r="EZ280"/>
  <c r="FE280" s="1"/>
  <c r="EZ270"/>
  <c r="FE270" s="1"/>
  <c r="EZ268"/>
  <c r="FE268" s="1"/>
  <c r="EZ266"/>
  <c r="FE266" s="1"/>
  <c r="EZ264"/>
  <c r="FE264" s="1"/>
  <c r="EZ257"/>
  <c r="FE257" s="1"/>
  <c r="EZ255"/>
  <c r="FE255" s="1"/>
  <c r="EZ253"/>
  <c r="FE253" s="1"/>
  <c r="EZ251"/>
  <c r="FE251" s="1"/>
  <c r="EZ250"/>
  <c r="FE250" s="1"/>
  <c r="EZ249"/>
  <c r="FE249" s="1"/>
  <c r="EZ248"/>
  <c r="FE248" s="1"/>
  <c r="EZ246"/>
  <c r="FE246" s="1"/>
  <c r="EZ244"/>
  <c r="FE244" s="1"/>
  <c r="EZ242"/>
  <c r="FE242" s="1"/>
  <c r="EZ240"/>
  <c r="FE240" s="1"/>
  <c r="EZ238"/>
  <c r="FE238" s="1"/>
  <c r="EZ236"/>
  <c r="FE236" s="1"/>
  <c r="EZ234"/>
  <c r="FE234" s="1"/>
  <c r="EZ232"/>
  <c r="FE232" s="1"/>
  <c r="EZ230"/>
  <c r="FE230" s="1"/>
  <c r="EZ228"/>
  <c r="FE228" s="1"/>
  <c r="EZ226"/>
  <c r="FE226" s="1"/>
  <c r="EZ224"/>
  <c r="FE224" s="1"/>
  <c r="EZ222"/>
  <c r="FE222" s="1"/>
  <c r="EZ220"/>
  <c r="FE220" s="1"/>
  <c r="EZ218"/>
  <c r="FE218" s="1"/>
  <c r="EZ216"/>
  <c r="FE216" s="1"/>
  <c r="EO88"/>
  <c r="EZ215"/>
  <c r="FE215" s="1"/>
  <c r="EO87"/>
  <c r="EZ214"/>
  <c r="FE214" s="1"/>
  <c r="EO86"/>
  <c r="EZ213"/>
  <c r="FE213" s="1"/>
  <c r="EO85"/>
  <c r="EI84"/>
  <c r="EP84" s="1"/>
  <c r="EZ211"/>
  <c r="FE211" s="1"/>
  <c r="EO83"/>
  <c r="EZ208"/>
  <c r="FE208" s="1"/>
  <c r="EO82"/>
  <c r="EZ207"/>
  <c r="FE207" s="1"/>
  <c r="EO81"/>
  <c r="EZ206"/>
  <c r="FE206" s="1"/>
  <c r="EO80"/>
  <c r="EI75"/>
  <c r="EP75" s="1"/>
  <c r="EI74"/>
  <c r="EP74" s="1"/>
  <c r="EI73"/>
  <c r="EP73" s="1"/>
  <c r="EZ199"/>
  <c r="FE199" s="1"/>
  <c r="EO72"/>
  <c r="EI71"/>
  <c r="EP71" s="1"/>
  <c r="EI70"/>
  <c r="EP70" s="1"/>
  <c r="EZ196"/>
  <c r="FE196" s="1"/>
  <c r="EO69"/>
  <c r="EI68"/>
  <c r="EP68" s="1"/>
  <c r="EI67"/>
  <c r="EP67" s="1"/>
  <c r="EI66"/>
  <c r="EP66" s="1"/>
  <c r="EZ192"/>
  <c r="FE192" s="1"/>
  <c r="EO65"/>
  <c r="EZ191"/>
  <c r="FE191" s="1"/>
  <c r="EO64"/>
  <c r="EI63"/>
  <c r="EP63" s="1"/>
  <c r="EI62"/>
  <c r="EP62" s="1"/>
  <c r="EZ184"/>
  <c r="FE184" s="1"/>
  <c r="EO61"/>
  <c r="EZ182"/>
  <c r="FE182" s="1"/>
  <c r="EO59"/>
  <c r="EO58"/>
  <c r="EZ181"/>
  <c r="FE181" s="1"/>
  <c r="EO57"/>
  <c r="EZ180"/>
  <c r="FE180" s="1"/>
  <c r="EO56"/>
  <c r="EZ179"/>
  <c r="FE179" s="1"/>
  <c r="EO55"/>
  <c r="EI54"/>
  <c r="EP54" s="1"/>
  <c r="EZ177"/>
  <c r="FE177" s="1"/>
  <c r="EO53"/>
  <c r="EZ176"/>
  <c r="FE176" s="1"/>
  <c r="EO52"/>
  <c r="EI51"/>
  <c r="EP51" s="1"/>
  <c r="EI50"/>
  <c r="EP50" s="1"/>
  <c r="EI48"/>
  <c r="EP48" s="1"/>
  <c r="EI47"/>
  <c r="EP47" s="1"/>
  <c r="EO44"/>
  <c r="EI43"/>
  <c r="EP43" s="1"/>
  <c r="G167"/>
  <c r="G136"/>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D93"/>
  <c r="O3" i="10"/>
  <c r="I4" i="21"/>
  <c r="T146" i="10"/>
  <c r="Y146" s="1"/>
  <c r="Z146" s="1"/>
  <c r="AA146" s="1"/>
  <c r="AB146" s="1"/>
  <c r="V142"/>
  <c r="O123"/>
  <c r="T11"/>
  <c r="Y11" s="1"/>
  <c r="Z11" s="1"/>
  <c r="AA11" s="1"/>
  <c r="AB11" s="1"/>
  <c r="O11"/>
  <c r="V119"/>
  <c r="O119"/>
  <c r="T89"/>
  <c r="T66"/>
  <c r="Y66" s="1"/>
  <c r="O63"/>
  <c r="O59"/>
  <c r="V51"/>
  <c r="O43"/>
  <c r="O40"/>
  <c r="O36"/>
  <c r="O33"/>
  <c r="V21"/>
  <c r="O17"/>
  <c r="V16"/>
  <c r="O16"/>
  <c r="T13"/>
  <c r="Y13" s="1"/>
  <c r="Z13" s="1"/>
  <c r="AA13" s="1"/>
  <c r="AB13" s="1"/>
  <c r="O12"/>
  <c r="O9"/>
  <c r="O6"/>
  <c r="V3"/>
  <c r="D37" i="21"/>
  <c r="FJ28"/>
  <c r="DP36"/>
  <c r="DQ36" s="1"/>
  <c r="J9"/>
  <c r="DP34"/>
  <c r="DQ34" s="1"/>
  <c r="DP33"/>
  <c r="DQ33" s="1"/>
  <c r="DP31"/>
  <c r="DQ31" s="1"/>
  <c r="DP29"/>
  <c r="DQ29" s="1"/>
  <c r="V87" i="10"/>
  <c r="V81"/>
  <c r="V123"/>
  <c r="V11"/>
  <c r="V140"/>
  <c r="V133"/>
  <c r="V127"/>
  <c r="V120"/>
  <c r="V114"/>
  <c r="V109"/>
  <c r="V108"/>
  <c r="V93"/>
  <c r="V84"/>
  <c r="V80"/>
  <c r="V63"/>
  <c r="V59"/>
  <c r="V54"/>
  <c r="V50"/>
  <c r="V43"/>
  <c r="V40"/>
  <c r="V36"/>
  <c r="V26"/>
  <c r="V20"/>
  <c r="V17"/>
  <c r="V9"/>
  <c r="EZ171" i="21"/>
  <c r="FE171" s="1"/>
  <c r="EO47"/>
  <c r="EZ170"/>
  <c r="FE170" s="1"/>
  <c r="EO46"/>
  <c r="EZ169"/>
  <c r="FE169" s="1"/>
  <c r="EI44"/>
  <c r="EP44" s="1"/>
  <c r="EZ166"/>
  <c r="FE166" s="1"/>
  <c r="EO43"/>
  <c r="EZ165"/>
  <c r="FE165" s="1"/>
  <c r="EZ164"/>
  <c r="FE164" s="1"/>
  <c r="EI39"/>
  <c r="EP39" s="1"/>
  <c r="H271"/>
  <c r="H378"/>
  <c r="H386"/>
  <c r="H223"/>
  <c r="H445"/>
  <c r="H486"/>
  <c r="H302"/>
  <c r="H265"/>
  <c r="H456"/>
  <c r="H370"/>
  <c r="H485"/>
  <c r="H384"/>
  <c r="H450"/>
  <c r="H451"/>
  <c r="H376"/>
  <c r="H489"/>
  <c r="H262"/>
  <c r="H432"/>
  <c r="H422"/>
  <c r="H454"/>
  <c r="H356"/>
  <c r="H437"/>
  <c r="H398"/>
  <c r="H268"/>
  <c r="H354"/>
  <c r="H416"/>
  <c r="H438"/>
  <c r="H452"/>
  <c r="H375"/>
  <c r="H426"/>
  <c r="H405"/>
  <c r="H412"/>
  <c r="H288"/>
  <c r="H396"/>
  <c r="H409"/>
  <c r="H260"/>
  <c r="H267"/>
  <c r="H482"/>
  <c r="H394"/>
  <c r="H317"/>
  <c r="H257"/>
  <c r="H377"/>
  <c r="H420"/>
  <c r="H418"/>
  <c r="H363"/>
  <c r="H404"/>
  <c r="H380"/>
  <c r="H295"/>
  <c r="H453"/>
  <c r="H315"/>
  <c r="H299"/>
  <c r="H493"/>
  <c r="H407"/>
  <c r="H403"/>
  <c r="H270"/>
  <c r="H487"/>
  <c r="H298"/>
  <c r="H359"/>
  <c r="H395"/>
  <c r="H388"/>
  <c r="H457"/>
  <c r="H385"/>
  <c r="H382"/>
  <c r="H355"/>
  <c r="H364"/>
  <c r="H263"/>
  <c r="H427"/>
  <c r="H269"/>
  <c r="H220"/>
  <c r="H389"/>
  <c r="H399"/>
  <c r="H455"/>
  <c r="H392"/>
  <c r="H430"/>
  <c r="H483"/>
  <c r="H459"/>
  <c r="H423"/>
  <c r="H411"/>
  <c r="H362"/>
  <c r="H219"/>
  <c r="H372"/>
  <c r="H272"/>
  <c r="H294"/>
  <c r="H490"/>
  <c r="H291"/>
  <c r="H443"/>
  <c r="H316"/>
  <c r="H391"/>
  <c r="H304"/>
  <c r="H224"/>
  <c r="H429"/>
  <c r="H428"/>
  <c r="H442"/>
  <c r="H253"/>
  <c r="H494"/>
  <c r="H479"/>
  <c r="H221"/>
  <c r="H314"/>
  <c r="H458"/>
  <c r="H256"/>
  <c r="H301"/>
  <c r="H419"/>
  <c r="H373"/>
  <c r="H303"/>
  <c r="H444"/>
  <c r="H366"/>
  <c r="H293"/>
  <c r="H369"/>
  <c r="H436"/>
  <c r="H255"/>
  <c r="H414"/>
  <c r="H222"/>
  <c r="H360"/>
  <c r="H254"/>
  <c r="H264"/>
  <c r="H290"/>
  <c r="H410"/>
  <c r="H424"/>
  <c r="H401"/>
  <c r="H446"/>
  <c r="H297"/>
  <c r="H481"/>
  <c r="H433"/>
  <c r="H387"/>
  <c r="H491"/>
  <c r="H390"/>
  <c r="H258"/>
  <c r="H397"/>
  <c r="H417"/>
  <c r="H287"/>
  <c r="H292"/>
  <c r="H480"/>
  <c r="H261"/>
  <c r="H371"/>
  <c r="H488"/>
  <c r="H431"/>
  <c r="H357"/>
  <c r="H374"/>
  <c r="H434"/>
  <c r="H440"/>
  <c r="H367"/>
  <c r="H441"/>
  <c r="H393"/>
  <c r="H259"/>
  <c r="H449"/>
  <c r="H226"/>
  <c r="H318"/>
  <c r="H273"/>
  <c r="H421"/>
  <c r="H252"/>
  <c r="H361"/>
  <c r="H408"/>
  <c r="H402"/>
  <c r="H435"/>
  <c r="H425"/>
  <c r="H368"/>
  <c r="H484"/>
  <c r="H225"/>
  <c r="H358"/>
  <c r="H300"/>
  <c r="H296"/>
  <c r="H266"/>
  <c r="H415"/>
  <c r="H400"/>
  <c r="H492"/>
  <c r="H365"/>
  <c r="H383"/>
  <c r="H289"/>
  <c r="H448"/>
  <c r="H381"/>
  <c r="H439"/>
  <c r="H413"/>
  <c r="H447"/>
  <c r="H406"/>
  <c r="H379"/>
  <c r="AV84" i="10" l="1"/>
  <c r="AY32" s="1"/>
  <c r="BB32" s="1"/>
  <c r="BB11"/>
  <c r="BB14"/>
  <c r="CF126"/>
  <c r="CG126" s="1"/>
  <c r="CH126" s="1"/>
  <c r="CE126"/>
  <c r="CF127"/>
  <c r="CG127" s="1"/>
  <c r="CH127" s="1"/>
  <c r="CE127"/>
  <c r="CF109"/>
  <c r="CG109" s="1"/>
  <c r="CH109" s="1"/>
  <c r="CE109"/>
  <c r="GI123"/>
  <c r="GJ123"/>
  <c r="GK123" s="1"/>
  <c r="GL123" s="1"/>
  <c r="HC140"/>
  <c r="HD140"/>
  <c r="HE140" s="1"/>
  <c r="HF140" s="1"/>
  <c r="D495" i="21"/>
  <c r="L495"/>
  <c r="I495"/>
  <c r="C495"/>
  <c r="B497"/>
  <c r="L496" s="1"/>
  <c r="F495"/>
  <c r="J495"/>
  <c r="K495"/>
  <c r="E495"/>
  <c r="G116" i="22"/>
  <c r="H89"/>
  <c r="CE63" i="10"/>
  <c r="CF63"/>
  <c r="CG63" s="1"/>
  <c r="CH63" s="1"/>
  <c r="CE59"/>
  <c r="CF59"/>
  <c r="CG59" s="1"/>
  <c r="CH59" s="1"/>
  <c r="CE17"/>
  <c r="CF17"/>
  <c r="CG17" s="1"/>
  <c r="CH17" s="1"/>
  <c r="CF72"/>
  <c r="CG72" s="1"/>
  <c r="CH72" s="1"/>
  <c r="CE72"/>
  <c r="CE18"/>
  <c r="CF18"/>
  <c r="CG18" s="1"/>
  <c r="CH18" s="1"/>
  <c r="CF94"/>
  <c r="CG94" s="1"/>
  <c r="CH94" s="1"/>
  <c r="CE94"/>
  <c r="CE61"/>
  <c r="CF61"/>
  <c r="CG61" s="1"/>
  <c r="CH61" s="1"/>
  <c r="FK71"/>
  <c r="FL71"/>
  <c r="FM71" s="1"/>
  <c r="FN71" s="1"/>
  <c r="FH37"/>
  <c r="FI37" s="1"/>
  <c r="FJ37" s="1"/>
  <c r="FG37"/>
  <c r="CF43"/>
  <c r="CG43" s="1"/>
  <c r="CH43" s="1"/>
  <c r="CE43"/>
  <c r="CE20"/>
  <c r="CF20"/>
  <c r="CG20" s="1"/>
  <c r="CH20" s="1"/>
  <c r="CF19"/>
  <c r="CG19" s="1"/>
  <c r="CH19" s="1"/>
  <c r="CE19"/>
  <c r="CR15"/>
  <c r="CS15" s="1"/>
  <c r="CT15" s="1"/>
  <c r="CQ15"/>
  <c r="G120" i="22"/>
  <c r="G131" s="1"/>
  <c r="FL18" i="21"/>
  <c r="FL19" s="1"/>
  <c r="FL20" s="1"/>
  <c r="FL21" s="1"/>
  <c r="FL22" s="1"/>
  <c r="FL23" s="1"/>
  <c r="FL24" s="1"/>
  <c r="FL25" s="1"/>
  <c r="FL26" s="1"/>
  <c r="FL27" s="1"/>
  <c r="FL28" s="1"/>
  <c r="FL29" s="1"/>
  <c r="FL30" s="1"/>
  <c r="FL31" s="1"/>
  <c r="FL32" s="1"/>
  <c r="FL33" s="1"/>
  <c r="FL34" s="1"/>
  <c r="FL35" s="1"/>
  <c r="FJ18"/>
  <c r="FQ44"/>
  <c r="FQ45"/>
  <c r="ER17"/>
  <c r="ER16"/>
  <c r="F227" i="10"/>
  <c r="H227" s="1"/>
  <c r="C43" i="21"/>
  <c r="C41"/>
  <c r="C47"/>
  <c r="C49"/>
  <c r="C45"/>
  <c r="C44"/>
  <c r="C46"/>
  <c r="C40"/>
  <c r="C50"/>
  <c r="C48"/>
  <c r="C42"/>
  <c r="M219"/>
  <c r="M220"/>
  <c r="M221"/>
  <c r="M222"/>
  <c r="M223"/>
  <c r="M225"/>
  <c r="M226"/>
  <c r="M252"/>
  <c r="M253"/>
  <c r="M254"/>
  <c r="M255"/>
  <c r="M256"/>
  <c r="M257"/>
  <c r="M258"/>
  <c r="M259"/>
  <c r="M260"/>
  <c r="M261"/>
  <c r="M262"/>
  <c r="M263"/>
  <c r="M264"/>
  <c r="M265"/>
  <c r="M266"/>
  <c r="M267"/>
  <c r="M268"/>
  <c r="M269"/>
  <c r="M270"/>
  <c r="M271"/>
  <c r="M272"/>
  <c r="M273"/>
  <c r="M287"/>
  <c r="M288"/>
  <c r="M289"/>
  <c r="M290"/>
  <c r="M291"/>
  <c r="M292"/>
  <c r="M293"/>
  <c r="M294"/>
  <c r="M295"/>
  <c r="M296"/>
  <c r="M297"/>
  <c r="M298"/>
  <c r="M299"/>
  <c r="M300"/>
  <c r="M301"/>
  <c r="M302"/>
  <c r="M303"/>
  <c r="M304"/>
  <c r="M314"/>
  <c r="M315"/>
  <c r="M316"/>
  <c r="M317"/>
  <c r="M318"/>
  <c r="M354"/>
  <c r="M355"/>
  <c r="M357"/>
  <c r="M356"/>
  <c r="M358"/>
  <c r="M359"/>
  <c r="M360"/>
  <c r="M361"/>
  <c r="M362"/>
  <c r="M363"/>
  <c r="M364"/>
  <c r="M365"/>
  <c r="M366"/>
  <c r="M367"/>
  <c r="M368"/>
  <c r="M369"/>
  <c r="M371"/>
  <c r="M370"/>
  <c r="M372"/>
  <c r="M373"/>
  <c r="M374"/>
  <c r="M375"/>
  <c r="M376"/>
  <c r="M377"/>
  <c r="M378"/>
  <c r="M379"/>
  <c r="M380"/>
  <c r="M381"/>
  <c r="M382"/>
  <c r="M383"/>
  <c r="M384"/>
  <c r="M385"/>
  <c r="M387"/>
  <c r="M386"/>
  <c r="M388"/>
  <c r="M389"/>
  <c r="M390"/>
  <c r="M391"/>
  <c r="M392"/>
  <c r="M393"/>
  <c r="M394"/>
  <c r="M395"/>
  <c r="M396"/>
  <c r="M397"/>
  <c r="M398"/>
  <c r="M399"/>
  <c r="M400"/>
  <c r="M401"/>
  <c r="M402"/>
  <c r="M403"/>
  <c r="M404"/>
  <c r="M406"/>
  <c r="M405"/>
  <c r="M407"/>
  <c r="M408"/>
  <c r="M410"/>
  <c r="M409"/>
  <c r="M411"/>
  <c r="M413"/>
  <c r="M412"/>
  <c r="M414"/>
  <c r="M415"/>
  <c r="M416"/>
  <c r="M417"/>
  <c r="M419"/>
  <c r="M418"/>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79"/>
  <c r="M480"/>
  <c r="M482"/>
  <c r="M481"/>
  <c r="M483"/>
  <c r="M484"/>
  <c r="M485"/>
  <c r="M486"/>
  <c r="M487"/>
  <c r="M488"/>
  <c r="M489"/>
  <c r="M490"/>
  <c r="M491"/>
  <c r="M492"/>
  <c r="M493"/>
  <c r="M494"/>
  <c r="M224"/>
  <c r="BV9"/>
  <c r="F89"/>
  <c r="G89" s="1"/>
  <c r="I89" s="1"/>
  <c r="Z40" i="10"/>
  <c r="AA40" s="1"/>
  <c r="AB40" s="1"/>
  <c r="Z66"/>
  <c r="AA66" s="1"/>
  <c r="AB66" s="1"/>
  <c r="Z26"/>
  <c r="AA26" s="1"/>
  <c r="AB26" s="1"/>
  <c r="Z119"/>
  <c r="AA119" s="1"/>
  <c r="AB119" s="1"/>
  <c r="CA149"/>
  <c r="BN3" s="1"/>
  <c r="CB149"/>
  <c r="CB150" s="1"/>
  <c r="E217"/>
  <c r="BV149"/>
  <c r="E227"/>
  <c r="F202"/>
  <c r="H202" s="1"/>
  <c r="E82" i="21"/>
  <c r="F81"/>
  <c r="G121" i="22"/>
  <c r="G125"/>
  <c r="AE80" i="10"/>
  <c r="DF25" i="21"/>
  <c r="L51" s="1"/>
  <c r="DF6"/>
  <c r="I74" i="22"/>
  <c r="I115" s="1"/>
  <c r="I118" s="1"/>
  <c r="I120" s="1"/>
  <c r="G126"/>
  <c r="G119"/>
  <c r="G114"/>
  <c r="G122"/>
  <c r="F75"/>
  <c r="F223" i="10"/>
  <c r="E219"/>
  <c r="E231"/>
  <c r="F224"/>
  <c r="H224" s="1"/>
  <c r="E224"/>
  <c r="W176"/>
  <c r="F228"/>
  <c r="H228" s="1"/>
  <c r="W178"/>
  <c r="F222"/>
  <c r="H222" s="1"/>
  <c r="F229"/>
  <c r="H229" s="1"/>
  <c r="E232"/>
  <c r="E228"/>
  <c r="W41"/>
  <c r="F232"/>
  <c r="H232" s="1"/>
  <c r="W120"/>
  <c r="F221"/>
  <c r="W6"/>
  <c r="F230"/>
  <c r="H230" s="1"/>
  <c r="W17"/>
  <c r="F231"/>
  <c r="H231" s="1"/>
  <c r="E230"/>
  <c r="E229"/>
  <c r="E222"/>
  <c r="W134"/>
  <c r="F218"/>
  <c r="H218" s="1"/>
  <c r="F217"/>
  <c r="F216"/>
  <c r="W33"/>
  <c r="F219"/>
  <c r="H219" s="1"/>
  <c r="E220"/>
  <c r="G220" s="1"/>
  <c r="E218"/>
  <c r="E209"/>
  <c r="EQ51" i="21"/>
  <c r="ER51" s="1"/>
  <c r="EQ67"/>
  <c r="ER67" s="1"/>
  <c r="EQ70"/>
  <c r="ER70" s="1"/>
  <c r="EQ73"/>
  <c r="ER73" s="1"/>
  <c r="EQ56"/>
  <c r="ER56" s="1"/>
  <c r="EQ69"/>
  <c r="ER69" s="1"/>
  <c r="EQ82"/>
  <c r="ER82" s="1"/>
  <c r="EQ87"/>
  <c r="ER87" s="1"/>
  <c r="EQ77"/>
  <c r="ER77" s="1"/>
  <c r="EQ79"/>
  <c r="ER79" s="1"/>
  <c r="EQ88"/>
  <c r="ER88" s="1"/>
  <c r="EQ26"/>
  <c r="ER26" s="1"/>
  <c r="EQ36"/>
  <c r="ER36" s="1"/>
  <c r="EQ29"/>
  <c r="ER29" s="1"/>
  <c r="EQ38"/>
  <c r="ER38" s="1"/>
  <c r="EQ31"/>
  <c r="ER31" s="1"/>
  <c r="EQ44"/>
  <c r="ER44" s="1"/>
  <c r="EQ48"/>
  <c r="ER48" s="1"/>
  <c r="EQ63"/>
  <c r="ER63" s="1"/>
  <c r="EQ75"/>
  <c r="ER75" s="1"/>
  <c r="EQ52"/>
  <c r="ER52" s="1"/>
  <c r="EQ59"/>
  <c r="ER59" s="1"/>
  <c r="EQ58"/>
  <c r="ER58" s="1"/>
  <c r="EQ64"/>
  <c r="ER64" s="1"/>
  <c r="EQ80"/>
  <c r="ER80" s="1"/>
  <c r="EQ85"/>
  <c r="ER85" s="1"/>
  <c r="EQ76"/>
  <c r="ER76" s="1"/>
  <c r="EQ78"/>
  <c r="ER78" s="1"/>
  <c r="EQ27"/>
  <c r="ER27" s="1"/>
  <c r="EQ34"/>
  <c r="ER34" s="1"/>
  <c r="EQ42"/>
  <c r="ER42" s="1"/>
  <c r="EQ60"/>
  <c r="ER60" s="1"/>
  <c r="EQ22"/>
  <c r="ER22" s="1"/>
  <c r="EQ21"/>
  <c r="ER21" s="1"/>
  <c r="EQ43"/>
  <c r="ER43" s="1"/>
  <c r="EQ50"/>
  <c r="ER50" s="1"/>
  <c r="EQ66"/>
  <c r="ER66" s="1"/>
  <c r="EQ84"/>
  <c r="ER84" s="1"/>
  <c r="EQ55"/>
  <c r="ER55" s="1"/>
  <c r="EQ53"/>
  <c r="ER53" s="1"/>
  <c r="EQ61"/>
  <c r="ER61" s="1"/>
  <c r="EQ65"/>
  <c r="ER65" s="1"/>
  <c r="EQ81"/>
  <c r="ER81" s="1"/>
  <c r="EQ86"/>
  <c r="ER86" s="1"/>
  <c r="EQ40"/>
  <c r="ER40" s="1"/>
  <c r="EQ32"/>
  <c r="ER32" s="1"/>
  <c r="EQ33"/>
  <c r="ER33" s="1"/>
  <c r="EQ30"/>
  <c r="ER30" s="1"/>
  <c r="EQ41"/>
  <c r="ER41" s="1"/>
  <c r="EQ23"/>
  <c r="ER23" s="1"/>
  <c r="EQ20"/>
  <c r="ER20" s="1"/>
  <c r="EQ39"/>
  <c r="ER39" s="1"/>
  <c r="EQ47"/>
  <c r="ER47" s="1"/>
  <c r="EQ54"/>
  <c r="ER54" s="1"/>
  <c r="EQ62"/>
  <c r="ER62" s="1"/>
  <c r="EQ68"/>
  <c r="ER68" s="1"/>
  <c r="EQ71"/>
  <c r="ER71" s="1"/>
  <c r="EQ74"/>
  <c r="ER74" s="1"/>
  <c r="EQ46"/>
  <c r="ER46" s="1"/>
  <c r="EQ57"/>
  <c r="ER57" s="1"/>
  <c r="EQ72"/>
  <c r="ER72" s="1"/>
  <c r="EQ83"/>
  <c r="ER83" s="1"/>
  <c r="EQ49"/>
  <c r="ER49" s="1"/>
  <c r="EQ28"/>
  <c r="ER28" s="1"/>
  <c r="EQ35"/>
  <c r="ER35" s="1"/>
  <c r="EQ37"/>
  <c r="ER37" s="1"/>
  <c r="EQ45"/>
  <c r="ER45" s="1"/>
  <c r="EQ24"/>
  <c r="ER24" s="1"/>
  <c r="EQ25"/>
  <c r="ER25" s="1"/>
  <c r="EQ19"/>
  <c r="ER19" s="1"/>
  <c r="F204" i="10"/>
  <c r="H204" s="1"/>
  <c r="E205"/>
  <c r="E204"/>
  <c r="E202"/>
  <c r="E207"/>
  <c r="E203"/>
  <c r="W12"/>
  <c r="F207"/>
  <c r="H207" s="1"/>
  <c r="E211"/>
  <c r="F208"/>
  <c r="H208" s="1"/>
  <c r="W50"/>
  <c r="F205"/>
  <c r="H205" s="1"/>
  <c r="W111"/>
  <c r="F210"/>
  <c r="F211"/>
  <c r="H211" s="1"/>
  <c r="W48"/>
  <c r="F203"/>
  <c r="H203" s="1"/>
  <c r="E208"/>
  <c r="F209"/>
  <c r="H209" s="1"/>
  <c r="W9"/>
  <c r="W25"/>
  <c r="W127"/>
  <c r="W129"/>
  <c r="I160"/>
  <c r="I163"/>
  <c r="I55" i="22"/>
  <c r="I53"/>
  <c r="I56" s="1"/>
  <c r="K169" i="10"/>
  <c r="K171"/>
  <c r="I170"/>
  <c r="I172"/>
  <c r="K170"/>
  <c r="K172"/>
  <c r="I169"/>
  <c r="I171"/>
  <c r="BO2"/>
  <c r="BB8"/>
  <c r="L138"/>
  <c r="M138" s="1"/>
  <c r="W93"/>
  <c r="L80"/>
  <c r="M80" s="1"/>
  <c r="L81"/>
  <c r="M81" s="1"/>
  <c r="L46"/>
  <c r="M46" s="1"/>
  <c r="L12"/>
  <c r="M12" s="1"/>
  <c r="L123"/>
  <c r="M123" s="1"/>
  <c r="L94"/>
  <c r="M94" s="1"/>
  <c r="L67"/>
  <c r="M67" s="1"/>
  <c r="L6"/>
  <c r="M6" s="1"/>
  <c r="L3"/>
  <c r="M3" s="1"/>
  <c r="L26"/>
  <c r="M26" s="1"/>
  <c r="H188"/>
  <c r="H190" s="1"/>
  <c r="L87"/>
  <c r="M87" s="1"/>
  <c r="L53"/>
  <c r="M53" s="1"/>
  <c r="L8"/>
  <c r="M8" s="1"/>
  <c r="L11"/>
  <c r="M11" s="1"/>
  <c r="L48"/>
  <c r="M48" s="1"/>
  <c r="L24"/>
  <c r="M24" s="1"/>
  <c r="L9"/>
  <c r="M9" s="1"/>
  <c r="C10" i="21"/>
  <c r="W144" i="10"/>
  <c r="L187"/>
  <c r="T57"/>
  <c r="Y57" s="1"/>
  <c r="W57"/>
  <c r="W8"/>
  <c r="U171"/>
  <c r="R3"/>
  <c r="W3"/>
  <c r="T38"/>
  <c r="Y38" s="1"/>
  <c r="W38"/>
  <c r="T46"/>
  <c r="Y46" s="1"/>
  <c r="W46"/>
  <c r="R61"/>
  <c r="W61"/>
  <c r="R20"/>
  <c r="W20"/>
  <c r="R24"/>
  <c r="W24"/>
  <c r="W47"/>
  <c r="U172"/>
  <c r="H213" s="1"/>
  <c r="W175"/>
  <c r="U170"/>
  <c r="DF15" i="21"/>
  <c r="L41" s="1"/>
  <c r="N41" s="1"/>
  <c r="BB452" i="10"/>
  <c r="BB454"/>
  <c r="AX452"/>
  <c r="BD452"/>
  <c r="ET12" i="21"/>
  <c r="ET13"/>
  <c r="EB26"/>
  <c r="EB27"/>
  <c r="E124" i="10"/>
  <c r="X124" s="1"/>
  <c r="J155"/>
  <c r="I161"/>
  <c r="I162"/>
  <c r="I159"/>
  <c r="M114"/>
  <c r="M142"/>
  <c r="K155" s="1"/>
  <c r="F155"/>
  <c r="G155"/>
  <c r="AE84"/>
  <c r="L84"/>
  <c r="AE72"/>
  <c r="L72"/>
  <c r="AE138"/>
  <c r="AE123"/>
  <c r="AE24"/>
  <c r="AE6"/>
  <c r="AE3"/>
  <c r="AE94"/>
  <c r="AE46"/>
  <c r="AE8"/>
  <c r="AE67"/>
  <c r="AE9"/>
  <c r="AE87"/>
  <c r="AE11"/>
  <c r="AE26"/>
  <c r="AE81"/>
  <c r="AE53"/>
  <c r="AE12"/>
  <c r="BB102"/>
  <c r="BA102"/>
  <c r="G148"/>
  <c r="G150" s="1"/>
  <c r="L3" i="27" s="1"/>
  <c r="L142" s="1"/>
  <c r="L14"/>
  <c r="M16" s="1"/>
  <c r="EB34" i="21"/>
  <c r="EB37" s="1"/>
  <c r="M12" i="27"/>
  <c r="M6"/>
  <c r="M9"/>
  <c r="FQ42" i="21"/>
  <c r="FQ43"/>
  <c r="BF2" i="10"/>
  <c r="BF3" s="1"/>
  <c r="BF4" s="1"/>
  <c r="BF5" s="1"/>
  <c r="BF6" s="1"/>
  <c r="BF7" s="1"/>
  <c r="BF8" s="1"/>
  <c r="BF9" s="1"/>
  <c r="BF10" s="1"/>
  <c r="BF11" s="1"/>
  <c r="BF12" s="1"/>
  <c r="BF13" s="1"/>
  <c r="BF14" s="1"/>
  <c r="BF15" s="1"/>
  <c r="BF16" s="1"/>
  <c r="BF17" s="1"/>
  <c r="BF18" s="1"/>
  <c r="BF19" s="1"/>
  <c r="BF20" s="1"/>
  <c r="BF21" s="1"/>
  <c r="BF22" s="1"/>
  <c r="BF23" s="1"/>
  <c r="BF24" s="1"/>
  <c r="BF25" s="1"/>
  <c r="BF26" s="1"/>
  <c r="BF27" s="1"/>
  <c r="BF28" s="1"/>
  <c r="BF29" s="1"/>
  <c r="BF30" s="1"/>
  <c r="BF31" s="1"/>
  <c r="BF32" s="1"/>
  <c r="BF33" s="1"/>
  <c r="BF34" s="1"/>
  <c r="BF35" s="1"/>
  <c r="BF36" s="1"/>
  <c r="BF37" s="1"/>
  <c r="BF38" s="1"/>
  <c r="BF39" s="1"/>
  <c r="BF40" s="1"/>
  <c r="BF41" s="1"/>
  <c r="BF42" s="1"/>
  <c r="Z196"/>
  <c r="AA196" s="1"/>
  <c r="Y142"/>
  <c r="Z142" s="1"/>
  <c r="DF22" i="21"/>
  <c r="FZ13"/>
  <c r="GA13" s="1"/>
  <c r="FW17"/>
  <c r="FW15"/>
  <c r="FW16"/>
  <c r="DF24"/>
  <c r="DF19"/>
  <c r="DF21"/>
  <c r="L47" s="1"/>
  <c r="DF16"/>
  <c r="DF26"/>
  <c r="DF20"/>
  <c r="L46" s="1"/>
  <c r="DF23"/>
  <c r="DF17"/>
  <c r="P74" i="10"/>
  <c r="L44" i="21"/>
  <c r="P206" i="10"/>
  <c r="P91"/>
  <c r="E103"/>
  <c r="X103" s="1"/>
  <c r="P124"/>
  <c r="DF30" i="21"/>
  <c r="E47" s="1"/>
  <c r="G130"/>
  <c r="I117" s="1"/>
  <c r="AZ21" i="10"/>
  <c r="BA4"/>
  <c r="BC4" s="1"/>
  <c r="AZ12"/>
  <c r="AZ18" s="1"/>
  <c r="P98"/>
  <c r="P112"/>
  <c r="P85"/>
  <c r="P29"/>
  <c r="P7"/>
  <c r="EN39" i="21"/>
  <c r="EN44"/>
  <c r="EN47"/>
  <c r="EN48"/>
  <c r="EN50"/>
  <c r="EN51"/>
  <c r="EN54"/>
  <c r="EN62"/>
  <c r="EN63"/>
  <c r="EN66"/>
  <c r="EN67"/>
  <c r="EN68"/>
  <c r="EN70"/>
  <c r="EN71"/>
  <c r="EN73"/>
  <c r="EN74"/>
  <c r="EN75"/>
  <c r="EN84"/>
  <c r="EN53"/>
  <c r="EN58"/>
  <c r="EN76"/>
  <c r="EN77"/>
  <c r="EN78"/>
  <c r="EN79"/>
  <c r="EN40"/>
  <c r="EN88"/>
  <c r="EN43"/>
  <c r="EN46"/>
  <c r="EN52"/>
  <c r="EN55"/>
  <c r="EN56"/>
  <c r="EN57"/>
  <c r="EN59"/>
  <c r="EN61"/>
  <c r="EN64"/>
  <c r="EN65"/>
  <c r="EN69"/>
  <c r="EN72"/>
  <c r="EN80"/>
  <c r="EN81"/>
  <c r="EN82"/>
  <c r="EN83"/>
  <c r="EN85"/>
  <c r="EN86"/>
  <c r="EN87"/>
  <c r="EN49"/>
  <c r="P44" i="10"/>
  <c r="P28"/>
  <c r="P42"/>
  <c r="P39"/>
  <c r="P88"/>
  <c r="P31"/>
  <c r="Z195"/>
  <c r="AA195" s="1"/>
  <c r="Z197"/>
  <c r="AA197" s="1"/>
  <c r="P83"/>
  <c r="P136"/>
  <c r="P122"/>
  <c r="FW20" i="21"/>
  <c r="FW21" s="1"/>
  <c r="FW18"/>
  <c r="FW19"/>
  <c r="FQ41"/>
  <c r="FN41"/>
  <c r="FN42"/>
  <c r="P137" i="10"/>
  <c r="S180"/>
  <c r="T179"/>
  <c r="T176"/>
  <c r="T175"/>
  <c r="T178"/>
  <c r="P86"/>
  <c r="P107"/>
  <c r="P96"/>
  <c r="P2"/>
  <c r="P14"/>
  <c r="P135"/>
  <c r="BC83"/>
  <c r="E118"/>
  <c r="P118"/>
  <c r="E45"/>
  <c r="P45"/>
  <c r="T20"/>
  <c r="Y20" s="1"/>
  <c r="P139"/>
  <c r="E139"/>
  <c r="ET6" i="21"/>
  <c r="E32" i="10"/>
  <c r="X32" s="1"/>
  <c r="P32"/>
  <c r="E73"/>
  <c r="P92"/>
  <c r="P73"/>
  <c r="E119"/>
  <c r="X119" s="1"/>
  <c r="E11"/>
  <c r="X11" s="1"/>
  <c r="E6"/>
  <c r="E36"/>
  <c r="E43"/>
  <c r="E63"/>
  <c r="E123"/>
  <c r="E8"/>
  <c r="E57"/>
  <c r="E66"/>
  <c r="E90"/>
  <c r="E48"/>
  <c r="E46"/>
  <c r="E72"/>
  <c r="E41"/>
  <c r="E127"/>
  <c r="E38"/>
  <c r="E24"/>
  <c r="E47"/>
  <c r="E134"/>
  <c r="E87"/>
  <c r="E108"/>
  <c r="E133"/>
  <c r="E55"/>
  <c r="E75"/>
  <c r="X75" s="1"/>
  <c r="E16"/>
  <c r="E21"/>
  <c r="E115"/>
  <c r="E17"/>
  <c r="E40"/>
  <c r="E20"/>
  <c r="E114"/>
  <c r="E104"/>
  <c r="E18"/>
  <c r="E58"/>
  <c r="E84"/>
  <c r="E80"/>
  <c r="E138"/>
  <c r="E50"/>
  <c r="E140"/>
  <c r="E120"/>
  <c r="E37"/>
  <c r="E27"/>
  <c r="X27" s="1"/>
  <c r="E131"/>
  <c r="E95"/>
  <c r="X95" s="1"/>
  <c r="E10"/>
  <c r="E100"/>
  <c r="X100" s="1"/>
  <c r="E68"/>
  <c r="E53"/>
  <c r="E89"/>
  <c r="X89" s="1"/>
  <c r="E25"/>
  <c r="E82"/>
  <c r="E79"/>
  <c r="E94"/>
  <c r="E51"/>
  <c r="X51" s="1"/>
  <c r="E129"/>
  <c r="E13"/>
  <c r="X13" s="1"/>
  <c r="E52"/>
  <c r="E117"/>
  <c r="E71"/>
  <c r="E62"/>
  <c r="X62" s="1"/>
  <c r="E110"/>
  <c r="X110" s="1"/>
  <c r="E113"/>
  <c r="E78"/>
  <c r="E9"/>
  <c r="E109"/>
  <c r="E12"/>
  <c r="E33"/>
  <c r="E59"/>
  <c r="E19"/>
  <c r="E54"/>
  <c r="E111"/>
  <c r="E67"/>
  <c r="E22"/>
  <c r="E61"/>
  <c r="E126"/>
  <c r="E93"/>
  <c r="E26"/>
  <c r="E81"/>
  <c r="E15"/>
  <c r="X15" s="1"/>
  <c r="E101"/>
  <c r="X101" s="1"/>
  <c r="E60"/>
  <c r="X60" s="1"/>
  <c r="E132"/>
  <c r="X132" s="1"/>
  <c r="E92"/>
  <c r="P75"/>
  <c r="P78"/>
  <c r="F34" i="21"/>
  <c r="P113" i="10"/>
  <c r="P68"/>
  <c r="P143"/>
  <c r="X143"/>
  <c r="E142"/>
  <c r="R36"/>
  <c r="R55"/>
  <c r="R126"/>
  <c r="R12"/>
  <c r="T22"/>
  <c r="Y22" s="1"/>
  <c r="R40"/>
  <c r="T50"/>
  <c r="Y50" s="1"/>
  <c r="R57"/>
  <c r="T67"/>
  <c r="Y67" s="1"/>
  <c r="T79"/>
  <c r="Y79" s="1"/>
  <c r="Y84"/>
  <c r="R104"/>
  <c r="R111"/>
  <c r="R129"/>
  <c r="R17"/>
  <c r="R123"/>
  <c r="R9"/>
  <c r="R63"/>
  <c r="R134"/>
  <c r="T25"/>
  <c r="Y25" s="1"/>
  <c r="T41"/>
  <c r="Y41" s="1"/>
  <c r="R53"/>
  <c r="T58"/>
  <c r="Y58" s="1"/>
  <c r="T80"/>
  <c r="Y80" s="1"/>
  <c r="Z80" s="1"/>
  <c r="R87"/>
  <c r="R108"/>
  <c r="T114"/>
  <c r="Y114" s="1"/>
  <c r="T133"/>
  <c r="Y133" s="1"/>
  <c r="T18"/>
  <c r="Y18" s="1"/>
  <c r="Z18" s="1"/>
  <c r="AA18" s="1"/>
  <c r="AB18" s="1"/>
  <c r="R8"/>
  <c r="T24"/>
  <c r="Y24" s="1"/>
  <c r="T138"/>
  <c r="Y138" s="1"/>
  <c r="R145"/>
  <c r="R47"/>
  <c r="T3"/>
  <c r="Y3" s="1"/>
  <c r="Z3" s="1"/>
  <c r="R33"/>
  <c r="R43"/>
  <c r="R59"/>
  <c r="R72"/>
  <c r="R81"/>
  <c r="R90"/>
  <c r="T120"/>
  <c r="Y120" s="1"/>
  <c r="T140"/>
  <c r="Y140" s="1"/>
  <c r="Z140" s="1"/>
  <c r="AA140" s="1"/>
  <c r="AB140" s="1"/>
  <c r="R19"/>
  <c r="R48"/>
  <c r="R115"/>
  <c r="R38"/>
  <c r="R46"/>
  <c r="T54"/>
  <c r="Y54" s="1"/>
  <c r="T61"/>
  <c r="Y61" s="1"/>
  <c r="T82"/>
  <c r="Y82" s="1"/>
  <c r="T93"/>
  <c r="Y93" s="1"/>
  <c r="Z93" s="1"/>
  <c r="R109"/>
  <c r="R127"/>
  <c r="T6"/>
  <c r="T94"/>
  <c r="Y94" s="1"/>
  <c r="R144"/>
  <c r="T48"/>
  <c r="Y48" s="1"/>
  <c r="T19"/>
  <c r="Y19" s="1"/>
  <c r="T43"/>
  <c r="Y43" s="1"/>
  <c r="T59"/>
  <c r="Y59" s="1"/>
  <c r="R120"/>
  <c r="P100"/>
  <c r="T144"/>
  <c r="R54"/>
  <c r="T12"/>
  <c r="Y12" s="1"/>
  <c r="Z12" s="1"/>
  <c r="AA12" s="1"/>
  <c r="AB12" s="1"/>
  <c r="T17"/>
  <c r="Y17" s="1"/>
  <c r="Z17" s="1"/>
  <c r="AA17" s="1"/>
  <c r="AB17" s="1"/>
  <c r="M3" i="14"/>
  <c r="T3" s="1"/>
  <c r="N3"/>
  <c r="P132" i="10"/>
  <c r="R18"/>
  <c r="R58"/>
  <c r="P10"/>
  <c r="P60"/>
  <c r="P101"/>
  <c r="P110"/>
  <c r="T123"/>
  <c r="Y123" s="1"/>
  <c r="P95"/>
  <c r="P62"/>
  <c r="T159"/>
  <c r="R41"/>
  <c r="R94"/>
  <c r="T72"/>
  <c r="Y72" s="1"/>
  <c r="P131"/>
  <c r="P71"/>
  <c r="P27"/>
  <c r="E3"/>
  <c r="R140"/>
  <c r="P50"/>
  <c r="P52"/>
  <c r="P55"/>
  <c r="P37"/>
  <c r="R114"/>
  <c r="T108"/>
  <c r="Y108" s="1"/>
  <c r="T129"/>
  <c r="Y129" s="1"/>
  <c r="T47"/>
  <c r="Y47" s="1"/>
  <c r="R82"/>
  <c r="R80"/>
  <c r="R25"/>
  <c r="R93"/>
  <c r="R50"/>
  <c r="R6"/>
  <c r="T109"/>
  <c r="Y109" s="1"/>
  <c r="P3" i="14"/>
  <c r="W3" s="1"/>
  <c r="T9" i="10"/>
  <c r="Y9" s="1"/>
  <c r="Z9" s="1"/>
  <c r="AA9" s="1"/>
  <c r="AB9" s="1"/>
  <c r="T33"/>
  <c r="Y33" s="1"/>
  <c r="T63"/>
  <c r="Y63" s="1"/>
  <c r="T81"/>
  <c r="Y81" s="1"/>
  <c r="T87"/>
  <c r="Y87" s="1"/>
  <c r="T134"/>
  <c r="Y134" s="1"/>
  <c r="R84"/>
  <c r="T126"/>
  <c r="Y126" s="1"/>
  <c r="O3" i="14"/>
  <c r="V3" s="1"/>
  <c r="T115" i="10"/>
  <c r="Y115" s="1"/>
  <c r="Z115" s="1"/>
  <c r="T36"/>
  <c r="Y36" s="1"/>
  <c r="R79"/>
  <c r="R138"/>
  <c r="T104"/>
  <c r="Y104" s="1"/>
  <c r="R133"/>
  <c r="T145"/>
  <c r="Y145" s="1"/>
  <c r="Z145" s="1"/>
  <c r="AA145" s="1"/>
  <c r="AB145" s="1"/>
  <c r="R67"/>
  <c r="T8"/>
  <c r="Y8" s="1"/>
  <c r="Z8" s="1"/>
  <c r="AA8" s="1"/>
  <c r="AB8" s="1"/>
  <c r="R22"/>
  <c r="T53"/>
  <c r="Y53" s="1"/>
  <c r="T90"/>
  <c r="Y90" s="1"/>
  <c r="T111"/>
  <c r="Y111" s="1"/>
  <c r="T127"/>
  <c r="Y127" s="1"/>
  <c r="P117"/>
  <c r="P20"/>
  <c r="P84"/>
  <c r="P87"/>
  <c r="P13"/>
  <c r="P93"/>
  <c r="P81"/>
  <c r="P41"/>
  <c r="P15"/>
  <c r="T55"/>
  <c r="Y55" s="1"/>
  <c r="F150"/>
  <c r="P26"/>
  <c r="P47"/>
  <c r="CN6" i="21"/>
  <c r="I16" s="1"/>
  <c r="P51" i="10"/>
  <c r="P142"/>
  <c r="P25"/>
  <c r="P129"/>
  <c r="P127"/>
  <c r="P146"/>
  <c r="P145"/>
  <c r="P134"/>
  <c r="P120"/>
  <c r="P133"/>
  <c r="P80"/>
  <c r="P3"/>
  <c r="P108"/>
  <c r="P140"/>
  <c r="P82"/>
  <c r="P89"/>
  <c r="P104"/>
  <c r="P94"/>
  <c r="P9"/>
  <c r="P36"/>
  <c r="FI37" i="21"/>
  <c r="P90" i="10"/>
  <c r="P16"/>
  <c r="P119"/>
  <c r="P43"/>
  <c r="P109"/>
  <c r="P11"/>
  <c r="P33"/>
  <c r="P59"/>
  <c r="P114"/>
  <c r="P123"/>
  <c r="P58"/>
  <c r="P40"/>
  <c r="P8"/>
  <c r="P17"/>
  <c r="P63"/>
  <c r="P57"/>
  <c r="P54"/>
  <c r="P126"/>
  <c r="P79"/>
  <c r="P46"/>
  <c r="G90" i="21"/>
  <c r="I90" s="1"/>
  <c r="E91"/>
  <c r="E92" s="1"/>
  <c r="F15"/>
  <c r="DF9"/>
  <c r="F17" s="1"/>
  <c r="P111" i="10"/>
  <c r="P115"/>
  <c r="P24"/>
  <c r="P22"/>
  <c r="P19"/>
  <c r="P21"/>
  <c r="P67"/>
  <c r="P138"/>
  <c r="P53"/>
  <c r="P38"/>
  <c r="P144"/>
  <c r="P18"/>
  <c r="P66"/>
  <c r="P48"/>
  <c r="P72"/>
  <c r="P61"/>
  <c r="BA2"/>
  <c r="BC2" s="1"/>
  <c r="P6"/>
  <c r="F37" i="21"/>
  <c r="E37"/>
  <c r="P12" i="10"/>
  <c r="D94" i="21"/>
  <c r="CN9"/>
  <c r="F16" s="1"/>
  <c r="BA3" i="10"/>
  <c r="BC3" s="1"/>
  <c r="BA5"/>
  <c r="BC5" s="1"/>
  <c r="BA6"/>
  <c r="BC6" s="1"/>
  <c r="H340" i="21"/>
  <c r="H238"/>
  <c r="H320"/>
  <c r="H324"/>
  <c r="H308"/>
  <c r="H251"/>
  <c r="H235"/>
  <c r="H329"/>
  <c r="H242"/>
  <c r="H347"/>
  <c r="H233"/>
  <c r="H274"/>
  <c r="H335"/>
  <c r="H247"/>
  <c r="H276"/>
  <c r="H323"/>
  <c r="H321"/>
  <c r="H286"/>
  <c r="H352"/>
  <c r="H241"/>
  <c r="H313"/>
  <c r="H336"/>
  <c r="H240"/>
  <c r="H467"/>
  <c r="H229"/>
  <c r="H339"/>
  <c r="H463"/>
  <c r="H469"/>
  <c r="H460"/>
  <c r="H282"/>
  <c r="H470"/>
  <c r="H495"/>
  <c r="H348"/>
  <c r="H322"/>
  <c r="H285"/>
  <c r="H496"/>
  <c r="H332"/>
  <c r="H230"/>
  <c r="H234"/>
  <c r="H319"/>
  <c r="H312"/>
  <c r="H306"/>
  <c r="H250"/>
  <c r="H244"/>
  <c r="H334"/>
  <c r="H475"/>
  <c r="H477"/>
  <c r="H245"/>
  <c r="H337"/>
  <c r="H333"/>
  <c r="H346"/>
  <c r="H331"/>
  <c r="H476"/>
  <c r="H228"/>
  <c r="H279"/>
  <c r="H345"/>
  <c r="H326"/>
  <c r="H462"/>
  <c r="H471"/>
  <c r="H239"/>
  <c r="H344"/>
  <c r="H327"/>
  <c r="H280"/>
  <c r="H232"/>
  <c r="H227"/>
  <c r="H246"/>
  <c r="H311"/>
  <c r="H281"/>
  <c r="H350"/>
  <c r="H248"/>
  <c r="H283"/>
  <c r="H237"/>
  <c r="H473"/>
  <c r="H330"/>
  <c r="H472"/>
  <c r="H325"/>
  <c r="H338"/>
  <c r="H468"/>
  <c r="H349"/>
  <c r="H249"/>
  <c r="H474"/>
  <c r="H310"/>
  <c r="H342"/>
  <c r="H307"/>
  <c r="H343"/>
  <c r="H465"/>
  <c r="H328"/>
  <c r="H353"/>
  <c r="H231"/>
  <c r="H284"/>
  <c r="H464"/>
  <c r="H478"/>
  <c r="H275"/>
  <c r="H466"/>
  <c r="H278"/>
  <c r="H243"/>
  <c r="H351"/>
  <c r="H309"/>
  <c r="H277"/>
  <c r="H461"/>
  <c r="H341"/>
  <c r="H236"/>
  <c r="H305"/>
  <c r="AV77" i="10" l="1"/>
  <c r="L50" i="27"/>
  <c r="L102"/>
  <c r="CJ109" i="10"/>
  <c r="CK109" s="1"/>
  <c r="CL109" s="1"/>
  <c r="CI109"/>
  <c r="CI126"/>
  <c r="CJ126"/>
  <c r="CK126" s="1"/>
  <c r="CL126" s="1"/>
  <c r="CJ127"/>
  <c r="CK127" s="1"/>
  <c r="CL127" s="1"/>
  <c r="CI127"/>
  <c r="GN123"/>
  <c r="GO123" s="1"/>
  <c r="GP123" s="1"/>
  <c r="GM123"/>
  <c r="HG140"/>
  <c r="HH140"/>
  <c r="HI140" s="1"/>
  <c r="HJ140" s="1"/>
  <c r="G496" i="21"/>
  <c r="I496"/>
  <c r="B498"/>
  <c r="G497" s="1"/>
  <c r="D496"/>
  <c r="J496"/>
  <c r="E496"/>
  <c r="F496"/>
  <c r="K496"/>
  <c r="C496"/>
  <c r="F116" i="22"/>
  <c r="CJ19" i="10"/>
  <c r="CK19" s="1"/>
  <c r="CL19" s="1"/>
  <c r="CI19"/>
  <c r="CI61"/>
  <c r="CJ61"/>
  <c r="CK61" s="1"/>
  <c r="CL61" s="1"/>
  <c r="CJ59"/>
  <c r="CK59" s="1"/>
  <c r="CL59" s="1"/>
  <c r="CI59"/>
  <c r="CI43"/>
  <c r="CJ43"/>
  <c r="CK43" s="1"/>
  <c r="CL43" s="1"/>
  <c r="CJ72"/>
  <c r="CK72" s="1"/>
  <c r="CL72" s="1"/>
  <c r="CI72"/>
  <c r="FO71"/>
  <c r="FP71"/>
  <c r="FQ71" s="1"/>
  <c r="FR71" s="1"/>
  <c r="CI18"/>
  <c r="CJ18"/>
  <c r="CK18" s="1"/>
  <c r="CL18" s="1"/>
  <c r="CJ17"/>
  <c r="CK17" s="1"/>
  <c r="CL17" s="1"/>
  <c r="CI17"/>
  <c r="CI63"/>
  <c r="CJ63"/>
  <c r="CK63" s="1"/>
  <c r="CL63" s="1"/>
  <c r="CU15"/>
  <c r="CV15"/>
  <c r="CW15" s="1"/>
  <c r="CX15" s="1"/>
  <c r="CJ20"/>
  <c r="CK20" s="1"/>
  <c r="CL20" s="1"/>
  <c r="CI20"/>
  <c r="FL37"/>
  <c r="FM37" s="1"/>
  <c r="FN37" s="1"/>
  <c r="FK37"/>
  <c r="CJ94"/>
  <c r="CK94" s="1"/>
  <c r="CL94" s="1"/>
  <c r="CI94"/>
  <c r="F114" i="22"/>
  <c r="R206" i="10"/>
  <c r="R207" s="1"/>
  <c r="I123" i="22"/>
  <c r="L23" i="21"/>
  <c r="E11"/>
  <c r="G227" i="10"/>
  <c r="M477" i="21"/>
  <c r="M473"/>
  <c r="M469"/>
  <c r="M465"/>
  <c r="M461"/>
  <c r="M352"/>
  <c r="M348"/>
  <c r="M343"/>
  <c r="M339"/>
  <c r="M335"/>
  <c r="M331"/>
  <c r="M327"/>
  <c r="M323"/>
  <c r="M319"/>
  <c r="M310"/>
  <c r="M306"/>
  <c r="M284"/>
  <c r="M280"/>
  <c r="M275"/>
  <c r="M250"/>
  <c r="M246"/>
  <c r="M242"/>
  <c r="M238"/>
  <c r="M235"/>
  <c r="M230"/>
  <c r="M475"/>
  <c r="M472"/>
  <c r="M468"/>
  <c r="M464"/>
  <c r="M460"/>
  <c r="M350"/>
  <c r="M346"/>
  <c r="M342"/>
  <c r="M338"/>
  <c r="M334"/>
  <c r="M330"/>
  <c r="M326"/>
  <c r="M322"/>
  <c r="M312"/>
  <c r="M309"/>
  <c r="M305"/>
  <c r="M283"/>
  <c r="M279"/>
  <c r="M276"/>
  <c r="M249"/>
  <c r="M245"/>
  <c r="M241"/>
  <c r="M237"/>
  <c r="M233"/>
  <c r="M229"/>
  <c r="M495"/>
  <c r="M476"/>
  <c r="M471"/>
  <c r="M467"/>
  <c r="M463"/>
  <c r="M353"/>
  <c r="M349"/>
  <c r="M345"/>
  <c r="M340"/>
  <c r="M337"/>
  <c r="M333"/>
  <c r="M329"/>
  <c r="M325"/>
  <c r="M321"/>
  <c r="M313"/>
  <c r="M308"/>
  <c r="M286"/>
  <c r="M282"/>
  <c r="M278"/>
  <c r="M274"/>
  <c r="M247"/>
  <c r="M244"/>
  <c r="M240"/>
  <c r="M236"/>
  <c r="M232"/>
  <c r="M228"/>
  <c r="M478"/>
  <c r="M474"/>
  <c r="M470"/>
  <c r="M466"/>
  <c r="M462"/>
  <c r="M351"/>
  <c r="M347"/>
  <c r="M344"/>
  <c r="M341"/>
  <c r="M336"/>
  <c r="M332"/>
  <c r="M328"/>
  <c r="M324"/>
  <c r="M320"/>
  <c r="M311"/>
  <c r="M307"/>
  <c r="M285"/>
  <c r="M281"/>
  <c r="M277"/>
  <c r="M251"/>
  <c r="M248"/>
  <c r="M243"/>
  <c r="M239"/>
  <c r="M234"/>
  <c r="M231"/>
  <c r="M227"/>
  <c r="G47"/>
  <c r="F47" s="1"/>
  <c r="D657"/>
  <c r="D671" s="1"/>
  <c r="AE172" i="10"/>
  <c r="G11" i="21"/>
  <c r="CN30"/>
  <c r="E46" s="1"/>
  <c r="D656" s="1"/>
  <c r="J32"/>
  <c r="L32" s="1"/>
  <c r="J31"/>
  <c r="E45"/>
  <c r="D655" s="1"/>
  <c r="J16"/>
  <c r="E60" s="1"/>
  <c r="Z55" i="10"/>
  <c r="AA55" s="1"/>
  <c r="AB55" s="1"/>
  <c r="Z127"/>
  <c r="AA127" s="1"/>
  <c r="AB127" s="1"/>
  <c r="Z111"/>
  <c r="AA111" s="1"/>
  <c r="AB111" s="1"/>
  <c r="Z90"/>
  <c r="AA90" s="1"/>
  <c r="AB90" s="1"/>
  <c r="Z53"/>
  <c r="AA53" s="1"/>
  <c r="AB53" s="1"/>
  <c r="Z104"/>
  <c r="AA104" s="1"/>
  <c r="AB104" s="1"/>
  <c r="Z36"/>
  <c r="AA36" s="1"/>
  <c r="AB36" s="1"/>
  <c r="Z126"/>
  <c r="AA126" s="1"/>
  <c r="AB126" s="1"/>
  <c r="Z134"/>
  <c r="AA134" s="1"/>
  <c r="AB134" s="1"/>
  <c r="Z87"/>
  <c r="AA87" s="1"/>
  <c r="AB87" s="1"/>
  <c r="Z81"/>
  <c r="AA81" s="1"/>
  <c r="AB81" s="1"/>
  <c r="Z63"/>
  <c r="AA63" s="1"/>
  <c r="AB63" s="1"/>
  <c r="Z33"/>
  <c r="AA33" s="1"/>
  <c r="AB33" s="1"/>
  <c r="Z109"/>
  <c r="AA109" s="1"/>
  <c r="AB109" s="1"/>
  <c r="Z47"/>
  <c r="AA47" s="1"/>
  <c r="AB47" s="1"/>
  <c r="Z129"/>
  <c r="AA129" s="1"/>
  <c r="AB129" s="1"/>
  <c r="Z108"/>
  <c r="AA108" s="1"/>
  <c r="AB108" s="1"/>
  <c r="Z72"/>
  <c r="AA72" s="1"/>
  <c r="AB72" s="1"/>
  <c r="Z123"/>
  <c r="AA123" s="1"/>
  <c r="AB123" s="1"/>
  <c r="Z59"/>
  <c r="AA59" s="1"/>
  <c r="AB59" s="1"/>
  <c r="Z43"/>
  <c r="AA43" s="1"/>
  <c r="AB43" s="1"/>
  <c r="Z19"/>
  <c r="AA19" s="1"/>
  <c r="AB19" s="1"/>
  <c r="Z48"/>
  <c r="AA48" s="1"/>
  <c r="AB48" s="1"/>
  <c r="Z94"/>
  <c r="AA94" s="1"/>
  <c r="AB94" s="1"/>
  <c r="Z82"/>
  <c r="AA82" s="1"/>
  <c r="AB82" s="1"/>
  <c r="Z61"/>
  <c r="AA61" s="1"/>
  <c r="AB61" s="1"/>
  <c r="Z54"/>
  <c r="AA54" s="1"/>
  <c r="AB54" s="1"/>
  <c r="Z120"/>
  <c r="AA120" s="1"/>
  <c r="AB120" s="1"/>
  <c r="Z138"/>
  <c r="AA138" s="1"/>
  <c r="AB138" s="1"/>
  <c r="Z24"/>
  <c r="AA24" s="1"/>
  <c r="AB24" s="1"/>
  <c r="Z133"/>
  <c r="AA133" s="1"/>
  <c r="AB133" s="1"/>
  <c r="Z114"/>
  <c r="AA114" s="1"/>
  <c r="AB114" s="1"/>
  <c r="Z58"/>
  <c r="AA58" s="1"/>
  <c r="AB58" s="1"/>
  <c r="Z41"/>
  <c r="AA41" s="1"/>
  <c r="AB41" s="1"/>
  <c r="Z25"/>
  <c r="AA25" s="1"/>
  <c r="AB25" s="1"/>
  <c r="Z84"/>
  <c r="AA84" s="1"/>
  <c r="AB84" s="1"/>
  <c r="Z79"/>
  <c r="AA79" s="1"/>
  <c r="AB79" s="1"/>
  <c r="Z67"/>
  <c r="AA67" s="1"/>
  <c r="AB67" s="1"/>
  <c r="Z50"/>
  <c r="AA50" s="1"/>
  <c r="AB50" s="1"/>
  <c r="Z22"/>
  <c r="AA22" s="1"/>
  <c r="AB22" s="1"/>
  <c r="Z20"/>
  <c r="AA20" s="1"/>
  <c r="AB20" s="1"/>
  <c r="Z46"/>
  <c r="AA46" s="1"/>
  <c r="AB46" s="1"/>
  <c r="Z38"/>
  <c r="AA38" s="1"/>
  <c r="AB38" s="1"/>
  <c r="Z57"/>
  <c r="AA57" s="1"/>
  <c r="AB57" s="1"/>
  <c r="CE149"/>
  <c r="CF149"/>
  <c r="CF150" s="1"/>
  <c r="G229"/>
  <c r="G217"/>
  <c r="H217"/>
  <c r="G210"/>
  <c r="H210"/>
  <c r="G216"/>
  <c r="H216"/>
  <c r="G221"/>
  <c r="H221"/>
  <c r="G223"/>
  <c r="H223"/>
  <c r="F120" i="22"/>
  <c r="F131" s="1"/>
  <c r="H134" s="1"/>
  <c r="G123"/>
  <c r="F122"/>
  <c r="F126"/>
  <c r="F125"/>
  <c r="F118"/>
  <c r="F119"/>
  <c r="F121"/>
  <c r="H75"/>
  <c r="H115" s="1"/>
  <c r="H118" s="1"/>
  <c r="G224" i="10"/>
  <c r="FJ37" i="21"/>
  <c r="FK37" s="1"/>
  <c r="FM18"/>
  <c r="G219" i="10"/>
  <c r="G231"/>
  <c r="G222"/>
  <c r="G218"/>
  <c r="G228"/>
  <c r="G232"/>
  <c r="G230"/>
  <c r="G207"/>
  <c r="G204"/>
  <c r="EB12" i="21"/>
  <c r="EB43" s="1"/>
  <c r="G202" i="10"/>
  <c r="G209"/>
  <c r="G205"/>
  <c r="G211"/>
  <c r="F213"/>
  <c r="E213"/>
  <c r="G208"/>
  <c r="G203"/>
  <c r="M3" i="21"/>
  <c r="L3"/>
  <c r="I131" i="22"/>
  <c r="D141"/>
  <c r="C141"/>
  <c r="AW103" i="10"/>
  <c r="AY103"/>
  <c r="J154"/>
  <c r="BN2"/>
  <c r="BM2" s="1"/>
  <c r="BC452"/>
  <c r="BC451"/>
  <c r="BC448"/>
  <c r="BA84"/>
  <c r="AZ84"/>
  <c r="AA115"/>
  <c r="AB115" s="1"/>
  <c r="J188"/>
  <c r="J190" s="1"/>
  <c r="K187" s="1"/>
  <c r="AA93"/>
  <c r="AB93" s="1"/>
  <c r="M187"/>
  <c r="L190"/>
  <c r="I188"/>
  <c r="I187"/>
  <c r="C13" i="21"/>
  <c r="AX453" i="10"/>
  <c r="BC453"/>
  <c r="BB453"/>
  <c r="BD453"/>
  <c r="BC454"/>
  <c r="BA453"/>
  <c r="L42" i="21"/>
  <c r="N42" s="1"/>
  <c r="L50"/>
  <c r="M17" i="27"/>
  <c r="M18"/>
  <c r="M19"/>
  <c r="M21"/>
  <c r="M20"/>
  <c r="AT84" i="10"/>
  <c r="K10" i="21"/>
  <c r="ET17"/>
  <c r="I165" i="10"/>
  <c r="BC102"/>
  <c r="ET9" i="21"/>
  <c r="GB13"/>
  <c r="L162" i="10"/>
  <c r="F162"/>
  <c r="F161"/>
  <c r="F159"/>
  <c r="F163"/>
  <c r="F160"/>
  <c r="L163"/>
  <c r="M72"/>
  <c r="M84"/>
  <c r="J156"/>
  <c r="L159"/>
  <c r="G156"/>
  <c r="L160"/>
  <c r="F156"/>
  <c r="H155"/>
  <c r="L161"/>
  <c r="F154"/>
  <c r="G154"/>
  <c r="Y6"/>
  <c r="Z6" s="1"/>
  <c r="AA6" s="1"/>
  <c r="AB6" s="1"/>
  <c r="X6"/>
  <c r="AI147"/>
  <c r="AI102" s="1"/>
  <c r="AV56"/>
  <c r="BB103"/>
  <c r="BA103"/>
  <c r="AA142"/>
  <c r="AB142" s="1"/>
  <c r="AA3"/>
  <c r="AB3" s="1"/>
  <c r="AW68"/>
  <c r="AA80"/>
  <c r="AB80" s="1"/>
  <c r="AV68"/>
  <c r="AW71"/>
  <c r="AV71"/>
  <c r="AV59"/>
  <c r="AY33"/>
  <c r="BB33" s="1"/>
  <c r="AY34" s="1"/>
  <c r="BB34" s="1"/>
  <c r="AY35" s="1"/>
  <c r="BB35" s="1"/>
  <c r="AW59"/>
  <c r="AW41"/>
  <c r="AV41"/>
  <c r="AV44"/>
  <c r="AW56"/>
  <c r="AW44"/>
  <c r="S157"/>
  <c r="T157" s="1"/>
  <c r="EB9" i="21"/>
  <c r="A20" i="14"/>
  <c r="I10" i="21"/>
  <c r="M14" i="27"/>
  <c r="BE3" i="10"/>
  <c r="Y144"/>
  <c r="Z144" s="1"/>
  <c r="AA144" s="1"/>
  <c r="AB144" s="1"/>
  <c r="H149"/>
  <c r="L43" i="21"/>
  <c r="L48"/>
  <c r="T158" i="10"/>
  <c r="T165" s="1"/>
  <c r="V177" s="1"/>
  <c r="S165"/>
  <c r="L49" i="21"/>
  <c r="L45"/>
  <c r="DF27"/>
  <c r="L52"/>
  <c r="II51" i="10"/>
  <c r="IM31" s="1"/>
  <c r="CN27" i="21"/>
  <c r="BC84" i="10"/>
  <c r="AZ24"/>
  <c r="AZ26" s="1"/>
  <c r="BA26" s="1"/>
  <c r="FW26" i="21"/>
  <c r="FZ14" s="1"/>
  <c r="FW23"/>
  <c r="FW24"/>
  <c r="FW25"/>
  <c r="FW22"/>
  <c r="T180" i="10"/>
  <c r="U177" s="1"/>
  <c r="S152"/>
  <c r="S150"/>
  <c r="S149"/>
  <c r="T149" s="1"/>
  <c r="K9" i="21"/>
  <c r="X118" i="10"/>
  <c r="X45"/>
  <c r="I148"/>
  <c r="X139"/>
  <c r="X144"/>
  <c r="ET16" i="21"/>
  <c r="M10" s="1"/>
  <c r="EB31"/>
  <c r="EB30"/>
  <c r="M9" s="1"/>
  <c r="J10"/>
  <c r="X25" i="10"/>
  <c r="X73"/>
  <c r="X80"/>
  <c r="X59"/>
  <c r="X92"/>
  <c r="X78"/>
  <c r="X113"/>
  <c r="X93"/>
  <c r="X22"/>
  <c r="X142"/>
  <c r="X68"/>
  <c r="Q3" i="14"/>
  <c r="R3" s="1"/>
  <c r="U3" s="1"/>
  <c r="X10" i="10"/>
  <c r="X123"/>
  <c r="X131"/>
  <c r="X71"/>
  <c r="X84"/>
  <c r="X48"/>
  <c r="X3"/>
  <c r="X94"/>
  <c r="X37"/>
  <c r="X63"/>
  <c r="X146"/>
  <c r="X9"/>
  <c r="X33"/>
  <c r="X117"/>
  <c r="X145"/>
  <c r="X79"/>
  <c r="X43"/>
  <c r="X21"/>
  <c r="X82"/>
  <c r="X126"/>
  <c r="X66"/>
  <c r="X90"/>
  <c r="X134"/>
  <c r="X87"/>
  <c r="X41"/>
  <c r="X26"/>
  <c r="X47"/>
  <c r="X129"/>
  <c r="X57"/>
  <c r="X36"/>
  <c r="X72"/>
  <c r="X67"/>
  <c r="X120"/>
  <c r="X19"/>
  <c r="X61"/>
  <c r="X111"/>
  <c r="X40"/>
  <c r="X58"/>
  <c r="X140"/>
  <c r="X8"/>
  <c r="X114"/>
  <c r="X133"/>
  <c r="X104"/>
  <c r="X18"/>
  <c r="X53"/>
  <c r="X54"/>
  <c r="X16"/>
  <c r="X115"/>
  <c r="X46"/>
  <c r="X108"/>
  <c r="X109"/>
  <c r="X127"/>
  <c r="X52"/>
  <c r="X50"/>
  <c r="X55"/>
  <c r="X81"/>
  <c r="AE170"/>
  <c r="AV81" s="1"/>
  <c r="X20"/>
  <c r="X17"/>
  <c r="F91" i="21"/>
  <c r="G91" s="1"/>
  <c r="I91" s="1"/>
  <c r="X138" i="10"/>
  <c r="X24"/>
  <c r="X38"/>
  <c r="D95" i="21"/>
  <c r="X12" i="10"/>
  <c r="E93" i="21"/>
  <c r="F92"/>
  <c r="C142" i="22" l="1"/>
  <c r="D142"/>
  <c r="HK140" i="10"/>
  <c r="HL140"/>
  <c r="HM140" s="1"/>
  <c r="HN140" s="1"/>
  <c r="CN127"/>
  <c r="CO127" s="1"/>
  <c r="CP127" s="1"/>
  <c r="CM127"/>
  <c r="CN126"/>
  <c r="CO126" s="1"/>
  <c r="CP126" s="1"/>
  <c r="CM126"/>
  <c r="GQ123"/>
  <c r="GR123"/>
  <c r="GS123" s="1"/>
  <c r="GT123" s="1"/>
  <c r="CN109"/>
  <c r="CO109" s="1"/>
  <c r="CP109" s="1"/>
  <c r="CM109"/>
  <c r="K497" i="21"/>
  <c r="C497"/>
  <c r="M496"/>
  <c r="B499"/>
  <c r="C498" s="1"/>
  <c r="J497"/>
  <c r="L497"/>
  <c r="F497"/>
  <c r="E497"/>
  <c r="D497"/>
  <c r="I497"/>
  <c r="CM61" i="10"/>
  <c r="CN61"/>
  <c r="CO61" s="1"/>
  <c r="CP61" s="1"/>
  <c r="FP37"/>
  <c r="FQ37" s="1"/>
  <c r="FR37" s="1"/>
  <c r="FO37"/>
  <c r="CM17"/>
  <c r="CN17"/>
  <c r="CO17" s="1"/>
  <c r="CP17" s="1"/>
  <c r="CM72"/>
  <c r="CN72"/>
  <c r="CO72" s="1"/>
  <c r="CP72" s="1"/>
  <c r="CN43"/>
  <c r="CO43" s="1"/>
  <c r="CP43" s="1"/>
  <c r="CM43"/>
  <c r="CM59"/>
  <c r="CN59"/>
  <c r="CO59" s="1"/>
  <c r="CP59" s="1"/>
  <c r="CM94"/>
  <c r="CN94"/>
  <c r="CO94" s="1"/>
  <c r="CP94" s="1"/>
  <c r="CM63"/>
  <c r="CN63"/>
  <c r="CO63" s="1"/>
  <c r="CP63" s="1"/>
  <c r="CN18"/>
  <c r="CO18" s="1"/>
  <c r="CP18" s="1"/>
  <c r="CM18"/>
  <c r="CN19"/>
  <c r="CO19" s="1"/>
  <c r="CP19" s="1"/>
  <c r="CM19"/>
  <c r="CN20"/>
  <c r="CO20" s="1"/>
  <c r="CP20" s="1"/>
  <c r="CM20"/>
  <c r="CZ15"/>
  <c r="DA15" s="1"/>
  <c r="DB15" s="1"/>
  <c r="CY15"/>
  <c r="FS71"/>
  <c r="FT71"/>
  <c r="FU71" s="1"/>
  <c r="FV71" s="1"/>
  <c r="AI121"/>
  <c r="AI56"/>
  <c r="R208"/>
  <c r="R210"/>
  <c r="R209"/>
  <c r="AI49"/>
  <c r="AI5"/>
  <c r="N43" i="21"/>
  <c r="N44" s="1"/>
  <c r="N45" s="1"/>
  <c r="N46" s="1"/>
  <c r="N47" s="1"/>
  <c r="N48" s="1"/>
  <c r="N49" s="1"/>
  <c r="N50" s="1"/>
  <c r="N51" s="1"/>
  <c r="N52" s="1"/>
  <c r="F657"/>
  <c r="F671" s="1"/>
  <c r="D669"/>
  <c r="G45"/>
  <c r="D670"/>
  <c r="G46"/>
  <c r="M16"/>
  <c r="L16"/>
  <c r="CI149" i="10"/>
  <c r="FM19" i="21"/>
  <c r="FN18"/>
  <c r="H131" i="22"/>
  <c r="D140"/>
  <c r="S206" i="10"/>
  <c r="S207" s="1"/>
  <c r="T207" s="1"/>
  <c r="H123" i="22"/>
  <c r="C140"/>
  <c r="F123"/>
  <c r="AI34" i="10"/>
  <c r="AI76"/>
  <c r="AI130"/>
  <c r="AI23"/>
  <c r="G213"/>
  <c r="ET20" i="21"/>
  <c r="E49" s="1"/>
  <c r="AI99" i="10"/>
  <c r="AI116"/>
  <c r="AI128"/>
  <c r="AI69"/>
  <c r="BO3"/>
  <c r="AI107"/>
  <c r="AI109"/>
  <c r="AI111"/>
  <c r="AI113"/>
  <c r="AI115"/>
  <c r="AI108"/>
  <c r="AI110"/>
  <c r="AI112"/>
  <c r="AI114"/>
  <c r="AI117"/>
  <c r="AI106"/>
  <c r="AI97"/>
  <c r="AI105"/>
  <c r="AI103"/>
  <c r="AI98"/>
  <c r="AI96"/>
  <c r="AI93"/>
  <c r="AI92"/>
  <c r="AI100"/>
  <c r="AI101"/>
  <c r="AI95"/>
  <c r="AI104"/>
  <c r="AI94"/>
  <c r="H197"/>
  <c r="J197" s="1"/>
  <c r="H196"/>
  <c r="J196" s="1"/>
  <c r="H47" i="21"/>
  <c r="AI30" i="10"/>
  <c r="E657" i="21"/>
  <c r="E671" s="1"/>
  <c r="F668"/>
  <c r="D668"/>
  <c r="AV451" i="10"/>
  <c r="T152"/>
  <c r="T166" s="1"/>
  <c r="V178" s="1"/>
  <c r="AI4"/>
  <c r="AI35"/>
  <c r="K188"/>
  <c r="AI3"/>
  <c r="AV448"/>
  <c r="AV454"/>
  <c r="AV452"/>
  <c r="AV453"/>
  <c r="L10" i="21"/>
  <c r="M22" i="27"/>
  <c r="BB446" i="10"/>
  <c r="K11" i="21"/>
  <c r="F165" i="10"/>
  <c r="AT77"/>
  <c r="BC446"/>
  <c r="AX446"/>
  <c r="BD446"/>
  <c r="AV446"/>
  <c r="BA446"/>
  <c r="I155"/>
  <c r="L155"/>
  <c r="M155" s="1"/>
  <c r="BC103"/>
  <c r="H156"/>
  <c r="F181" s="1"/>
  <c r="K156"/>
  <c r="K154"/>
  <c r="H154"/>
  <c r="L154" s="1"/>
  <c r="Z188"/>
  <c r="BE2"/>
  <c r="AI46"/>
  <c r="AI8"/>
  <c r="AI48"/>
  <c r="AI84"/>
  <c r="AI53"/>
  <c r="AI6"/>
  <c r="AI87"/>
  <c r="AI24"/>
  <c r="AI80"/>
  <c r="AI123"/>
  <c r="AI9"/>
  <c r="AI11"/>
  <c r="AI26"/>
  <c r="AI72"/>
  <c r="AI138"/>
  <c r="AI12"/>
  <c r="AI67"/>
  <c r="AI81"/>
  <c r="AI64"/>
  <c r="AI77"/>
  <c r="AI65"/>
  <c r="AI70"/>
  <c r="AI125"/>
  <c r="AI141"/>
  <c r="AI74"/>
  <c r="AI91"/>
  <c r="AI124"/>
  <c r="AI29"/>
  <c r="AI85"/>
  <c r="AI7"/>
  <c r="AI44"/>
  <c r="AI28"/>
  <c r="AI42"/>
  <c r="AI39"/>
  <c r="AI88"/>
  <c r="AI122"/>
  <c r="AI31"/>
  <c r="AI83"/>
  <c r="AI136"/>
  <c r="AI137"/>
  <c r="AI135"/>
  <c r="AI86"/>
  <c r="AI2"/>
  <c r="AI14"/>
  <c r="AI118"/>
  <c r="AI45"/>
  <c r="AI139"/>
  <c r="AI32"/>
  <c r="AI73"/>
  <c r="AI75"/>
  <c r="AI78"/>
  <c r="AI143"/>
  <c r="AI68"/>
  <c r="AI10"/>
  <c r="AI132"/>
  <c r="AI60"/>
  <c r="AI27"/>
  <c r="AI131"/>
  <c r="AI71"/>
  <c r="AI37"/>
  <c r="AI62"/>
  <c r="AI15"/>
  <c r="AI19"/>
  <c r="AI41"/>
  <c r="AI57"/>
  <c r="AI79"/>
  <c r="AI126"/>
  <c r="AI144"/>
  <c r="AI13"/>
  <c r="AI50"/>
  <c r="AI40"/>
  <c r="AI63"/>
  <c r="AI120"/>
  <c r="AI17"/>
  <c r="AI36"/>
  <c r="AI59"/>
  <c r="AI119"/>
  <c r="AI18"/>
  <c r="AI52"/>
  <c r="AI38"/>
  <c r="AI55"/>
  <c r="AI66"/>
  <c r="AI90"/>
  <c r="AI129"/>
  <c r="AI142"/>
  <c r="AI25"/>
  <c r="AI51"/>
  <c r="AI61"/>
  <c r="AI89"/>
  <c r="AI134"/>
  <c r="AI145"/>
  <c r="AI16"/>
  <c r="AI33"/>
  <c r="AI140"/>
  <c r="AI20"/>
  <c r="AI54"/>
  <c r="AI43"/>
  <c r="AI127"/>
  <c r="AI133"/>
  <c r="AI21"/>
  <c r="AI22"/>
  <c r="AI47"/>
  <c r="AI58"/>
  <c r="AI82"/>
  <c r="AI146"/>
  <c r="BB96"/>
  <c r="BA96"/>
  <c r="AW96"/>
  <c r="AA189"/>
  <c r="Z190"/>
  <c r="Z189"/>
  <c r="AA190"/>
  <c r="AA188"/>
  <c r="BA32"/>
  <c r="AZ32"/>
  <c r="BA33"/>
  <c r="EB40" i="21"/>
  <c r="AY96" i="10"/>
  <c r="AZ77"/>
  <c r="BM3"/>
  <c r="T160"/>
  <c r="T171" s="1"/>
  <c r="IM33"/>
  <c r="K53" i="21"/>
  <c r="BN4" i="10"/>
  <c r="I11" i="21"/>
  <c r="U179" i="10"/>
  <c r="U178"/>
  <c r="U176"/>
  <c r="U175"/>
  <c r="S223"/>
  <c r="GA14" i="21"/>
  <c r="GB14"/>
  <c r="FW29"/>
  <c r="FW32"/>
  <c r="FW28"/>
  <c r="FW33"/>
  <c r="FW38" s="1"/>
  <c r="FW30"/>
  <c r="FW31"/>
  <c r="S163" i="10"/>
  <c r="M11" i="21"/>
  <c r="L9"/>
  <c r="H9"/>
  <c r="H10"/>
  <c r="F10"/>
  <c r="J11"/>
  <c r="F9"/>
  <c r="BC77" i="10"/>
  <c r="S166"/>
  <c r="S3" i="14"/>
  <c r="H148" i="10"/>
  <c r="S164"/>
  <c r="T150"/>
  <c r="T164" s="1"/>
  <c r="G92" i="21"/>
  <c r="I92" s="1"/>
  <c r="E94"/>
  <c r="F93"/>
  <c r="D96"/>
  <c r="I150" i="10"/>
  <c r="BA77"/>
  <c r="H497" i="21"/>
  <c r="G498" l="1"/>
  <c r="CQ127" i="10"/>
  <c r="CR127"/>
  <c r="CS127" s="1"/>
  <c r="CT127" s="1"/>
  <c r="CQ126"/>
  <c r="CR126"/>
  <c r="CS126" s="1"/>
  <c r="CT126" s="1"/>
  <c r="CQ109"/>
  <c r="CR109"/>
  <c r="CS109" s="1"/>
  <c r="CT109" s="1"/>
  <c r="GV123"/>
  <c r="GW123" s="1"/>
  <c r="GX123" s="1"/>
  <c r="GU123"/>
  <c r="HP140"/>
  <c r="HQ140" s="1"/>
  <c r="HR140" s="1"/>
  <c r="HO140"/>
  <c r="IG30"/>
  <c r="B38" s="1"/>
  <c r="IM35"/>
  <c r="I498" i="21"/>
  <c r="J498"/>
  <c r="E498"/>
  <c r="D498"/>
  <c r="L498"/>
  <c r="M497"/>
  <c r="B500"/>
  <c r="J499" s="1"/>
  <c r="F498"/>
  <c r="K498"/>
  <c r="AI150" i="10"/>
  <c r="AV88" s="1"/>
  <c r="FW71"/>
  <c r="FX71"/>
  <c r="FY71" s="1"/>
  <c r="FZ71" s="1"/>
  <c r="CQ18"/>
  <c r="CR18"/>
  <c r="CS18" s="1"/>
  <c r="CT18" s="1"/>
  <c r="CQ43"/>
  <c r="CR43"/>
  <c r="CS43" s="1"/>
  <c r="CT43" s="1"/>
  <c r="CR72"/>
  <c r="CS72" s="1"/>
  <c r="CT72" s="1"/>
  <c r="CQ72"/>
  <c r="CR20"/>
  <c r="CS20" s="1"/>
  <c r="CT20" s="1"/>
  <c r="CQ20"/>
  <c r="CQ63"/>
  <c r="CR63"/>
  <c r="CS63" s="1"/>
  <c r="CT63" s="1"/>
  <c r="CQ59"/>
  <c r="CR59"/>
  <c r="CS59" s="1"/>
  <c r="CT59" s="1"/>
  <c r="FT37"/>
  <c r="FU37" s="1"/>
  <c r="FV37" s="1"/>
  <c r="FS37"/>
  <c r="CR17"/>
  <c r="CS17" s="1"/>
  <c r="CT17" s="1"/>
  <c r="CQ17"/>
  <c r="CQ61"/>
  <c r="CR61"/>
  <c r="CS61" s="1"/>
  <c r="CT61" s="1"/>
  <c r="DC15"/>
  <c r="DD15"/>
  <c r="DE15" s="1"/>
  <c r="DF15" s="1"/>
  <c r="CR19"/>
  <c r="CS19" s="1"/>
  <c r="CT19" s="1"/>
  <c r="CQ19"/>
  <c r="CQ94"/>
  <c r="CR94"/>
  <c r="CS94" s="1"/>
  <c r="CT94" s="1"/>
  <c r="E48" i="21"/>
  <c r="G48" s="1"/>
  <c r="F48" s="1"/>
  <c r="BB27"/>
  <c r="H46"/>
  <c r="K6" s="1"/>
  <c r="M6" s="1"/>
  <c r="F656"/>
  <c r="F670" s="1"/>
  <c r="F45"/>
  <c r="E655" s="1"/>
  <c r="E669" s="1"/>
  <c r="F655"/>
  <c r="F669" s="1"/>
  <c r="F46"/>
  <c r="D659"/>
  <c r="D673" s="1"/>
  <c r="G49"/>
  <c r="F49" s="1"/>
  <c r="CJ149" i="10"/>
  <c r="CJ150" s="1"/>
  <c r="CM149"/>
  <c r="S210"/>
  <c r="T210" s="1"/>
  <c r="FM20" i="21"/>
  <c r="FN19"/>
  <c r="L156" i="10"/>
  <c r="M156" s="1"/>
  <c r="BD77"/>
  <c r="S208"/>
  <c r="T208" s="1"/>
  <c r="S220"/>
  <c r="T220" s="1"/>
  <c r="V220" s="1"/>
  <c r="S209"/>
  <c r="T209" s="1"/>
  <c r="H199"/>
  <c r="I195" s="1"/>
  <c r="AY100"/>
  <c r="AW100"/>
  <c r="E668" i="21"/>
  <c r="BC450" i="10"/>
  <c r="BB450"/>
  <c r="BA450"/>
  <c r="AV450"/>
  <c r="BD450"/>
  <c r="AZ450"/>
  <c r="AX450"/>
  <c r="AT81"/>
  <c r="BC81"/>
  <c r="BA81"/>
  <c r="AZ81"/>
  <c r="J199"/>
  <c r="K196" s="1"/>
  <c r="M195"/>
  <c r="L199"/>
  <c r="H120" i="22"/>
  <c r="H121" s="1"/>
  <c r="BD78" i="10"/>
  <c r="BH78" s="1"/>
  <c r="AZ448"/>
  <c r="AZ452"/>
  <c r="AZ451"/>
  <c r="AZ453"/>
  <c r="AZ454"/>
  <c r="L11" i="21"/>
  <c r="BA100" i="10"/>
  <c r="BB100"/>
  <c r="AZ446"/>
  <c r="BC96"/>
  <c r="I154"/>
  <c r="M154"/>
  <c r="I156"/>
  <c r="L165"/>
  <c r="AZ33"/>
  <c r="BM4"/>
  <c r="BE4"/>
  <c r="Q157"/>
  <c r="BO4"/>
  <c r="V164"/>
  <c r="V176"/>
  <c r="BQ3"/>
  <c r="BP3"/>
  <c r="T223"/>
  <c r="V223" s="1"/>
  <c r="U223"/>
  <c r="FW37" i="21"/>
  <c r="FW39"/>
  <c r="FZ15" s="1"/>
  <c r="FW36"/>
  <c r="FW34"/>
  <c r="FW35"/>
  <c r="T153" i="10"/>
  <c r="X3" i="14"/>
  <c r="T163" i="10"/>
  <c r="V175" s="1"/>
  <c r="H150"/>
  <c r="G93" i="21"/>
  <c r="I93" s="1"/>
  <c r="D97"/>
  <c r="X165" i="10"/>
  <c r="X164"/>
  <c r="E95" i="21"/>
  <c r="F94"/>
  <c r="V165" i="10"/>
  <c r="H498" i="21"/>
  <c r="CV109" i="10" l="1"/>
  <c r="CW109" s="1"/>
  <c r="CX109" s="1"/>
  <c r="CU109"/>
  <c r="HT140"/>
  <c r="HU140" s="1"/>
  <c r="HV140" s="1"/>
  <c r="HS140"/>
  <c r="GY123"/>
  <c r="GZ123"/>
  <c r="HA123" s="1"/>
  <c r="HB123" s="1"/>
  <c r="CU126"/>
  <c r="CV126"/>
  <c r="CW126" s="1"/>
  <c r="CX126" s="1"/>
  <c r="CV127"/>
  <c r="CW127" s="1"/>
  <c r="CX127" s="1"/>
  <c r="CU127"/>
  <c r="K499" i="21"/>
  <c r="B501"/>
  <c r="D500" s="1"/>
  <c r="D499"/>
  <c r="G499"/>
  <c r="M498"/>
  <c r="E499"/>
  <c r="F499"/>
  <c r="C499"/>
  <c r="L499"/>
  <c r="I499"/>
  <c r="CU94" i="10"/>
  <c r="CV94"/>
  <c r="CW94" s="1"/>
  <c r="CX94" s="1"/>
  <c r="CV17"/>
  <c r="CW17" s="1"/>
  <c r="CX17" s="1"/>
  <c r="CU17"/>
  <c r="CV72"/>
  <c r="CW72" s="1"/>
  <c r="CX72" s="1"/>
  <c r="CU72"/>
  <c r="CU61"/>
  <c r="CV61"/>
  <c r="CW61" s="1"/>
  <c r="CX61" s="1"/>
  <c r="CU43"/>
  <c r="CV43"/>
  <c r="CW43" s="1"/>
  <c r="CX43" s="1"/>
  <c r="GB71"/>
  <c r="GC71" s="1"/>
  <c r="GD71" s="1"/>
  <c r="GA71"/>
  <c r="CV59"/>
  <c r="CW59" s="1"/>
  <c r="CX59" s="1"/>
  <c r="CU59"/>
  <c r="CU20"/>
  <c r="CV20"/>
  <c r="CW20" s="1"/>
  <c r="CX20" s="1"/>
  <c r="CU19"/>
  <c r="CV19"/>
  <c r="CW19" s="1"/>
  <c r="CX19" s="1"/>
  <c r="DH15"/>
  <c r="DI15" s="1"/>
  <c r="DJ15" s="1"/>
  <c r="DG15"/>
  <c r="FX37"/>
  <c r="FY37" s="1"/>
  <c r="FZ37" s="1"/>
  <c r="FW37"/>
  <c r="CU63"/>
  <c r="CV63"/>
  <c r="CW63" s="1"/>
  <c r="CX63" s="1"/>
  <c r="CV18"/>
  <c r="CW18" s="1"/>
  <c r="CX18" s="1"/>
  <c r="CU18"/>
  <c r="D658" i="21"/>
  <c r="D672" s="1"/>
  <c r="L6"/>
  <c r="E656"/>
  <c r="E670" s="1"/>
  <c r="CN149" i="10"/>
  <c r="CN150" s="1"/>
  <c r="CR149"/>
  <c r="CR150" s="1"/>
  <c r="CQ149"/>
  <c r="FM21" i="21"/>
  <c r="FN20"/>
  <c r="U220" i="10"/>
  <c r="F658" i="21"/>
  <c r="F672" s="1"/>
  <c r="I197" i="10"/>
  <c r="I196"/>
  <c r="H49" i="21"/>
  <c r="K4" s="1"/>
  <c r="F659"/>
  <c r="F673" s="1"/>
  <c r="K197" i="10"/>
  <c r="K195"/>
  <c r="E659" i="21"/>
  <c r="E673" s="1"/>
  <c r="BH77" i="10"/>
  <c r="AY107"/>
  <c r="AW107"/>
  <c r="BC100"/>
  <c r="BA34"/>
  <c r="Q149"/>
  <c r="L53" i="21"/>
  <c r="BN5" i="10"/>
  <c r="BQ4"/>
  <c r="BP4"/>
  <c r="S222"/>
  <c r="T222" s="1"/>
  <c r="V222" s="1"/>
  <c r="GA15" i="21"/>
  <c r="GB15"/>
  <c r="FW41"/>
  <c r="FW44"/>
  <c r="FW42"/>
  <c r="FW45"/>
  <c r="FW43"/>
  <c r="FW46"/>
  <c r="FW48" s="1"/>
  <c r="T167" i="10"/>
  <c r="AV113" s="1"/>
  <c r="V163"/>
  <c r="X163"/>
  <c r="T170"/>
  <c r="G94" i="21"/>
  <c r="I94" s="1"/>
  <c r="E96"/>
  <c r="F95"/>
  <c r="D98"/>
  <c r="H499"/>
  <c r="CY126" i="10" l="1"/>
  <c r="CZ126"/>
  <c r="DA126" s="1"/>
  <c r="DB126" s="1"/>
  <c r="CZ109"/>
  <c r="DA109" s="1"/>
  <c r="DB109" s="1"/>
  <c r="CY109"/>
  <c r="HW140"/>
  <c r="HX140"/>
  <c r="HY140" s="1"/>
  <c r="HZ140" s="1"/>
  <c r="CZ127"/>
  <c r="DA127" s="1"/>
  <c r="DB127" s="1"/>
  <c r="CY127"/>
  <c r="HC123"/>
  <c r="HD123"/>
  <c r="HE123" s="1"/>
  <c r="HF123" s="1"/>
  <c r="L500" i="21"/>
  <c r="E500"/>
  <c r="I500"/>
  <c r="F500"/>
  <c r="K500"/>
  <c r="B502"/>
  <c r="F501" s="1"/>
  <c r="C500"/>
  <c r="G500"/>
  <c r="J500"/>
  <c r="M499"/>
  <c r="CZ59" i="10"/>
  <c r="DA59" s="1"/>
  <c r="DB59" s="1"/>
  <c r="CY59"/>
  <c r="GB37"/>
  <c r="GC37" s="1"/>
  <c r="GD37" s="1"/>
  <c r="GA37"/>
  <c r="CZ19"/>
  <c r="DA19" s="1"/>
  <c r="DB19" s="1"/>
  <c r="CY19"/>
  <c r="CY20"/>
  <c r="CZ20"/>
  <c r="DA20" s="1"/>
  <c r="DB20" s="1"/>
  <c r="CZ61"/>
  <c r="DA61" s="1"/>
  <c r="DB61" s="1"/>
  <c r="CY61"/>
  <c r="CZ18"/>
  <c r="DA18" s="1"/>
  <c r="DB18" s="1"/>
  <c r="CY18"/>
  <c r="CY17"/>
  <c r="CZ17"/>
  <c r="DA17" s="1"/>
  <c r="DB17" s="1"/>
  <c r="CY63"/>
  <c r="CZ63"/>
  <c r="DA63" s="1"/>
  <c r="DB63" s="1"/>
  <c r="GE71"/>
  <c r="GF71"/>
  <c r="GG71" s="1"/>
  <c r="GH71" s="1"/>
  <c r="CY94"/>
  <c r="CZ94"/>
  <c r="DA94" s="1"/>
  <c r="DB94" s="1"/>
  <c r="DK15"/>
  <c r="DL15"/>
  <c r="DM15" s="1"/>
  <c r="DN15" s="1"/>
  <c r="CZ43"/>
  <c r="DA43" s="1"/>
  <c r="DB43" s="1"/>
  <c r="CY43"/>
  <c r="CZ72"/>
  <c r="DA72" s="1"/>
  <c r="DB72" s="1"/>
  <c r="CY72"/>
  <c r="L57" i="21"/>
  <c r="M41"/>
  <c r="FM22"/>
  <c r="FN21"/>
  <c r="H48"/>
  <c r="K2" s="1"/>
  <c r="L4"/>
  <c r="M4"/>
  <c r="E658"/>
  <c r="E672" s="1"/>
  <c r="AX113" i="10"/>
  <c r="K58" i="21"/>
  <c r="M44"/>
  <c r="M47"/>
  <c r="M51"/>
  <c r="M48"/>
  <c r="M50"/>
  <c r="M49"/>
  <c r="M42"/>
  <c r="M45"/>
  <c r="M46"/>
  <c r="M52"/>
  <c r="M43"/>
  <c r="AT113" i="10"/>
  <c r="AX138"/>
  <c r="AZ88"/>
  <c r="BB93" s="1"/>
  <c r="BA88"/>
  <c r="BA107"/>
  <c r="BB107"/>
  <c r="AY138"/>
  <c r="AY36"/>
  <c r="BB36" s="1"/>
  <c r="AZ34"/>
  <c r="K57" i="21"/>
  <c r="K56"/>
  <c r="BM5" i="10"/>
  <c r="BE5"/>
  <c r="BO5"/>
  <c r="BQ5" s="1"/>
  <c r="U222"/>
  <c r="FW47" i="21"/>
  <c r="FW49"/>
  <c r="FW51"/>
  <c r="FW52"/>
  <c r="FZ16" s="1"/>
  <c r="FW50"/>
  <c r="T172" i="10"/>
  <c r="V166"/>
  <c r="Q164"/>
  <c r="X166"/>
  <c r="G95" i="21"/>
  <c r="I95" s="1"/>
  <c r="D99"/>
  <c r="E97"/>
  <c r="F96"/>
  <c r="H500"/>
  <c r="DD109" i="10" l="1"/>
  <c r="DE109" s="1"/>
  <c r="DF109" s="1"/>
  <c r="DC109"/>
  <c r="HH123"/>
  <c r="HI123" s="1"/>
  <c r="HJ123" s="1"/>
  <c r="HG123"/>
  <c r="DC127"/>
  <c r="DD127"/>
  <c r="DE127" s="1"/>
  <c r="DF127" s="1"/>
  <c r="IB140"/>
  <c r="IA140"/>
  <c r="DD126"/>
  <c r="DE126" s="1"/>
  <c r="DF126" s="1"/>
  <c r="DC126"/>
  <c r="C501" i="21"/>
  <c r="G501"/>
  <c r="K501"/>
  <c r="E501"/>
  <c r="B503"/>
  <c r="L502" s="1"/>
  <c r="L501"/>
  <c r="D501"/>
  <c r="J501"/>
  <c r="I501"/>
  <c r="M500"/>
  <c r="DD43" i="10"/>
  <c r="DE43" s="1"/>
  <c r="DF43" s="1"/>
  <c r="DC43"/>
  <c r="DD94"/>
  <c r="DE94" s="1"/>
  <c r="DF94" s="1"/>
  <c r="DC94"/>
  <c r="GI71"/>
  <c r="GJ71"/>
  <c r="GK71" s="1"/>
  <c r="GL71" s="1"/>
  <c r="DD20"/>
  <c r="DE20" s="1"/>
  <c r="DF20" s="1"/>
  <c r="DC20"/>
  <c r="DC18"/>
  <c r="DD18"/>
  <c r="DE18" s="1"/>
  <c r="DF18" s="1"/>
  <c r="GF37"/>
  <c r="GG37" s="1"/>
  <c r="GH37" s="1"/>
  <c r="GE37"/>
  <c r="DC72"/>
  <c r="DD72"/>
  <c r="DE72" s="1"/>
  <c r="DF72" s="1"/>
  <c r="DP15"/>
  <c r="DQ15" s="1"/>
  <c r="DR15" s="1"/>
  <c r="DO15"/>
  <c r="DD17"/>
  <c r="DE17" s="1"/>
  <c r="DF17" s="1"/>
  <c r="DC17"/>
  <c r="DD63"/>
  <c r="DE63" s="1"/>
  <c r="DF63" s="1"/>
  <c r="DC63"/>
  <c r="DD61"/>
  <c r="DE61" s="1"/>
  <c r="DF61" s="1"/>
  <c r="DC61"/>
  <c r="DC19"/>
  <c r="DD19"/>
  <c r="DE19" s="1"/>
  <c r="DF19" s="1"/>
  <c r="DD59"/>
  <c r="DE59" s="1"/>
  <c r="DF59" s="1"/>
  <c r="DC59"/>
  <c r="CU149"/>
  <c r="FM23" i="21"/>
  <c r="FN22"/>
  <c r="L2"/>
  <c r="M2"/>
  <c r="BC107" i="10"/>
  <c r="AZ138"/>
  <c r="AZ35"/>
  <c r="AY37"/>
  <c r="BB37" s="1"/>
  <c r="K59" i="21"/>
  <c r="BN6" i="10"/>
  <c r="BP5"/>
  <c r="GA16" i="21"/>
  <c r="GB16"/>
  <c r="FW58"/>
  <c r="FW59"/>
  <c r="FW61" s="1"/>
  <c r="FW56"/>
  <c r="FW57"/>
  <c r="FW55"/>
  <c r="FW54"/>
  <c r="BP2" i="10"/>
  <c r="BQ2"/>
  <c r="G96" i="21"/>
  <c r="I96" s="1"/>
  <c r="E98"/>
  <c r="F97"/>
  <c r="D100"/>
  <c r="H501"/>
  <c r="DH127" i="10" l="1"/>
  <c r="DI127" s="1"/>
  <c r="DJ127" s="1"/>
  <c r="DG127"/>
  <c r="DH126"/>
  <c r="DI126" s="1"/>
  <c r="DJ126" s="1"/>
  <c r="DG126"/>
  <c r="HL123"/>
  <c r="HM123" s="1"/>
  <c r="HN123" s="1"/>
  <c r="HK123"/>
  <c r="DH109"/>
  <c r="DI109" s="1"/>
  <c r="DJ109" s="1"/>
  <c r="DG109"/>
  <c r="D502" i="21"/>
  <c r="I502"/>
  <c r="F502"/>
  <c r="M501"/>
  <c r="C502"/>
  <c r="J502"/>
  <c r="G502"/>
  <c r="B504"/>
  <c r="G503" s="1"/>
  <c r="K502"/>
  <c r="E502"/>
  <c r="DG19" i="10"/>
  <c r="DH19"/>
  <c r="DI19" s="1"/>
  <c r="DJ19" s="1"/>
  <c r="DH18"/>
  <c r="DI18" s="1"/>
  <c r="DJ18" s="1"/>
  <c r="DG18"/>
  <c r="GM71"/>
  <c r="GN71"/>
  <c r="GO71" s="1"/>
  <c r="GP71" s="1"/>
  <c r="DH63"/>
  <c r="DI63" s="1"/>
  <c r="DJ63" s="1"/>
  <c r="DG63"/>
  <c r="DG17"/>
  <c r="DH17"/>
  <c r="DI17" s="1"/>
  <c r="DJ17" s="1"/>
  <c r="DH72"/>
  <c r="DI72" s="1"/>
  <c r="DJ72" s="1"/>
  <c r="DG72"/>
  <c r="DT15"/>
  <c r="DU15" s="1"/>
  <c r="DV15" s="1"/>
  <c r="DS15"/>
  <c r="DG59"/>
  <c r="DH59"/>
  <c r="DI59" s="1"/>
  <c r="DJ59" s="1"/>
  <c r="DH61"/>
  <c r="DI61" s="1"/>
  <c r="DJ61" s="1"/>
  <c r="DG61"/>
  <c r="GI37"/>
  <c r="GJ37"/>
  <c r="GK37" s="1"/>
  <c r="GL37" s="1"/>
  <c r="DG20"/>
  <c r="DH20"/>
  <c r="DI20" s="1"/>
  <c r="DJ20" s="1"/>
  <c r="DH94"/>
  <c r="DI94" s="1"/>
  <c r="DJ94" s="1"/>
  <c r="DG94"/>
  <c r="DG43"/>
  <c r="DH43"/>
  <c r="DI43" s="1"/>
  <c r="DJ43" s="1"/>
  <c r="CV149"/>
  <c r="CV150" s="1"/>
  <c r="FM24" i="21"/>
  <c r="FN23"/>
  <c r="BA35" i="10"/>
  <c r="AZ36"/>
  <c r="BA36"/>
  <c r="AY38"/>
  <c r="BB38" s="1"/>
  <c r="BM6"/>
  <c r="BE6"/>
  <c r="BO6"/>
  <c r="FW65" i="21"/>
  <c r="FZ17" s="1"/>
  <c r="FW63"/>
  <c r="FW62"/>
  <c r="FW60"/>
  <c r="FW64"/>
  <c r="G97"/>
  <c r="I97" s="1"/>
  <c r="E99"/>
  <c r="F98"/>
  <c r="D101"/>
  <c r="H502"/>
  <c r="DL126" i="10" l="1"/>
  <c r="DM126" s="1"/>
  <c r="DN126" s="1"/>
  <c r="DK126"/>
  <c r="DL109"/>
  <c r="DM109" s="1"/>
  <c r="DN109" s="1"/>
  <c r="DK109"/>
  <c r="HP123"/>
  <c r="HQ123" s="1"/>
  <c r="HR123" s="1"/>
  <c r="HO123"/>
  <c r="DK127"/>
  <c r="DL127"/>
  <c r="DM127" s="1"/>
  <c r="DN127" s="1"/>
  <c r="L503" i="21"/>
  <c r="C503"/>
  <c r="F503"/>
  <c r="J503"/>
  <c r="I503"/>
  <c r="B505"/>
  <c r="C504" s="1"/>
  <c r="E503"/>
  <c r="K503"/>
  <c r="D503"/>
  <c r="M502"/>
  <c r="DL20" i="10"/>
  <c r="DM20" s="1"/>
  <c r="DN20" s="1"/>
  <c r="DK20"/>
  <c r="DL43"/>
  <c r="DM43" s="1"/>
  <c r="DN43" s="1"/>
  <c r="DK43"/>
  <c r="DL61"/>
  <c r="DM61" s="1"/>
  <c r="DN61" s="1"/>
  <c r="DK61"/>
  <c r="DX15"/>
  <c r="DY15" s="1"/>
  <c r="DZ15" s="1"/>
  <c r="DW15"/>
  <c r="DK72"/>
  <c r="DL72"/>
  <c r="DM72" s="1"/>
  <c r="DN72" s="1"/>
  <c r="DL63"/>
  <c r="DM63" s="1"/>
  <c r="DN63" s="1"/>
  <c r="DK63"/>
  <c r="DL18"/>
  <c r="DM18" s="1"/>
  <c r="DN18" s="1"/>
  <c r="DK18"/>
  <c r="DK19"/>
  <c r="DL19"/>
  <c r="DM19" s="1"/>
  <c r="DN19" s="1"/>
  <c r="DL94"/>
  <c r="DM94" s="1"/>
  <c r="DN94" s="1"/>
  <c r="DK94"/>
  <c r="GM37"/>
  <c r="GN37"/>
  <c r="GO37" s="1"/>
  <c r="GP37" s="1"/>
  <c r="DK59"/>
  <c r="DL59"/>
  <c r="DM59" s="1"/>
  <c r="DN59" s="1"/>
  <c r="DL17"/>
  <c r="DM17" s="1"/>
  <c r="DN17" s="1"/>
  <c r="DK17"/>
  <c r="GQ71"/>
  <c r="GR71"/>
  <c r="GS71" s="1"/>
  <c r="GT71" s="1"/>
  <c r="CY149"/>
  <c r="FM25" i="21"/>
  <c r="FN24"/>
  <c r="BN7" i="10"/>
  <c r="BQ6"/>
  <c r="BP6"/>
  <c r="FW71" i="21"/>
  <c r="FW67"/>
  <c r="GB17"/>
  <c r="GA17"/>
  <c r="FW72"/>
  <c r="FW77" s="1"/>
  <c r="FW69"/>
  <c r="FW70"/>
  <c r="FW68"/>
  <c r="G98"/>
  <c r="I98" s="1"/>
  <c r="E100"/>
  <c r="F99"/>
  <c r="D102"/>
  <c r="H503"/>
  <c r="DP127" i="10" l="1"/>
  <c r="DQ127" s="1"/>
  <c r="DR127" s="1"/>
  <c r="DO127"/>
  <c r="HS123"/>
  <c r="HT123"/>
  <c r="HU123" s="1"/>
  <c r="HV123" s="1"/>
  <c r="DP109"/>
  <c r="DQ109" s="1"/>
  <c r="DR109" s="1"/>
  <c r="DO109"/>
  <c r="DP126"/>
  <c r="DQ126" s="1"/>
  <c r="DR126" s="1"/>
  <c r="DO126"/>
  <c r="I504" i="21"/>
  <c r="K504"/>
  <c r="J504"/>
  <c r="D504"/>
  <c r="L504"/>
  <c r="B506"/>
  <c r="D505" s="1"/>
  <c r="M503"/>
  <c r="E504"/>
  <c r="F504"/>
  <c r="G504"/>
  <c r="DP18" i="10"/>
  <c r="DQ18" s="1"/>
  <c r="DR18" s="1"/>
  <c r="DO18"/>
  <c r="DO61"/>
  <c r="DP61"/>
  <c r="DQ61" s="1"/>
  <c r="DR61" s="1"/>
  <c r="GU71"/>
  <c r="GV71"/>
  <c r="GW71" s="1"/>
  <c r="GX71" s="1"/>
  <c r="DP72"/>
  <c r="DQ72" s="1"/>
  <c r="DR72" s="1"/>
  <c r="DO72"/>
  <c r="DO59"/>
  <c r="DP59"/>
  <c r="DQ59" s="1"/>
  <c r="DR59" s="1"/>
  <c r="DO94"/>
  <c r="DP94"/>
  <c r="DQ94" s="1"/>
  <c r="DR94" s="1"/>
  <c r="DP19"/>
  <c r="DQ19" s="1"/>
  <c r="DR19" s="1"/>
  <c r="DO19"/>
  <c r="DO20"/>
  <c r="DP20"/>
  <c r="DQ20" s="1"/>
  <c r="DR20" s="1"/>
  <c r="DP17"/>
  <c r="DQ17" s="1"/>
  <c r="DR17" s="1"/>
  <c r="DO17"/>
  <c r="GR37"/>
  <c r="GS37" s="1"/>
  <c r="GT37" s="1"/>
  <c r="GQ37"/>
  <c r="DO63"/>
  <c r="DP63"/>
  <c r="DQ63" s="1"/>
  <c r="DR63" s="1"/>
  <c r="EB15"/>
  <c r="EC15" s="1"/>
  <c r="ED15" s="1"/>
  <c r="EA15"/>
  <c r="DP43"/>
  <c r="DQ43" s="1"/>
  <c r="DR43" s="1"/>
  <c r="DO43"/>
  <c r="CZ149"/>
  <c r="CZ150" s="1"/>
  <c r="FM26" i="21"/>
  <c r="FN25"/>
  <c r="AZ37" i="10"/>
  <c r="BA37"/>
  <c r="AY39"/>
  <c r="BB39" s="1"/>
  <c r="BM7"/>
  <c r="BE7"/>
  <c r="BO7"/>
  <c r="FW73" i="21"/>
  <c r="FW76"/>
  <c r="FW75"/>
  <c r="FW78"/>
  <c r="FZ18" s="1"/>
  <c r="FW74"/>
  <c r="G99"/>
  <c r="I99" s="1"/>
  <c r="E101"/>
  <c r="F100"/>
  <c r="D103"/>
  <c r="H504"/>
  <c r="HX123" i="10" l="1"/>
  <c r="HY123" s="1"/>
  <c r="HZ123" s="1"/>
  <c r="HW123"/>
  <c r="DT109"/>
  <c r="DU109" s="1"/>
  <c r="DV109" s="1"/>
  <c r="DS109"/>
  <c r="DT126"/>
  <c r="DU126" s="1"/>
  <c r="DV126" s="1"/>
  <c r="DS126"/>
  <c r="DT127"/>
  <c r="DU127" s="1"/>
  <c r="DV127" s="1"/>
  <c r="DS127"/>
  <c r="I505" i="21"/>
  <c r="J505"/>
  <c r="C505"/>
  <c r="B507"/>
  <c r="E506" s="1"/>
  <c r="E505"/>
  <c r="F505"/>
  <c r="G505"/>
  <c r="K505"/>
  <c r="L505"/>
  <c r="M504"/>
  <c r="GU37" i="10"/>
  <c r="GV37"/>
  <c r="GW37" s="1"/>
  <c r="GX37" s="1"/>
  <c r="EF15"/>
  <c r="EG15" s="1"/>
  <c r="EH15" s="1"/>
  <c r="EE15"/>
  <c r="DT17"/>
  <c r="DU17" s="1"/>
  <c r="DV17" s="1"/>
  <c r="DS17"/>
  <c r="DS94"/>
  <c r="DT94"/>
  <c r="DU94" s="1"/>
  <c r="DV94" s="1"/>
  <c r="DT72"/>
  <c r="DU72" s="1"/>
  <c r="DV72" s="1"/>
  <c r="DS72"/>
  <c r="GZ71"/>
  <c r="HA71" s="1"/>
  <c r="HB71" s="1"/>
  <c r="GY71"/>
  <c r="DT19"/>
  <c r="DU19" s="1"/>
  <c r="DV19" s="1"/>
  <c r="DS19"/>
  <c r="DS61"/>
  <c r="DT61"/>
  <c r="DU61" s="1"/>
  <c r="DV61" s="1"/>
  <c r="DS43"/>
  <c r="DT43"/>
  <c r="DU43" s="1"/>
  <c r="DV43" s="1"/>
  <c r="DS63"/>
  <c r="DT63"/>
  <c r="DU63" s="1"/>
  <c r="DV63" s="1"/>
  <c r="DS20"/>
  <c r="DT20"/>
  <c r="DU20" s="1"/>
  <c r="DV20" s="1"/>
  <c r="DT59"/>
  <c r="DU59" s="1"/>
  <c r="DV59" s="1"/>
  <c r="DS59"/>
  <c r="DT18"/>
  <c r="DU18" s="1"/>
  <c r="DV18" s="1"/>
  <c r="DS18"/>
  <c r="DC149"/>
  <c r="FM27" i="21"/>
  <c r="FN26"/>
  <c r="BN8" i="10"/>
  <c r="BQ7"/>
  <c r="BP7"/>
  <c r="FW83" i="21"/>
  <c r="FW82"/>
  <c r="FW80"/>
  <c r="FW84"/>
  <c r="GA18"/>
  <c r="GB18"/>
  <c r="FW85"/>
  <c r="FW90" s="1"/>
  <c r="FW81"/>
  <c r="G100"/>
  <c r="I100" s="1"/>
  <c r="E102"/>
  <c r="F101"/>
  <c r="D104"/>
  <c r="H505"/>
  <c r="DW126" i="10" l="1"/>
  <c r="DX126"/>
  <c r="DY126" s="1"/>
  <c r="DZ126" s="1"/>
  <c r="DX127"/>
  <c r="DY127" s="1"/>
  <c r="DZ127" s="1"/>
  <c r="DW127"/>
  <c r="DW109"/>
  <c r="DX109"/>
  <c r="DY109" s="1"/>
  <c r="DZ109" s="1"/>
  <c r="IA123"/>
  <c r="IB123"/>
  <c r="K506" i="21"/>
  <c r="D506"/>
  <c r="L506"/>
  <c r="I506"/>
  <c r="F506"/>
  <c r="B508"/>
  <c r="C507" s="1"/>
  <c r="J506"/>
  <c r="G506"/>
  <c r="C506"/>
  <c r="M505"/>
  <c r="DW63" i="10"/>
  <c r="DX63"/>
  <c r="DY63" s="1"/>
  <c r="DZ63" s="1"/>
  <c r="DX18"/>
  <c r="DY18" s="1"/>
  <c r="DZ18" s="1"/>
  <c r="DW18"/>
  <c r="DX43"/>
  <c r="DY43" s="1"/>
  <c r="DZ43" s="1"/>
  <c r="DW43"/>
  <c r="DX61"/>
  <c r="DY61" s="1"/>
  <c r="DZ61" s="1"/>
  <c r="DW61"/>
  <c r="HC71"/>
  <c r="HD71"/>
  <c r="HE71" s="1"/>
  <c r="HF71" s="1"/>
  <c r="DX17"/>
  <c r="DY17" s="1"/>
  <c r="DZ17" s="1"/>
  <c r="DW17"/>
  <c r="DW59"/>
  <c r="DX59"/>
  <c r="DY59" s="1"/>
  <c r="DZ59" s="1"/>
  <c r="DX94"/>
  <c r="DY94" s="1"/>
  <c r="DZ94" s="1"/>
  <c r="DW94"/>
  <c r="GZ37"/>
  <c r="HA37" s="1"/>
  <c r="HB37" s="1"/>
  <c r="GY37"/>
  <c r="DX20"/>
  <c r="DY20" s="1"/>
  <c r="DZ20" s="1"/>
  <c r="DW20"/>
  <c r="DX19"/>
  <c r="DY19" s="1"/>
  <c r="DZ19" s="1"/>
  <c r="DW19"/>
  <c r="DX72"/>
  <c r="DY72" s="1"/>
  <c r="DZ72" s="1"/>
  <c r="DW72"/>
  <c r="EI15"/>
  <c r="EJ15"/>
  <c r="EK15" s="1"/>
  <c r="EL15" s="1"/>
  <c r="DD149"/>
  <c r="DD150" s="1"/>
  <c r="FM28" i="21"/>
  <c r="FN27"/>
  <c r="AZ38" i="10"/>
  <c r="BA38"/>
  <c r="AY40"/>
  <c r="BB40" s="1"/>
  <c r="BM8"/>
  <c r="BE8"/>
  <c r="BO8"/>
  <c r="FW91" i="21"/>
  <c r="FZ19" s="1"/>
  <c r="GA19" s="1"/>
  <c r="FW88"/>
  <c r="FW89"/>
  <c r="FW86"/>
  <c r="FW87"/>
  <c r="G101"/>
  <c r="I101" s="1"/>
  <c r="E103"/>
  <c r="F102"/>
  <c r="D105"/>
  <c r="H506"/>
  <c r="EA126" i="10" l="1"/>
  <c r="EB126"/>
  <c r="EC126" s="1"/>
  <c r="ED126" s="1"/>
  <c r="EB127"/>
  <c r="EC127" s="1"/>
  <c r="ED127" s="1"/>
  <c r="EA127"/>
  <c r="EB109"/>
  <c r="EC109" s="1"/>
  <c r="ED109" s="1"/>
  <c r="EA109"/>
  <c r="B509" i="21"/>
  <c r="L508" s="1"/>
  <c r="J507"/>
  <c r="I507"/>
  <c r="F507"/>
  <c r="E507"/>
  <c r="G507"/>
  <c r="K507"/>
  <c r="D507"/>
  <c r="M506"/>
  <c r="L507"/>
  <c r="EA61" i="10"/>
  <c r="EB61"/>
  <c r="EC61" s="1"/>
  <c r="ED61" s="1"/>
  <c r="EA59"/>
  <c r="EB59"/>
  <c r="EC59" s="1"/>
  <c r="ED59" s="1"/>
  <c r="EA63"/>
  <c r="EB63"/>
  <c r="EC63" s="1"/>
  <c r="ED63" s="1"/>
  <c r="EB19"/>
  <c r="EC19" s="1"/>
  <c r="ED19" s="1"/>
  <c r="EA19"/>
  <c r="HD37"/>
  <c r="HE37" s="1"/>
  <c r="HF37" s="1"/>
  <c r="HC37"/>
  <c r="HG71"/>
  <c r="HH71"/>
  <c r="HI71" s="1"/>
  <c r="HJ71" s="1"/>
  <c r="EB18"/>
  <c r="EC18" s="1"/>
  <c r="ED18" s="1"/>
  <c r="EA18"/>
  <c r="EN15"/>
  <c r="EO15" s="1"/>
  <c r="EP15" s="1"/>
  <c r="EM15"/>
  <c r="EB72"/>
  <c r="EC72" s="1"/>
  <c r="ED72" s="1"/>
  <c r="EA72"/>
  <c r="EB20"/>
  <c r="EC20" s="1"/>
  <c r="ED20" s="1"/>
  <c r="EA20"/>
  <c r="EA94"/>
  <c r="EB94"/>
  <c r="EC94" s="1"/>
  <c r="ED94" s="1"/>
  <c r="EA17"/>
  <c r="EB17"/>
  <c r="EC17" s="1"/>
  <c r="ED17" s="1"/>
  <c r="EB43"/>
  <c r="EC43" s="1"/>
  <c r="ED43" s="1"/>
  <c r="EA43"/>
  <c r="DG149"/>
  <c r="FM29" i="21"/>
  <c r="FN28"/>
  <c r="BN9" i="10"/>
  <c r="BQ8"/>
  <c r="BP8"/>
  <c r="FW98" i="21"/>
  <c r="FW103" s="1"/>
  <c r="FW93"/>
  <c r="FW97"/>
  <c r="FW94"/>
  <c r="FW95"/>
  <c r="GB19"/>
  <c r="FW96"/>
  <c r="G102"/>
  <c r="I102" s="1"/>
  <c r="D106"/>
  <c r="E104"/>
  <c r="F103"/>
  <c r="H507"/>
  <c r="EF126" i="10" l="1"/>
  <c r="EG126" s="1"/>
  <c r="EH126" s="1"/>
  <c r="EE126"/>
  <c r="EF127"/>
  <c r="EG127" s="1"/>
  <c r="EH127" s="1"/>
  <c r="EE127"/>
  <c r="EF109"/>
  <c r="EG109" s="1"/>
  <c r="EH109" s="1"/>
  <c r="EE109"/>
  <c r="I508" i="21"/>
  <c r="D508"/>
  <c r="F508"/>
  <c r="E508"/>
  <c r="J508"/>
  <c r="K508"/>
  <c r="B510"/>
  <c r="G509" s="1"/>
  <c r="C508"/>
  <c r="G508"/>
  <c r="M507"/>
  <c r="EE94" i="10"/>
  <c r="EF94"/>
  <c r="EG94" s="1"/>
  <c r="EH94" s="1"/>
  <c r="ER15"/>
  <c r="ES15" s="1"/>
  <c r="ET15" s="1"/>
  <c r="EQ15"/>
  <c r="EF43"/>
  <c r="EG43" s="1"/>
  <c r="EH43" s="1"/>
  <c r="EE43"/>
  <c r="EE63"/>
  <c r="EF63"/>
  <c r="EG63" s="1"/>
  <c r="EH63" s="1"/>
  <c r="EE20"/>
  <c r="EF20"/>
  <c r="EG20" s="1"/>
  <c r="EH20" s="1"/>
  <c r="EF19"/>
  <c r="EG19" s="1"/>
  <c r="EH19" s="1"/>
  <c r="EE19"/>
  <c r="EF17"/>
  <c r="EG17" s="1"/>
  <c r="EH17" s="1"/>
  <c r="EE17"/>
  <c r="EE72"/>
  <c r="EF72"/>
  <c r="EG72" s="1"/>
  <c r="EH72" s="1"/>
  <c r="EF18"/>
  <c r="EG18" s="1"/>
  <c r="EH18" s="1"/>
  <c r="EE18"/>
  <c r="HH37"/>
  <c r="HI37" s="1"/>
  <c r="HJ37" s="1"/>
  <c r="HG37"/>
  <c r="HL71"/>
  <c r="HM71" s="1"/>
  <c r="HN71" s="1"/>
  <c r="HK71"/>
  <c r="EF59"/>
  <c r="EG59" s="1"/>
  <c r="EH59" s="1"/>
  <c r="EE59"/>
  <c r="EF61"/>
  <c r="EG61" s="1"/>
  <c r="EH61" s="1"/>
  <c r="EE61"/>
  <c r="DH149"/>
  <c r="DH150" s="1"/>
  <c r="FM30" i="21"/>
  <c r="FN29"/>
  <c r="AZ39" i="10"/>
  <c r="BA39"/>
  <c r="AY41"/>
  <c r="BB41" s="1"/>
  <c r="BM9"/>
  <c r="BE9"/>
  <c r="BO9"/>
  <c r="FW101" i="21"/>
  <c r="FW102"/>
  <c r="FW104"/>
  <c r="FZ20" s="1"/>
  <c r="GA20" s="1"/>
  <c r="FW100"/>
  <c r="FW99"/>
  <c r="G103"/>
  <c r="I103" s="1"/>
  <c r="E105"/>
  <c r="F104"/>
  <c r="D107"/>
  <c r="H508"/>
  <c r="EJ109" i="10" l="1"/>
  <c r="EK109" s="1"/>
  <c r="EL109" s="1"/>
  <c r="EI109"/>
  <c r="EJ127"/>
  <c r="EK127" s="1"/>
  <c r="EL127" s="1"/>
  <c r="EI127"/>
  <c r="K509" i="21"/>
  <c r="EI126" i="10"/>
  <c r="EJ126"/>
  <c r="EK126" s="1"/>
  <c r="EL126" s="1"/>
  <c r="L509" i="21"/>
  <c r="B511"/>
  <c r="G510" s="1"/>
  <c r="D509"/>
  <c r="E509"/>
  <c r="F509"/>
  <c r="C509"/>
  <c r="J509"/>
  <c r="I509"/>
  <c r="M508"/>
  <c r="EJ63" i="10"/>
  <c r="EK63" s="1"/>
  <c r="EL63" s="1"/>
  <c r="EI63"/>
  <c r="EJ59"/>
  <c r="EK59" s="1"/>
  <c r="EL59" s="1"/>
  <c r="EI59"/>
  <c r="EI18"/>
  <c r="EJ18"/>
  <c r="EK18" s="1"/>
  <c r="EL18" s="1"/>
  <c r="EI17"/>
  <c r="EJ17"/>
  <c r="EK17" s="1"/>
  <c r="EL17" s="1"/>
  <c r="EV15"/>
  <c r="EW15" s="1"/>
  <c r="EX15" s="1"/>
  <c r="EU15"/>
  <c r="EJ61"/>
  <c r="EK61" s="1"/>
  <c r="EL61" s="1"/>
  <c r="EI61"/>
  <c r="EJ20"/>
  <c r="EK20" s="1"/>
  <c r="EL20" s="1"/>
  <c r="EI20"/>
  <c r="EJ72"/>
  <c r="EK72" s="1"/>
  <c r="EL72" s="1"/>
  <c r="EI72"/>
  <c r="EI94"/>
  <c r="EJ94"/>
  <c r="EK94" s="1"/>
  <c r="EL94" s="1"/>
  <c r="HO71"/>
  <c r="HP71"/>
  <c r="HQ71" s="1"/>
  <c r="HR71" s="1"/>
  <c r="HL37"/>
  <c r="HM37" s="1"/>
  <c r="HN37" s="1"/>
  <c r="HK37"/>
  <c r="EI19"/>
  <c r="EJ19"/>
  <c r="EK19" s="1"/>
  <c r="EL19" s="1"/>
  <c r="EJ43"/>
  <c r="EK43" s="1"/>
  <c r="EL43" s="1"/>
  <c r="EI43"/>
  <c r="DK149"/>
  <c r="FM31" i="21"/>
  <c r="FN30"/>
  <c r="BN10" i="10"/>
  <c r="BQ9"/>
  <c r="BP9"/>
  <c r="FW111" i="21"/>
  <c r="FW116" s="1"/>
  <c r="FW110"/>
  <c r="FW106"/>
  <c r="GB20"/>
  <c r="FW107"/>
  <c r="FW109"/>
  <c r="FW108"/>
  <c r="G104"/>
  <c r="I104" s="1"/>
  <c r="D108"/>
  <c r="E106"/>
  <c r="F105"/>
  <c r="H509"/>
  <c r="L510" l="1"/>
  <c r="EM127" i="10"/>
  <c r="EN127"/>
  <c r="EO127" s="1"/>
  <c r="EP127" s="1"/>
  <c r="EM126"/>
  <c r="EN126"/>
  <c r="EO126" s="1"/>
  <c r="EP126" s="1"/>
  <c r="EN109"/>
  <c r="EO109" s="1"/>
  <c r="EP109" s="1"/>
  <c r="EM109"/>
  <c r="B512" i="21"/>
  <c r="C511" s="1"/>
  <c r="J510"/>
  <c r="K510"/>
  <c r="C510"/>
  <c r="I510"/>
  <c r="E510"/>
  <c r="D510"/>
  <c r="F510"/>
  <c r="M509"/>
  <c r="EN19" i="10"/>
  <c r="EO19" s="1"/>
  <c r="EP19" s="1"/>
  <c r="EM19"/>
  <c r="HT71"/>
  <c r="HU71" s="1"/>
  <c r="HV71" s="1"/>
  <c r="HS71"/>
  <c r="EN18"/>
  <c r="EO18" s="1"/>
  <c r="EP18" s="1"/>
  <c r="EM18"/>
  <c r="EN20"/>
  <c r="EO20" s="1"/>
  <c r="EP20" s="1"/>
  <c r="EM20"/>
  <c r="EZ15"/>
  <c r="FA15" s="1"/>
  <c r="FB15" s="1"/>
  <c r="EY15"/>
  <c r="EM59"/>
  <c r="EN59"/>
  <c r="EO59" s="1"/>
  <c r="EP59" s="1"/>
  <c r="EM94"/>
  <c r="EN94"/>
  <c r="EO94" s="1"/>
  <c r="EP94" s="1"/>
  <c r="EN72"/>
  <c r="EO72" s="1"/>
  <c r="EP72" s="1"/>
  <c r="EM72"/>
  <c r="EN17"/>
  <c r="EO17" s="1"/>
  <c r="EP17" s="1"/>
  <c r="EM17"/>
  <c r="EN43"/>
  <c r="EO43" s="1"/>
  <c r="EP43" s="1"/>
  <c r="EM43"/>
  <c r="HP37"/>
  <c r="HQ37" s="1"/>
  <c r="HR37" s="1"/>
  <c r="HO37"/>
  <c r="EM61"/>
  <c r="EN61"/>
  <c r="EO61" s="1"/>
  <c r="EP61" s="1"/>
  <c r="EM63"/>
  <c r="EN63"/>
  <c r="EO63" s="1"/>
  <c r="EP63" s="1"/>
  <c r="DL149"/>
  <c r="DL150" s="1"/>
  <c r="FM32" i="21"/>
  <c r="FN31"/>
  <c r="AZ40" i="10"/>
  <c r="BA40"/>
  <c r="AY42"/>
  <c r="BB42" s="1"/>
  <c r="BM10"/>
  <c r="BE10"/>
  <c r="BO10"/>
  <c r="FW115" i="21"/>
  <c r="FW112"/>
  <c r="FW114"/>
  <c r="FW113"/>
  <c r="FW117"/>
  <c r="FZ21" s="1"/>
  <c r="GB21" s="1"/>
  <c r="G105"/>
  <c r="I105" s="1"/>
  <c r="E107"/>
  <c r="F106"/>
  <c r="D109"/>
  <c r="H510"/>
  <c r="EQ126" i="10" l="1"/>
  <c r="ER126"/>
  <c r="ES126" s="1"/>
  <c r="ET126" s="1"/>
  <c r="ER127"/>
  <c r="ES127" s="1"/>
  <c r="ET127" s="1"/>
  <c r="EQ127"/>
  <c r="ER109"/>
  <c r="ES109" s="1"/>
  <c r="ET109" s="1"/>
  <c r="EQ109"/>
  <c r="D511" i="21"/>
  <c r="J511"/>
  <c r="E511"/>
  <c r="I511"/>
  <c r="B513"/>
  <c r="L512" s="1"/>
  <c r="F511"/>
  <c r="G511"/>
  <c r="K511"/>
  <c r="L511"/>
  <c r="M510"/>
  <c r="EQ94" i="10"/>
  <c r="ER94"/>
  <c r="ES94" s="1"/>
  <c r="ET94" s="1"/>
  <c r="ER20"/>
  <c r="ES20" s="1"/>
  <c r="ET20" s="1"/>
  <c r="EQ20"/>
  <c r="ER18"/>
  <c r="ES18" s="1"/>
  <c r="ET18" s="1"/>
  <c r="EQ18"/>
  <c r="ER19"/>
  <c r="ES19" s="1"/>
  <c r="ET19" s="1"/>
  <c r="EQ19"/>
  <c r="HT37"/>
  <c r="HU37" s="1"/>
  <c r="HV37" s="1"/>
  <c r="HS37"/>
  <c r="ER17"/>
  <c r="ES17" s="1"/>
  <c r="ET17" s="1"/>
  <c r="EQ17"/>
  <c r="ER63"/>
  <c r="ES63" s="1"/>
  <c r="ET63" s="1"/>
  <c r="EQ63"/>
  <c r="ER61"/>
  <c r="ES61" s="1"/>
  <c r="ET61" s="1"/>
  <c r="EQ61"/>
  <c r="ER59"/>
  <c r="ES59" s="1"/>
  <c r="ET59" s="1"/>
  <c r="EQ59"/>
  <c r="FD15"/>
  <c r="FE15" s="1"/>
  <c r="FF15" s="1"/>
  <c r="FC15"/>
  <c r="HW71"/>
  <c r="HX71"/>
  <c r="HY71" s="1"/>
  <c r="HZ71" s="1"/>
  <c r="ER43"/>
  <c r="ES43" s="1"/>
  <c r="ET43" s="1"/>
  <c r="EQ43"/>
  <c r="EQ72"/>
  <c r="ER72"/>
  <c r="ES72" s="1"/>
  <c r="ET72" s="1"/>
  <c r="DO149"/>
  <c r="FM33" i="21"/>
  <c r="FN32"/>
  <c r="BN11" i="10"/>
  <c r="BQ10"/>
  <c r="BP10"/>
  <c r="FW123" i="21"/>
  <c r="FW120"/>
  <c r="GA21"/>
  <c r="FW124"/>
  <c r="FW126" s="1"/>
  <c r="FW119"/>
  <c r="FW122"/>
  <c r="FW121"/>
  <c r="G106"/>
  <c r="I106" s="1"/>
  <c r="D110"/>
  <c r="E108"/>
  <c r="F107"/>
  <c r="H511"/>
  <c r="EV109" i="10" l="1"/>
  <c r="EW109" s="1"/>
  <c r="EX109" s="1"/>
  <c r="EU109"/>
  <c r="EU126"/>
  <c r="EV126"/>
  <c r="EW126" s="1"/>
  <c r="EX126" s="1"/>
  <c r="EU127"/>
  <c r="EV127"/>
  <c r="EW127" s="1"/>
  <c r="EX127" s="1"/>
  <c r="J512" i="21"/>
  <c r="B514"/>
  <c r="I513" s="1"/>
  <c r="D512"/>
  <c r="E512"/>
  <c r="I512"/>
  <c r="G512"/>
  <c r="C512"/>
  <c r="F512"/>
  <c r="K512"/>
  <c r="M511"/>
  <c r="EV43" i="10"/>
  <c r="EW43" s="1"/>
  <c r="EX43" s="1"/>
  <c r="EU43"/>
  <c r="EU61"/>
  <c r="EV61"/>
  <c r="EW61" s="1"/>
  <c r="EX61" s="1"/>
  <c r="HW37"/>
  <c r="HX37"/>
  <c r="HY37" s="1"/>
  <c r="HZ37" s="1"/>
  <c r="EV18"/>
  <c r="EW18" s="1"/>
  <c r="EX18" s="1"/>
  <c r="EU18"/>
  <c r="IA71"/>
  <c r="IB71"/>
  <c r="FH15"/>
  <c r="FI15" s="1"/>
  <c r="FJ15" s="1"/>
  <c r="FG15"/>
  <c r="EU94"/>
  <c r="EV94"/>
  <c r="EW94" s="1"/>
  <c r="EX94" s="1"/>
  <c r="EU72"/>
  <c r="EV72"/>
  <c r="EW72" s="1"/>
  <c r="EX72" s="1"/>
  <c r="EU59"/>
  <c r="EV59"/>
  <c r="EW59" s="1"/>
  <c r="EX59" s="1"/>
  <c r="EU63"/>
  <c r="EV63"/>
  <c r="EW63" s="1"/>
  <c r="EX63" s="1"/>
  <c r="EV17"/>
  <c r="EW17" s="1"/>
  <c r="EX17" s="1"/>
  <c r="EU17"/>
  <c r="EV19"/>
  <c r="EW19" s="1"/>
  <c r="EX19" s="1"/>
  <c r="EU19"/>
  <c r="EV20"/>
  <c r="EW20" s="1"/>
  <c r="EX20" s="1"/>
  <c r="EU20"/>
  <c r="DP149"/>
  <c r="DP150" s="1"/>
  <c r="FM34" i="21"/>
  <c r="FN33"/>
  <c r="AZ41" i="10"/>
  <c r="BA41"/>
  <c r="AY43"/>
  <c r="BB43" s="1"/>
  <c r="BM11"/>
  <c r="BE11"/>
  <c r="FW130" i="21"/>
  <c r="FZ22" s="1"/>
  <c r="GB22" s="1"/>
  <c r="BO11" i="10"/>
  <c r="FW125" i="21"/>
  <c r="FW129"/>
  <c r="FW128"/>
  <c r="FW127"/>
  <c r="G107"/>
  <c r="I107" s="1"/>
  <c r="E109"/>
  <c r="F108"/>
  <c r="D111"/>
  <c r="H512"/>
  <c r="EY126" i="10" l="1"/>
  <c r="EZ126"/>
  <c r="FA126" s="1"/>
  <c r="FB126" s="1"/>
  <c r="EZ127"/>
  <c r="FA127" s="1"/>
  <c r="FB127" s="1"/>
  <c r="EY127"/>
  <c r="EZ109"/>
  <c r="FA109" s="1"/>
  <c r="FB109" s="1"/>
  <c r="EY109"/>
  <c r="F513" i="21"/>
  <c r="L513"/>
  <c r="B515"/>
  <c r="E514" s="1"/>
  <c r="E513"/>
  <c r="D513"/>
  <c r="J513"/>
  <c r="C513"/>
  <c r="K513"/>
  <c r="G513"/>
  <c r="M512"/>
  <c r="EY59" i="10"/>
  <c r="EZ59"/>
  <c r="FA59" s="1"/>
  <c r="FB59" s="1"/>
  <c r="EY94"/>
  <c r="EZ94"/>
  <c r="FA94" s="1"/>
  <c r="FB94" s="1"/>
  <c r="EZ61"/>
  <c r="FA61" s="1"/>
  <c r="FB61" s="1"/>
  <c r="EY61"/>
  <c r="EY20"/>
  <c r="EZ20"/>
  <c r="FA20" s="1"/>
  <c r="FB20" s="1"/>
  <c r="EY17"/>
  <c r="EZ17"/>
  <c r="FA17" s="1"/>
  <c r="FB17" s="1"/>
  <c r="FK15"/>
  <c r="FL15"/>
  <c r="FM15" s="1"/>
  <c r="FN15" s="1"/>
  <c r="EZ18"/>
  <c r="FA18" s="1"/>
  <c r="FB18" s="1"/>
  <c r="EY18"/>
  <c r="EY63"/>
  <c r="EZ63"/>
  <c r="FA63" s="1"/>
  <c r="FB63" s="1"/>
  <c r="EY72"/>
  <c r="EZ72"/>
  <c r="FA72" s="1"/>
  <c r="FB72" s="1"/>
  <c r="IB37"/>
  <c r="IA37"/>
  <c r="EY19"/>
  <c r="EZ19"/>
  <c r="FA19" s="1"/>
  <c r="FB19" s="1"/>
  <c r="EY43"/>
  <c r="EZ43"/>
  <c r="FA43" s="1"/>
  <c r="FB43" s="1"/>
  <c r="DS149"/>
  <c r="FM35" i="21"/>
  <c r="FN35" s="1"/>
  <c r="FN34"/>
  <c r="FW137"/>
  <c r="FW142" s="1"/>
  <c r="FW132"/>
  <c r="FW135"/>
  <c r="GA22"/>
  <c r="FW133"/>
  <c r="FW134"/>
  <c r="FW136"/>
  <c r="BN12" i="10"/>
  <c r="BP11"/>
  <c r="BQ11"/>
  <c r="G108" i="21"/>
  <c r="I108" s="1"/>
  <c r="E110"/>
  <c r="F109"/>
  <c r="D112"/>
  <c r="H513"/>
  <c r="FD127" i="10" l="1"/>
  <c r="FE127" s="1"/>
  <c r="FF127" s="1"/>
  <c r="FC127"/>
  <c r="FD126"/>
  <c r="FE126" s="1"/>
  <c r="FF126" s="1"/>
  <c r="FC126"/>
  <c r="FD109"/>
  <c r="FE109" s="1"/>
  <c r="FF109" s="1"/>
  <c r="FC109"/>
  <c r="L514" i="21"/>
  <c r="I514"/>
  <c r="F514"/>
  <c r="G514"/>
  <c r="B516"/>
  <c r="J515" s="1"/>
  <c r="C514"/>
  <c r="K514"/>
  <c r="D514"/>
  <c r="J514"/>
  <c r="M513"/>
  <c r="FD72" i="10"/>
  <c r="FE72" s="1"/>
  <c r="FF72" s="1"/>
  <c r="FC72"/>
  <c r="FC19"/>
  <c r="FD19"/>
  <c r="FE19" s="1"/>
  <c r="FF19" s="1"/>
  <c r="FC17"/>
  <c r="FD17"/>
  <c r="FE17" s="1"/>
  <c r="FF17" s="1"/>
  <c r="FD43"/>
  <c r="FE43" s="1"/>
  <c r="FF43" s="1"/>
  <c r="FC43"/>
  <c r="FC61"/>
  <c r="FD61"/>
  <c r="FE61" s="1"/>
  <c r="FF61" s="1"/>
  <c r="FC63"/>
  <c r="FD63"/>
  <c r="FE63" s="1"/>
  <c r="FF63" s="1"/>
  <c r="FO15"/>
  <c r="FP15"/>
  <c r="FQ15" s="1"/>
  <c r="FR15" s="1"/>
  <c r="FD20"/>
  <c r="FE20" s="1"/>
  <c r="FF20" s="1"/>
  <c r="FC20"/>
  <c r="FD94"/>
  <c r="FE94" s="1"/>
  <c r="FF94" s="1"/>
  <c r="FC94"/>
  <c r="FC59"/>
  <c r="FD59"/>
  <c r="FE59" s="1"/>
  <c r="FF59" s="1"/>
  <c r="FD18"/>
  <c r="FE18" s="1"/>
  <c r="FF18" s="1"/>
  <c r="FC18"/>
  <c r="DT149"/>
  <c r="DT150" s="1"/>
  <c r="AZ42"/>
  <c r="BA42"/>
  <c r="AY44"/>
  <c r="BB44" s="1"/>
  <c r="BM12"/>
  <c r="BE12"/>
  <c r="FW141" i="21"/>
  <c r="FW140"/>
  <c r="FW139"/>
  <c r="FW138"/>
  <c r="FW143"/>
  <c r="FZ23" s="1"/>
  <c r="GA23" s="1"/>
  <c r="BO12" i="10"/>
  <c r="G109" i="21"/>
  <c r="I109" s="1"/>
  <c r="D113"/>
  <c r="E111"/>
  <c r="F110"/>
  <c r="H514"/>
  <c r="FH109" i="10" l="1"/>
  <c r="FI109" s="1"/>
  <c r="FJ109" s="1"/>
  <c r="FG109"/>
  <c r="FH127"/>
  <c r="FI127" s="1"/>
  <c r="FJ127" s="1"/>
  <c r="FG127"/>
  <c r="FH126"/>
  <c r="FI126" s="1"/>
  <c r="FJ126" s="1"/>
  <c r="FG126"/>
  <c r="D515" i="21"/>
  <c r="F515"/>
  <c r="K515"/>
  <c r="C515"/>
  <c r="L515"/>
  <c r="I515"/>
  <c r="B517"/>
  <c r="D516" s="1"/>
  <c r="E515"/>
  <c r="G515"/>
  <c r="M514"/>
  <c r="FG43" i="10"/>
  <c r="FH43"/>
  <c r="FI43" s="1"/>
  <c r="FJ43" s="1"/>
  <c r="FG18"/>
  <c r="FH18"/>
  <c r="FI18" s="1"/>
  <c r="FJ18" s="1"/>
  <c r="FH94"/>
  <c r="FI94" s="1"/>
  <c r="FJ94" s="1"/>
  <c r="FG94"/>
  <c r="FT15"/>
  <c r="FU15" s="1"/>
  <c r="FV15" s="1"/>
  <c r="FS15"/>
  <c r="FG63"/>
  <c r="FH63"/>
  <c r="FI63" s="1"/>
  <c r="FJ63" s="1"/>
  <c r="FG19"/>
  <c r="FH19"/>
  <c r="FI19" s="1"/>
  <c r="FJ19" s="1"/>
  <c r="FG59"/>
  <c r="FH59"/>
  <c r="FI59" s="1"/>
  <c r="FJ59" s="1"/>
  <c r="FH17"/>
  <c r="FI17" s="1"/>
  <c r="FJ17" s="1"/>
  <c r="FG17"/>
  <c r="FH20"/>
  <c r="FI20" s="1"/>
  <c r="FJ20" s="1"/>
  <c r="FG20"/>
  <c r="FH61"/>
  <c r="FI61" s="1"/>
  <c r="FJ61" s="1"/>
  <c r="FG61"/>
  <c r="FH72"/>
  <c r="FI72" s="1"/>
  <c r="FJ72" s="1"/>
  <c r="FG72"/>
  <c r="DW149"/>
  <c r="GB23" i="21"/>
  <c r="FW149"/>
  <c r="FW150"/>
  <c r="FW156" s="1"/>
  <c r="FZ24" s="1"/>
  <c r="FW145"/>
  <c r="FW146"/>
  <c r="FW148"/>
  <c r="FW147"/>
  <c r="BN13" i="10"/>
  <c r="BQ12"/>
  <c r="BP12"/>
  <c r="G110" i="21"/>
  <c r="I110" s="1"/>
  <c r="E112"/>
  <c r="F111"/>
  <c r="H515"/>
  <c r="K516" l="1"/>
  <c r="FK127" i="10"/>
  <c r="FL127"/>
  <c r="FM127" s="1"/>
  <c r="FN127" s="1"/>
  <c r="FK126"/>
  <c r="FL126"/>
  <c r="FM126" s="1"/>
  <c r="FN126" s="1"/>
  <c r="FL109"/>
  <c r="FM109" s="1"/>
  <c r="FN109" s="1"/>
  <c r="FK109"/>
  <c r="G516" i="21"/>
  <c r="F516"/>
  <c r="B518"/>
  <c r="C517" s="1"/>
  <c r="C516"/>
  <c r="M515"/>
  <c r="J516"/>
  <c r="E516"/>
  <c r="L516"/>
  <c r="I516"/>
  <c r="FL72" i="10"/>
  <c r="FM72" s="1"/>
  <c r="FN72" s="1"/>
  <c r="FK72"/>
  <c r="FK17"/>
  <c r="FL17"/>
  <c r="FM17" s="1"/>
  <c r="FN17" s="1"/>
  <c r="FL59"/>
  <c r="FM59" s="1"/>
  <c r="FN59" s="1"/>
  <c r="FK59"/>
  <c r="FK63"/>
  <c r="FL63"/>
  <c r="FM63" s="1"/>
  <c r="FN63" s="1"/>
  <c r="FK20"/>
  <c r="FL20"/>
  <c r="FM20" s="1"/>
  <c r="FN20" s="1"/>
  <c r="FX15"/>
  <c r="FY15" s="1"/>
  <c r="FZ15" s="1"/>
  <c r="FW15"/>
  <c r="FL18"/>
  <c r="FM18" s="1"/>
  <c r="FN18" s="1"/>
  <c r="FK18"/>
  <c r="FK61"/>
  <c r="FL61"/>
  <c r="FM61" s="1"/>
  <c r="FN61" s="1"/>
  <c r="FK43"/>
  <c r="FL43"/>
  <c r="FM43" s="1"/>
  <c r="FN43" s="1"/>
  <c r="FK19"/>
  <c r="FL19"/>
  <c r="FM19" s="1"/>
  <c r="FN19" s="1"/>
  <c r="FK94"/>
  <c r="FL94"/>
  <c r="FM94" s="1"/>
  <c r="FN94" s="1"/>
  <c r="DX149"/>
  <c r="DX150" s="1"/>
  <c r="AZ43"/>
  <c r="BA43"/>
  <c r="AY45"/>
  <c r="BB45" s="1"/>
  <c r="BM13"/>
  <c r="BE13"/>
  <c r="FW155" i="21"/>
  <c r="FW151"/>
  <c r="FW154"/>
  <c r="FW152"/>
  <c r="FW153"/>
  <c r="BO13" i="10"/>
  <c r="G111" i="21"/>
  <c r="I111" s="1"/>
  <c r="GA24"/>
  <c r="GB24"/>
  <c r="FW160"/>
  <c r="FW158"/>
  <c r="FW161"/>
  <c r="FW162"/>
  <c r="FW159"/>
  <c r="FW163"/>
  <c r="E113"/>
  <c r="F113" s="1"/>
  <c r="F112"/>
  <c r="H516"/>
  <c r="FO126" i="10" l="1"/>
  <c r="FP126"/>
  <c r="FQ126" s="1"/>
  <c r="FR126" s="1"/>
  <c r="FO109"/>
  <c r="FP109"/>
  <c r="FQ109" s="1"/>
  <c r="FR109" s="1"/>
  <c r="FP127"/>
  <c r="FQ127" s="1"/>
  <c r="FR127" s="1"/>
  <c r="FO127"/>
  <c r="E517" i="21"/>
  <c r="G517"/>
  <c r="K517"/>
  <c r="D517"/>
  <c r="J517"/>
  <c r="I517"/>
  <c r="B519"/>
  <c r="L518" s="1"/>
  <c r="F517"/>
  <c r="L517"/>
  <c r="M516"/>
  <c r="FP94" i="10"/>
  <c r="FQ94" s="1"/>
  <c r="FR94" s="1"/>
  <c r="FO94"/>
  <c r="FO19"/>
  <c r="FP19"/>
  <c r="FQ19" s="1"/>
  <c r="FR19" s="1"/>
  <c r="FO61"/>
  <c r="FP61"/>
  <c r="FQ61" s="1"/>
  <c r="FR61" s="1"/>
  <c r="FO17"/>
  <c r="FP17"/>
  <c r="FQ17" s="1"/>
  <c r="FR17" s="1"/>
  <c r="GB15"/>
  <c r="GC15" s="1"/>
  <c r="GD15" s="1"/>
  <c r="GA15"/>
  <c r="FP59"/>
  <c r="FQ59" s="1"/>
  <c r="FR59" s="1"/>
  <c r="FO59"/>
  <c r="FO43"/>
  <c r="FP43"/>
  <c r="FQ43" s="1"/>
  <c r="FR43" s="1"/>
  <c r="FO20"/>
  <c r="FP20"/>
  <c r="FQ20" s="1"/>
  <c r="FR20" s="1"/>
  <c r="FP63"/>
  <c r="FQ63" s="1"/>
  <c r="FR63" s="1"/>
  <c r="FO63"/>
  <c r="FP18"/>
  <c r="FQ18" s="1"/>
  <c r="FR18" s="1"/>
  <c r="FO18"/>
  <c r="FO72"/>
  <c r="FP72"/>
  <c r="FQ72" s="1"/>
  <c r="FR72" s="1"/>
  <c r="EA149"/>
  <c r="BN14"/>
  <c r="G112" i="21"/>
  <c r="G113" s="1"/>
  <c r="BQ13" i="10"/>
  <c r="BP13"/>
  <c r="FW168" i="21"/>
  <c r="FW165"/>
  <c r="FW169"/>
  <c r="FZ25" s="1"/>
  <c r="FW166"/>
  <c r="FW164"/>
  <c r="FW167"/>
  <c r="H517"/>
  <c r="FT126" i="10" l="1"/>
  <c r="FU126" s="1"/>
  <c r="FV126" s="1"/>
  <c r="FS126"/>
  <c r="FT127"/>
  <c r="FU127" s="1"/>
  <c r="FV127" s="1"/>
  <c r="FS127"/>
  <c r="G518" i="21"/>
  <c r="FT109" i="10"/>
  <c r="FU109" s="1"/>
  <c r="FV109" s="1"/>
  <c r="FS109"/>
  <c r="B520" i="21"/>
  <c r="C519" s="1"/>
  <c r="C518"/>
  <c r="D518"/>
  <c r="F518"/>
  <c r="I518"/>
  <c r="E518"/>
  <c r="J518"/>
  <c r="K518"/>
  <c r="M517"/>
  <c r="FS72" i="10"/>
  <c r="FT72"/>
  <c r="FU72" s="1"/>
  <c r="FV72" s="1"/>
  <c r="FS43"/>
  <c r="FT43"/>
  <c r="FU43" s="1"/>
  <c r="FV43" s="1"/>
  <c r="FT17"/>
  <c r="FU17" s="1"/>
  <c r="FV17" s="1"/>
  <c r="FS17"/>
  <c r="FS61"/>
  <c r="FT61"/>
  <c r="FU61" s="1"/>
  <c r="FV61" s="1"/>
  <c r="FS63"/>
  <c r="FT63"/>
  <c r="FU63" s="1"/>
  <c r="FV63" s="1"/>
  <c r="FT59"/>
  <c r="FU59" s="1"/>
  <c r="FV59" s="1"/>
  <c r="FS59"/>
  <c r="FS94"/>
  <c r="FT94"/>
  <c r="FU94" s="1"/>
  <c r="FV94" s="1"/>
  <c r="FT20"/>
  <c r="FU20" s="1"/>
  <c r="FV20" s="1"/>
  <c r="FS20"/>
  <c r="FT19"/>
  <c r="FU19" s="1"/>
  <c r="FV19" s="1"/>
  <c r="FS19"/>
  <c r="FS18"/>
  <c r="FT18"/>
  <c r="FU18" s="1"/>
  <c r="FV18" s="1"/>
  <c r="GE15"/>
  <c r="GF15"/>
  <c r="GG15" s="1"/>
  <c r="GH15" s="1"/>
  <c r="EB149"/>
  <c r="EB150" s="1"/>
  <c r="I113" i="21"/>
  <c r="AZ44" i="10"/>
  <c r="BA44"/>
  <c r="AY46"/>
  <c r="BB46" s="1"/>
  <c r="BM14"/>
  <c r="BE14"/>
  <c r="I112" i="21"/>
  <c r="BO14" i="10"/>
  <c r="GB25" i="21"/>
  <c r="GA25"/>
  <c r="FW173"/>
  <c r="FW171"/>
  <c r="FW174"/>
  <c r="FW175"/>
  <c r="FW172"/>
  <c r="FW176"/>
  <c r="H518"/>
  <c r="FW109" i="10" l="1"/>
  <c r="FX109"/>
  <c r="FY109" s="1"/>
  <c r="FZ109" s="1"/>
  <c r="FX127"/>
  <c r="FY127" s="1"/>
  <c r="FZ127" s="1"/>
  <c r="FW127"/>
  <c r="FX126"/>
  <c r="FY126" s="1"/>
  <c r="FZ126" s="1"/>
  <c r="FW126"/>
  <c r="F519" i="21"/>
  <c r="E519"/>
  <c r="L519"/>
  <c r="D519"/>
  <c r="B521"/>
  <c r="E520" s="1"/>
  <c r="K519"/>
  <c r="J519"/>
  <c r="G519"/>
  <c r="I519"/>
  <c r="M518"/>
  <c r="FX18" i="10"/>
  <c r="FY18" s="1"/>
  <c r="FZ18" s="1"/>
  <c r="FW18"/>
  <c r="FX59"/>
  <c r="FY59" s="1"/>
  <c r="FZ59" s="1"/>
  <c r="FW59"/>
  <c r="FW19"/>
  <c r="FX19"/>
  <c r="FY19" s="1"/>
  <c r="FZ19" s="1"/>
  <c r="FW94"/>
  <c r="FX94"/>
  <c r="FY94" s="1"/>
  <c r="FZ94" s="1"/>
  <c r="FX63"/>
  <c r="FY63" s="1"/>
  <c r="FZ63" s="1"/>
  <c r="FW63"/>
  <c r="FX17"/>
  <c r="FY17" s="1"/>
  <c r="FZ17" s="1"/>
  <c r="FW17"/>
  <c r="FW72"/>
  <c r="FX72"/>
  <c r="FY72" s="1"/>
  <c r="FZ72" s="1"/>
  <c r="GI15"/>
  <c r="GJ15"/>
  <c r="GK15" s="1"/>
  <c r="GL15" s="1"/>
  <c r="FX20"/>
  <c r="FY20" s="1"/>
  <c r="FZ20" s="1"/>
  <c r="FW20"/>
  <c r="FW61"/>
  <c r="FX61"/>
  <c r="FY61" s="1"/>
  <c r="FZ61" s="1"/>
  <c r="FX43"/>
  <c r="FY43" s="1"/>
  <c r="FZ43" s="1"/>
  <c r="FW43"/>
  <c r="EE149"/>
  <c r="BN15"/>
  <c r="BP14"/>
  <c r="BQ14"/>
  <c r="FW181" i="21"/>
  <c r="FW178"/>
  <c r="FW182"/>
  <c r="FZ26" s="1"/>
  <c r="FW179"/>
  <c r="FW177"/>
  <c r="FW180"/>
  <c r="H519"/>
  <c r="GB126" i="10" l="1"/>
  <c r="GC126" s="1"/>
  <c r="GD126" s="1"/>
  <c r="GA126"/>
  <c r="GA127"/>
  <c r="GB127"/>
  <c r="GC127" s="1"/>
  <c r="GD127" s="1"/>
  <c r="GB109"/>
  <c r="GC109" s="1"/>
  <c r="GD109" s="1"/>
  <c r="GA109"/>
  <c r="I520" i="21"/>
  <c r="M519"/>
  <c r="C520"/>
  <c r="B522"/>
  <c r="J521" s="1"/>
  <c r="L520"/>
  <c r="D520"/>
  <c r="F520"/>
  <c r="G520"/>
  <c r="J520"/>
  <c r="K520"/>
  <c r="GB63" i="10"/>
  <c r="GC63" s="1"/>
  <c r="GD63" s="1"/>
  <c r="GA63"/>
  <c r="GA94"/>
  <c r="GB94"/>
  <c r="GC94" s="1"/>
  <c r="GD94" s="1"/>
  <c r="GN15"/>
  <c r="GO15" s="1"/>
  <c r="GP15" s="1"/>
  <c r="GM15"/>
  <c r="GB43"/>
  <c r="GC43" s="1"/>
  <c r="GD43" s="1"/>
  <c r="GA43"/>
  <c r="GA20"/>
  <c r="GB20"/>
  <c r="GC20" s="1"/>
  <c r="GD20" s="1"/>
  <c r="GB18"/>
  <c r="GC18" s="1"/>
  <c r="GD18" s="1"/>
  <c r="GA18"/>
  <c r="GB17"/>
  <c r="GC17" s="1"/>
  <c r="GD17" s="1"/>
  <c r="GA17"/>
  <c r="GA59"/>
  <c r="GB59"/>
  <c r="GC59" s="1"/>
  <c r="GD59" s="1"/>
  <c r="GA61"/>
  <c r="GB61"/>
  <c r="GC61" s="1"/>
  <c r="GD61" s="1"/>
  <c r="GA72"/>
  <c r="GB72"/>
  <c r="GC72" s="1"/>
  <c r="GD72" s="1"/>
  <c r="GA19"/>
  <c r="GB19"/>
  <c r="GC19" s="1"/>
  <c r="GD19" s="1"/>
  <c r="EF149"/>
  <c r="EF150" s="1"/>
  <c r="AZ45"/>
  <c r="BA45"/>
  <c r="AY47"/>
  <c r="BB47" s="1"/>
  <c r="BM15"/>
  <c r="BE15"/>
  <c r="BO15"/>
  <c r="GA26" i="21"/>
  <c r="GB26"/>
  <c r="FW186"/>
  <c r="FW184"/>
  <c r="FW187"/>
  <c r="FW188"/>
  <c r="FW185"/>
  <c r="FW189"/>
  <c r="H520"/>
  <c r="GF109" i="10" l="1"/>
  <c r="GG109" s="1"/>
  <c r="GH109" s="1"/>
  <c r="GE109"/>
  <c r="GE126"/>
  <c r="GF126"/>
  <c r="GG126" s="1"/>
  <c r="GH126" s="1"/>
  <c r="GF127"/>
  <c r="GG127" s="1"/>
  <c r="GH127" s="1"/>
  <c r="GE127"/>
  <c r="F521" i="21"/>
  <c r="C521"/>
  <c r="D521"/>
  <c r="G521"/>
  <c r="B523"/>
  <c r="D522" s="1"/>
  <c r="K521"/>
  <c r="E521"/>
  <c r="I521"/>
  <c r="L521"/>
  <c r="M520"/>
  <c r="GE61" i="10"/>
  <c r="GF61"/>
  <c r="GG61" s="1"/>
  <c r="GH61" s="1"/>
  <c r="GF59"/>
  <c r="GG59" s="1"/>
  <c r="GH59" s="1"/>
  <c r="GE59"/>
  <c r="GF19"/>
  <c r="GG19" s="1"/>
  <c r="GH19" s="1"/>
  <c r="GE19"/>
  <c r="GE72"/>
  <c r="GF72"/>
  <c r="GG72" s="1"/>
  <c r="GH72" s="1"/>
  <c r="GE20"/>
  <c r="GF20"/>
  <c r="GG20" s="1"/>
  <c r="GH20" s="1"/>
  <c r="GE94"/>
  <c r="GF94"/>
  <c r="GG94" s="1"/>
  <c r="GH94" s="1"/>
  <c r="GE17"/>
  <c r="GF17"/>
  <c r="GG17" s="1"/>
  <c r="GH17" s="1"/>
  <c r="GR15"/>
  <c r="GS15" s="1"/>
  <c r="GT15" s="1"/>
  <c r="GQ15"/>
  <c r="GF18"/>
  <c r="GG18" s="1"/>
  <c r="GH18" s="1"/>
  <c r="GE18"/>
  <c r="GF43"/>
  <c r="GG43" s="1"/>
  <c r="GH43" s="1"/>
  <c r="GE43"/>
  <c r="GE63"/>
  <c r="GF63"/>
  <c r="GG63" s="1"/>
  <c r="GH63" s="1"/>
  <c r="EI149"/>
  <c r="BE80"/>
  <c r="BN16"/>
  <c r="BQ15"/>
  <c r="BP15"/>
  <c r="FW194" i="21"/>
  <c r="FW191"/>
  <c r="FW195"/>
  <c r="FZ27" s="1"/>
  <c r="FW192"/>
  <c r="FW190"/>
  <c r="FW193"/>
  <c r="H521"/>
  <c r="GI126" i="10" l="1"/>
  <c r="GJ126"/>
  <c r="GK126" s="1"/>
  <c r="GL126" s="1"/>
  <c r="GI127"/>
  <c r="GJ127"/>
  <c r="GK127" s="1"/>
  <c r="GL127" s="1"/>
  <c r="GI109"/>
  <c r="GJ109"/>
  <c r="GK109" s="1"/>
  <c r="GL109" s="1"/>
  <c r="I522" i="21"/>
  <c r="C522"/>
  <c r="E522"/>
  <c r="L522"/>
  <c r="M521"/>
  <c r="B524"/>
  <c r="G523" s="1"/>
  <c r="K522"/>
  <c r="J522"/>
  <c r="G522"/>
  <c r="F522"/>
  <c r="GI72" i="10"/>
  <c r="GJ72"/>
  <c r="GK72" s="1"/>
  <c r="GL72" s="1"/>
  <c r="GI17"/>
  <c r="GJ17"/>
  <c r="GK17" s="1"/>
  <c r="GL17" s="1"/>
  <c r="GI20"/>
  <c r="GJ20"/>
  <c r="GK20" s="1"/>
  <c r="GL20" s="1"/>
  <c r="GJ59"/>
  <c r="GK59" s="1"/>
  <c r="GL59" s="1"/>
  <c r="GI59"/>
  <c r="GJ18"/>
  <c r="GK18" s="1"/>
  <c r="GL18" s="1"/>
  <c r="GI18"/>
  <c r="GI63"/>
  <c r="GJ63"/>
  <c r="GK63" s="1"/>
  <c r="GL63" s="1"/>
  <c r="GJ94"/>
  <c r="GK94" s="1"/>
  <c r="GL94" s="1"/>
  <c r="GI94"/>
  <c r="GI19"/>
  <c r="GJ19"/>
  <c r="GK19" s="1"/>
  <c r="GL19" s="1"/>
  <c r="GI61"/>
  <c r="GJ61"/>
  <c r="GK61" s="1"/>
  <c r="GL61" s="1"/>
  <c r="GJ43"/>
  <c r="GK43" s="1"/>
  <c r="GL43" s="1"/>
  <c r="GI43"/>
  <c r="GU15"/>
  <c r="GV15"/>
  <c r="GW15" s="1"/>
  <c r="GX15" s="1"/>
  <c r="EJ149"/>
  <c r="EJ150" s="1"/>
  <c r="AZ46"/>
  <c r="BA46"/>
  <c r="AY48"/>
  <c r="BB48" s="1"/>
  <c r="BM16"/>
  <c r="BE16"/>
  <c r="BO16"/>
  <c r="GA27" i="21"/>
  <c r="GB27"/>
  <c r="FW199"/>
  <c r="FW197"/>
  <c r="FW200"/>
  <c r="FW201"/>
  <c r="FW198"/>
  <c r="FW202"/>
  <c r="H522"/>
  <c r="GN126" i="10" l="1"/>
  <c r="GO126" s="1"/>
  <c r="GP126" s="1"/>
  <c r="GM126"/>
  <c r="GN109"/>
  <c r="GO109" s="1"/>
  <c r="GP109" s="1"/>
  <c r="GM109"/>
  <c r="GM127"/>
  <c r="GN127"/>
  <c r="GO127" s="1"/>
  <c r="GP127" s="1"/>
  <c r="K523" i="21"/>
  <c r="D523"/>
  <c r="B525"/>
  <c r="L524" s="1"/>
  <c r="J523"/>
  <c r="I523"/>
  <c r="M522"/>
  <c r="F523"/>
  <c r="L523"/>
  <c r="E523"/>
  <c r="C523"/>
  <c r="GN94" i="10"/>
  <c r="GO94" s="1"/>
  <c r="GP94" s="1"/>
  <c r="GM94"/>
  <c r="GN17"/>
  <c r="GO17" s="1"/>
  <c r="GP17" s="1"/>
  <c r="GM17"/>
  <c r="GM19"/>
  <c r="GN19"/>
  <c r="GO19" s="1"/>
  <c r="GP19" s="1"/>
  <c r="GM63"/>
  <c r="GN63"/>
  <c r="GO63" s="1"/>
  <c r="GP63" s="1"/>
  <c r="GM59"/>
  <c r="GN59"/>
  <c r="GO59" s="1"/>
  <c r="GP59" s="1"/>
  <c r="GN43"/>
  <c r="GO43" s="1"/>
  <c r="GP43" s="1"/>
  <c r="GM43"/>
  <c r="GN18"/>
  <c r="GO18" s="1"/>
  <c r="GP18" s="1"/>
  <c r="GM18"/>
  <c r="GM20"/>
  <c r="GN20"/>
  <c r="GO20" s="1"/>
  <c r="GP20" s="1"/>
  <c r="GN72"/>
  <c r="GO72" s="1"/>
  <c r="GP72" s="1"/>
  <c r="GM72"/>
  <c r="GZ15"/>
  <c r="HA15" s="1"/>
  <c r="HB15" s="1"/>
  <c r="GY15"/>
  <c r="GN61"/>
  <c r="GO61" s="1"/>
  <c r="GP61" s="1"/>
  <c r="GM61"/>
  <c r="EM149"/>
  <c r="BN17"/>
  <c r="BP16"/>
  <c r="BQ16"/>
  <c r="FW207" i="21"/>
  <c r="FW204"/>
  <c r="FW208"/>
  <c r="FZ28" s="1"/>
  <c r="FW205"/>
  <c r="FW203"/>
  <c r="FW206"/>
  <c r="H523"/>
  <c r="G524" l="1"/>
  <c r="GQ126" i="10"/>
  <c r="GR126"/>
  <c r="GS126" s="1"/>
  <c r="GT126" s="1"/>
  <c r="GQ109"/>
  <c r="GR109"/>
  <c r="GS109" s="1"/>
  <c r="GT109" s="1"/>
  <c r="GQ127"/>
  <c r="GR127"/>
  <c r="GS127" s="1"/>
  <c r="GT127" s="1"/>
  <c r="B526" i="21"/>
  <c r="J525" s="1"/>
  <c r="I524"/>
  <c r="K524"/>
  <c r="C524"/>
  <c r="E524"/>
  <c r="D524"/>
  <c r="J524"/>
  <c r="F524"/>
  <c r="M523"/>
  <c r="GQ20" i="10"/>
  <c r="GR20"/>
  <c r="GS20" s="1"/>
  <c r="GT20" s="1"/>
  <c r="GR18"/>
  <c r="GS18" s="1"/>
  <c r="GT18" s="1"/>
  <c r="GQ18"/>
  <c r="HC15"/>
  <c r="HD15"/>
  <c r="HE15" s="1"/>
  <c r="HF15" s="1"/>
  <c r="GQ63"/>
  <c r="GR63"/>
  <c r="GS63" s="1"/>
  <c r="GT63" s="1"/>
  <c r="GQ94"/>
  <c r="GR94"/>
  <c r="GS94" s="1"/>
  <c r="GT94" s="1"/>
  <c r="GR43"/>
  <c r="GS43" s="1"/>
  <c r="GT43" s="1"/>
  <c r="GQ43"/>
  <c r="GR17"/>
  <c r="GS17" s="1"/>
  <c r="GT17" s="1"/>
  <c r="GQ17"/>
  <c r="GR61"/>
  <c r="GS61" s="1"/>
  <c r="GT61" s="1"/>
  <c r="GQ61"/>
  <c r="GQ72"/>
  <c r="GR72"/>
  <c r="GS72" s="1"/>
  <c r="GT72" s="1"/>
  <c r="GQ59"/>
  <c r="GR59"/>
  <c r="GS59" s="1"/>
  <c r="GT59" s="1"/>
  <c r="GR19"/>
  <c r="GS19" s="1"/>
  <c r="GT19" s="1"/>
  <c r="GQ19"/>
  <c r="EN149"/>
  <c r="EN150" s="1"/>
  <c r="AZ47"/>
  <c r="BA47"/>
  <c r="AY49"/>
  <c r="BB49" s="1"/>
  <c r="BM17"/>
  <c r="BE17"/>
  <c r="BO17"/>
  <c r="GA28" i="21"/>
  <c r="GB28"/>
  <c r="FW212"/>
  <c r="FW210"/>
  <c r="FW213"/>
  <c r="FW214"/>
  <c r="FW211"/>
  <c r="FW215"/>
  <c r="H524"/>
  <c r="GU109" i="10" l="1"/>
  <c r="GV109"/>
  <c r="GW109" s="1"/>
  <c r="GX109" s="1"/>
  <c r="GU127"/>
  <c r="GV127"/>
  <c r="GW127" s="1"/>
  <c r="GX127" s="1"/>
  <c r="GV126"/>
  <c r="GW126" s="1"/>
  <c r="GX126" s="1"/>
  <c r="GU126"/>
  <c r="G525" i="21"/>
  <c r="L525"/>
  <c r="F525"/>
  <c r="C525"/>
  <c r="B527"/>
  <c r="E526" s="1"/>
  <c r="D525"/>
  <c r="K525"/>
  <c r="E525"/>
  <c r="I525"/>
  <c r="M524"/>
  <c r="GV59" i="10"/>
  <c r="GW59" s="1"/>
  <c r="GX59" s="1"/>
  <c r="GU59"/>
  <c r="GU94"/>
  <c r="GV94"/>
  <c r="GW94" s="1"/>
  <c r="GX94" s="1"/>
  <c r="HH15"/>
  <c r="HI15" s="1"/>
  <c r="HJ15" s="1"/>
  <c r="HG15"/>
  <c r="GV20"/>
  <c r="GW20" s="1"/>
  <c r="GX20" s="1"/>
  <c r="GU20"/>
  <c r="GU61"/>
  <c r="GV61"/>
  <c r="GW61" s="1"/>
  <c r="GX61" s="1"/>
  <c r="GU17"/>
  <c r="GV17"/>
  <c r="GW17" s="1"/>
  <c r="GX17" s="1"/>
  <c r="GU72"/>
  <c r="GV72"/>
  <c r="GW72" s="1"/>
  <c r="GX72" s="1"/>
  <c r="GU63"/>
  <c r="GV63"/>
  <c r="GW63" s="1"/>
  <c r="GX63" s="1"/>
  <c r="GU19"/>
  <c r="GV19"/>
  <c r="GW19" s="1"/>
  <c r="GX19" s="1"/>
  <c r="GV43"/>
  <c r="GW43" s="1"/>
  <c r="GX43" s="1"/>
  <c r="GU43"/>
  <c r="GV18"/>
  <c r="GW18" s="1"/>
  <c r="GX18" s="1"/>
  <c r="GU18"/>
  <c r="EQ149"/>
  <c r="BD80"/>
  <c r="BH80" s="1"/>
  <c r="BN18"/>
  <c r="BP17"/>
  <c r="BQ17"/>
  <c r="FW220" i="21"/>
  <c r="FW217"/>
  <c r="FW221"/>
  <c r="FZ29" s="1"/>
  <c r="FW218"/>
  <c r="FW216"/>
  <c r="FW219"/>
  <c r="AE153" i="10"/>
  <c r="AE159"/>
  <c r="AE158"/>
  <c r="AE155"/>
  <c r="AE156"/>
  <c r="AE157"/>
  <c r="AE154"/>
  <c r="H525" i="21"/>
  <c r="GY127" i="10" l="1"/>
  <c r="GZ127"/>
  <c r="HA127" s="1"/>
  <c r="HB127" s="1"/>
  <c r="GY126"/>
  <c r="GZ126"/>
  <c r="HA126" s="1"/>
  <c r="HB126" s="1"/>
  <c r="GZ109"/>
  <c r="HA109" s="1"/>
  <c r="HB109" s="1"/>
  <c r="GY109"/>
  <c r="L526" i="21"/>
  <c r="I526"/>
  <c r="M525"/>
  <c r="B528"/>
  <c r="L527" s="1"/>
  <c r="C526"/>
  <c r="D526"/>
  <c r="J526"/>
  <c r="F526"/>
  <c r="G526"/>
  <c r="K526"/>
  <c r="GY63" i="10"/>
  <c r="GZ63"/>
  <c r="HA63" s="1"/>
  <c r="HB63" s="1"/>
  <c r="GY72"/>
  <c r="GZ72"/>
  <c r="HA72" s="1"/>
  <c r="HB72" s="1"/>
  <c r="GY61"/>
  <c r="GZ61"/>
  <c r="HA61" s="1"/>
  <c r="HB61" s="1"/>
  <c r="GZ43"/>
  <c r="HA43" s="1"/>
  <c r="HB43" s="1"/>
  <c r="GY43"/>
  <c r="GZ17"/>
  <c r="HA17" s="1"/>
  <c r="HB17" s="1"/>
  <c r="GY17"/>
  <c r="HK15"/>
  <c r="HL15"/>
  <c r="HM15" s="1"/>
  <c r="HN15" s="1"/>
  <c r="GY59"/>
  <c r="GZ59"/>
  <c r="HA59" s="1"/>
  <c r="HB59" s="1"/>
  <c r="GZ19"/>
  <c r="HA19" s="1"/>
  <c r="HB19" s="1"/>
  <c r="GY19"/>
  <c r="GZ94"/>
  <c r="HA94" s="1"/>
  <c r="HB94" s="1"/>
  <c r="GY94"/>
  <c r="GZ18"/>
  <c r="HA18" s="1"/>
  <c r="HB18" s="1"/>
  <c r="GY18"/>
  <c r="GZ20"/>
  <c r="HA20" s="1"/>
  <c r="HB20" s="1"/>
  <c r="GY20"/>
  <c r="ER149"/>
  <c r="ER150" s="1"/>
  <c r="AV80"/>
  <c r="AZ48"/>
  <c r="BA48"/>
  <c r="AY50"/>
  <c r="BB50" s="1"/>
  <c r="BM18"/>
  <c r="BE18"/>
  <c r="BO18"/>
  <c r="GB29" i="21"/>
  <c r="GA29"/>
  <c r="FW225"/>
  <c r="FW223"/>
  <c r="FW226"/>
  <c r="FW227"/>
  <c r="FW224"/>
  <c r="FW228"/>
  <c r="H526"/>
  <c r="HC126" i="10" l="1"/>
  <c r="HD126"/>
  <c r="HE126" s="1"/>
  <c r="HF126" s="1"/>
  <c r="HD109"/>
  <c r="HE109" s="1"/>
  <c r="HF109" s="1"/>
  <c r="HC109"/>
  <c r="HC127"/>
  <c r="HD127"/>
  <c r="HE127" s="1"/>
  <c r="HF127" s="1"/>
  <c r="I527" i="21"/>
  <c r="K527"/>
  <c r="B529"/>
  <c r="L528" s="1"/>
  <c r="D527"/>
  <c r="E527"/>
  <c r="M526"/>
  <c r="C527"/>
  <c r="G527"/>
  <c r="F527"/>
  <c r="J527"/>
  <c r="HO15" i="10"/>
  <c r="HP15"/>
  <c r="HQ15" s="1"/>
  <c r="HR15" s="1"/>
  <c r="HC72"/>
  <c r="HD72"/>
  <c r="HE72" s="1"/>
  <c r="HF72" s="1"/>
  <c r="HD18"/>
  <c r="HE18" s="1"/>
  <c r="HF18" s="1"/>
  <c r="HC18"/>
  <c r="HD19"/>
  <c r="HE19" s="1"/>
  <c r="HF19" s="1"/>
  <c r="HC19"/>
  <c r="HC43"/>
  <c r="HD43"/>
  <c r="HE43" s="1"/>
  <c r="HF43" s="1"/>
  <c r="HC59"/>
  <c r="HD59"/>
  <c r="HE59" s="1"/>
  <c r="HF59" s="1"/>
  <c r="HC61"/>
  <c r="HD61"/>
  <c r="HE61" s="1"/>
  <c r="HF61" s="1"/>
  <c r="HC63"/>
  <c r="HD63"/>
  <c r="HE63" s="1"/>
  <c r="HF63" s="1"/>
  <c r="HD20"/>
  <c r="HE20" s="1"/>
  <c r="HF20" s="1"/>
  <c r="HC20"/>
  <c r="HC94"/>
  <c r="HD94"/>
  <c r="HE94" s="1"/>
  <c r="HF94" s="1"/>
  <c r="HC17"/>
  <c r="HD17"/>
  <c r="HE17" s="1"/>
  <c r="HF17" s="1"/>
  <c r="EU149"/>
  <c r="AY99"/>
  <c r="AW99"/>
  <c r="BB99"/>
  <c r="BA99"/>
  <c r="BC449"/>
  <c r="BB449"/>
  <c r="BA449"/>
  <c r="BD449"/>
  <c r="AZ449"/>
  <c r="AY449"/>
  <c r="AX449"/>
  <c r="AV449"/>
  <c r="AY446"/>
  <c r="AY450"/>
  <c r="BC80"/>
  <c r="BA80"/>
  <c r="AZ80"/>
  <c r="AY451"/>
  <c r="AY453"/>
  <c r="AY448"/>
  <c r="AY452"/>
  <c r="AY454"/>
  <c r="AT80"/>
  <c r="BN19"/>
  <c r="BQ18"/>
  <c r="BP18"/>
  <c r="FW233" i="21"/>
  <c r="FW230"/>
  <c r="FW234"/>
  <c r="FZ30" s="1"/>
  <c r="FW231"/>
  <c r="FW229"/>
  <c r="FW232"/>
  <c r="H527"/>
  <c r="HG109" i="10" l="1"/>
  <c r="HH109"/>
  <c r="HI109" s="1"/>
  <c r="HJ109" s="1"/>
  <c r="HH127"/>
  <c r="HI127" s="1"/>
  <c r="HJ127" s="1"/>
  <c r="HG127"/>
  <c r="HG126"/>
  <c r="HH126"/>
  <c r="HI126" s="1"/>
  <c r="HJ126" s="1"/>
  <c r="K528" i="21"/>
  <c r="B530"/>
  <c r="D529" s="1"/>
  <c r="C528"/>
  <c r="I528"/>
  <c r="G528"/>
  <c r="D528"/>
  <c r="F528"/>
  <c r="J528"/>
  <c r="E528"/>
  <c r="M527"/>
  <c r="HH94" i="10"/>
  <c r="HI94" s="1"/>
  <c r="HJ94" s="1"/>
  <c r="HG94"/>
  <c r="HG63"/>
  <c r="HH63"/>
  <c r="HI63" s="1"/>
  <c r="HJ63" s="1"/>
  <c r="HG59"/>
  <c r="HH59"/>
  <c r="HI59" s="1"/>
  <c r="HJ59" s="1"/>
  <c r="HH43"/>
  <c r="HI43" s="1"/>
  <c r="HJ43" s="1"/>
  <c r="HG43"/>
  <c r="HT15"/>
  <c r="HU15" s="1"/>
  <c r="HV15" s="1"/>
  <c r="HS15"/>
  <c r="HH18"/>
  <c r="HI18" s="1"/>
  <c r="HJ18" s="1"/>
  <c r="HG18"/>
  <c r="HH17"/>
  <c r="HI17" s="1"/>
  <c r="HJ17" s="1"/>
  <c r="HG17"/>
  <c r="HG61"/>
  <c r="HH61"/>
  <c r="HI61" s="1"/>
  <c r="HJ61" s="1"/>
  <c r="HG72"/>
  <c r="HH72"/>
  <c r="HI72" s="1"/>
  <c r="HJ72" s="1"/>
  <c r="HH20"/>
  <c r="HI20" s="1"/>
  <c r="HJ20" s="1"/>
  <c r="HG20"/>
  <c r="HH19"/>
  <c r="HI19" s="1"/>
  <c r="HJ19" s="1"/>
  <c r="HG19"/>
  <c r="EV149"/>
  <c r="EV150" s="1"/>
  <c r="BC99"/>
  <c r="AZ49"/>
  <c r="BA49"/>
  <c r="AY51"/>
  <c r="BB51" s="1"/>
  <c r="BM19"/>
  <c r="BE19"/>
  <c r="BO19"/>
  <c r="GA30" i="21"/>
  <c r="GB30"/>
  <c r="FW238"/>
  <c r="FW236"/>
  <c r="FW239"/>
  <c r="FW240"/>
  <c r="FW237"/>
  <c r="FW241"/>
  <c r="H528"/>
  <c r="HK109" i="10" l="1"/>
  <c r="HL109"/>
  <c r="HM109" s="1"/>
  <c r="HN109" s="1"/>
  <c r="HK127"/>
  <c r="HL127"/>
  <c r="HM127" s="1"/>
  <c r="HN127" s="1"/>
  <c r="HK126"/>
  <c r="HL126"/>
  <c r="HM126" s="1"/>
  <c r="HN126" s="1"/>
  <c r="I529" i="21"/>
  <c r="K529"/>
  <c r="B531"/>
  <c r="L530" s="1"/>
  <c r="L529"/>
  <c r="E529"/>
  <c r="C529"/>
  <c r="G529"/>
  <c r="F529"/>
  <c r="J529"/>
  <c r="M528"/>
  <c r="HK59" i="10"/>
  <c r="HL59"/>
  <c r="HM59" s="1"/>
  <c r="HN59" s="1"/>
  <c r="HX15"/>
  <c r="HY15" s="1"/>
  <c r="HZ15" s="1"/>
  <c r="HW15"/>
  <c r="HK20"/>
  <c r="HL20"/>
  <c r="HM20" s="1"/>
  <c r="HN20" s="1"/>
  <c r="HK61"/>
  <c r="HL61"/>
  <c r="HM61" s="1"/>
  <c r="HN61" s="1"/>
  <c r="HK18"/>
  <c r="HL18"/>
  <c r="HM18" s="1"/>
  <c r="HN18" s="1"/>
  <c r="HL94"/>
  <c r="HM94" s="1"/>
  <c r="HN94" s="1"/>
  <c r="HK94"/>
  <c r="HK19"/>
  <c r="HL19"/>
  <c r="HM19" s="1"/>
  <c r="HN19" s="1"/>
  <c r="HL43"/>
  <c r="HM43" s="1"/>
  <c r="HN43" s="1"/>
  <c r="HK43"/>
  <c r="HK63"/>
  <c r="HL63"/>
  <c r="HM63" s="1"/>
  <c r="HN63" s="1"/>
  <c r="HK72"/>
  <c r="HL72"/>
  <c r="HM72" s="1"/>
  <c r="HN72" s="1"/>
  <c r="HL17"/>
  <c r="HM17" s="1"/>
  <c r="HN17" s="1"/>
  <c r="HK17"/>
  <c r="EY149"/>
  <c r="BN20"/>
  <c r="BQ19"/>
  <c r="BP19"/>
  <c r="FW246" i="21"/>
  <c r="FW243"/>
  <c r="FW247"/>
  <c r="FZ31" s="1"/>
  <c r="FW244"/>
  <c r="FW242"/>
  <c r="FW245"/>
  <c r="H529"/>
  <c r="K530" l="1"/>
  <c r="HO127" i="10"/>
  <c r="HP127"/>
  <c r="HQ127" s="1"/>
  <c r="HR127" s="1"/>
  <c r="HP126"/>
  <c r="HQ126" s="1"/>
  <c r="HR126" s="1"/>
  <c r="HO126"/>
  <c r="HP109"/>
  <c r="HQ109" s="1"/>
  <c r="HR109" s="1"/>
  <c r="HO109"/>
  <c r="B532" i="21"/>
  <c r="E531" s="1"/>
  <c r="C530"/>
  <c r="I530"/>
  <c r="G530"/>
  <c r="D530"/>
  <c r="J530"/>
  <c r="F530"/>
  <c r="E530"/>
  <c r="M529"/>
  <c r="HO19" i="10"/>
  <c r="HP19"/>
  <c r="HQ19" s="1"/>
  <c r="HR19" s="1"/>
  <c r="HP18"/>
  <c r="HQ18" s="1"/>
  <c r="HR18" s="1"/>
  <c r="HO18"/>
  <c r="HO63"/>
  <c r="HP63"/>
  <c r="HQ63" s="1"/>
  <c r="HR63" s="1"/>
  <c r="HP43"/>
  <c r="HQ43" s="1"/>
  <c r="HR43" s="1"/>
  <c r="HO43"/>
  <c r="IB15"/>
  <c r="IA15"/>
  <c r="HP17"/>
  <c r="HQ17" s="1"/>
  <c r="HR17" s="1"/>
  <c r="HO17"/>
  <c r="HO61"/>
  <c r="HP61"/>
  <c r="HQ61" s="1"/>
  <c r="HR61" s="1"/>
  <c r="HP20"/>
  <c r="HQ20" s="1"/>
  <c r="HR20" s="1"/>
  <c r="HO20"/>
  <c r="HO59"/>
  <c r="HP59"/>
  <c r="HQ59" s="1"/>
  <c r="HR59" s="1"/>
  <c r="HP72"/>
  <c r="HQ72" s="1"/>
  <c r="HR72" s="1"/>
  <c r="HO72"/>
  <c r="HP94"/>
  <c r="HQ94" s="1"/>
  <c r="HR94" s="1"/>
  <c r="HO94"/>
  <c r="EZ149"/>
  <c r="EZ150" s="1"/>
  <c r="AZ50"/>
  <c r="BA50"/>
  <c r="AY52"/>
  <c r="BB52" s="1"/>
  <c r="BM20"/>
  <c r="BE20"/>
  <c r="BO20"/>
  <c r="GA31" i="21"/>
  <c r="GB31"/>
  <c r="FW251"/>
  <c r="FW249"/>
  <c r="FW252"/>
  <c r="FW253"/>
  <c r="FW250"/>
  <c r="FW254"/>
  <c r="H530"/>
  <c r="HT109" i="10" l="1"/>
  <c r="HU109" s="1"/>
  <c r="HV109" s="1"/>
  <c r="HS109"/>
  <c r="HT127"/>
  <c r="HU127" s="1"/>
  <c r="HV127" s="1"/>
  <c r="HS127"/>
  <c r="HT126"/>
  <c r="HU126" s="1"/>
  <c r="HV126" s="1"/>
  <c r="HS126"/>
  <c r="F531" i="21"/>
  <c r="I531"/>
  <c r="L531"/>
  <c r="D531"/>
  <c r="B533"/>
  <c r="L532" s="1"/>
  <c r="K531"/>
  <c r="J531"/>
  <c r="C531"/>
  <c r="G531"/>
  <c r="M530"/>
  <c r="HS20" i="10"/>
  <c r="HT20"/>
  <c r="HU20" s="1"/>
  <c r="HV20" s="1"/>
  <c r="HS17"/>
  <c r="HT17"/>
  <c r="HU17" s="1"/>
  <c r="HV17" s="1"/>
  <c r="HT43"/>
  <c r="HU43" s="1"/>
  <c r="HV43" s="1"/>
  <c r="HS43"/>
  <c r="HS19"/>
  <c r="HT19"/>
  <c r="HU19" s="1"/>
  <c r="HV19" s="1"/>
  <c r="HS94"/>
  <c r="HT94"/>
  <c r="HU94" s="1"/>
  <c r="HV94" s="1"/>
  <c r="HS72"/>
  <c r="HT72"/>
  <c r="HU72" s="1"/>
  <c r="HV72" s="1"/>
  <c r="HT18"/>
  <c r="HU18" s="1"/>
  <c r="HV18" s="1"/>
  <c r="HS18"/>
  <c r="HS59"/>
  <c r="HT59"/>
  <c r="HU59" s="1"/>
  <c r="HV59" s="1"/>
  <c r="HS61"/>
  <c r="HT61"/>
  <c r="HU61" s="1"/>
  <c r="HV61" s="1"/>
  <c r="HT63"/>
  <c r="HU63" s="1"/>
  <c r="HV63" s="1"/>
  <c r="HS63"/>
  <c r="FC149"/>
  <c r="BN21"/>
  <c r="BQ20"/>
  <c r="BP20"/>
  <c r="FW259" i="21"/>
  <c r="FW256"/>
  <c r="FW260"/>
  <c r="FW262" s="1"/>
  <c r="FW257"/>
  <c r="FW255"/>
  <c r="FW258"/>
  <c r="H531"/>
  <c r="HX127" i="10" l="1"/>
  <c r="HY127" s="1"/>
  <c r="HZ127" s="1"/>
  <c r="HW127"/>
  <c r="HX126"/>
  <c r="HY126" s="1"/>
  <c r="HZ126" s="1"/>
  <c r="HW126"/>
  <c r="HW109"/>
  <c r="HX109"/>
  <c r="HY109" s="1"/>
  <c r="HZ109" s="1"/>
  <c r="J532" i="21"/>
  <c r="D532"/>
  <c r="M531"/>
  <c r="F532"/>
  <c r="E532"/>
  <c r="B534"/>
  <c r="E533" s="1"/>
  <c r="I532"/>
  <c r="C532"/>
  <c r="G532"/>
  <c r="K532"/>
  <c r="HW18" i="10"/>
  <c r="HX18"/>
  <c r="HY18" s="1"/>
  <c r="HZ18" s="1"/>
  <c r="HX59"/>
  <c r="HY59" s="1"/>
  <c r="HZ59" s="1"/>
  <c r="HW59"/>
  <c r="HW63"/>
  <c r="HX63"/>
  <c r="HY63" s="1"/>
  <c r="HZ63" s="1"/>
  <c r="HX94"/>
  <c r="HY94" s="1"/>
  <c r="HZ94" s="1"/>
  <c r="HW94"/>
  <c r="HX20"/>
  <c r="HY20" s="1"/>
  <c r="HZ20" s="1"/>
  <c r="HW20"/>
  <c r="HW61"/>
  <c r="HX61"/>
  <c r="HY61" s="1"/>
  <c r="HZ61" s="1"/>
  <c r="HX43"/>
  <c r="HY43" s="1"/>
  <c r="HZ43" s="1"/>
  <c r="HW43"/>
  <c r="HX72"/>
  <c r="HY72" s="1"/>
  <c r="HZ72" s="1"/>
  <c r="HW72"/>
  <c r="HX19"/>
  <c r="HY19" s="1"/>
  <c r="HZ19" s="1"/>
  <c r="HW19"/>
  <c r="HW17"/>
  <c r="HX17"/>
  <c r="HY17" s="1"/>
  <c r="HZ17" s="1"/>
  <c r="FD149"/>
  <c r="FD150" s="1"/>
  <c r="F665" i="21"/>
  <c r="D665"/>
  <c r="AZ51" i="10"/>
  <c r="BA51"/>
  <c r="AY53"/>
  <c r="BB53" s="1"/>
  <c r="BM21"/>
  <c r="BE21"/>
  <c r="BO21"/>
  <c r="FW263" i="21"/>
  <c r="FW264" s="1"/>
  <c r="FW265" s="1"/>
  <c r="FW266" s="1"/>
  <c r="FW267" s="1"/>
  <c r="FW268" s="1"/>
  <c r="FZ32"/>
  <c r="H45"/>
  <c r="K5" s="1"/>
  <c r="E15"/>
  <c r="E19" s="1"/>
  <c r="H532"/>
  <c r="IB126" i="10" l="1"/>
  <c r="IA126"/>
  <c r="IA109"/>
  <c r="IB109"/>
  <c r="IA127"/>
  <c r="IB127"/>
  <c r="G533" i="21"/>
  <c r="J533"/>
  <c r="M532"/>
  <c r="C533"/>
  <c r="F533"/>
  <c r="L533"/>
  <c r="B535"/>
  <c r="L534" s="1"/>
  <c r="I533"/>
  <c r="D533"/>
  <c r="K533"/>
  <c r="IB19" i="10"/>
  <c r="IA19"/>
  <c r="IA61"/>
  <c r="IB61"/>
  <c r="IB18"/>
  <c r="IA18"/>
  <c r="IB17"/>
  <c r="IA17"/>
  <c r="IB94"/>
  <c r="IA94"/>
  <c r="IB72"/>
  <c r="IA72"/>
  <c r="IB63"/>
  <c r="IA63"/>
  <c r="IA43"/>
  <c r="IB43"/>
  <c r="IA20"/>
  <c r="IB20"/>
  <c r="IA59"/>
  <c r="IB59"/>
  <c r="AE178"/>
  <c r="AV78" s="1"/>
  <c r="AV86" s="1"/>
  <c r="E21" i="21"/>
  <c r="E22" s="1"/>
  <c r="FG149" i="10"/>
  <c r="M5" i="21"/>
  <c r="L5"/>
  <c r="E665"/>
  <c r="BN22" i="10"/>
  <c r="BP21"/>
  <c r="BQ21"/>
  <c r="GA32" i="21"/>
  <c r="GB32"/>
  <c r="FW269"/>
  <c r="FW271"/>
  <c r="FW273"/>
  <c r="FZ33" s="1"/>
  <c r="FW272"/>
  <c r="FW270"/>
  <c r="O6"/>
  <c r="H533"/>
  <c r="F534" l="1"/>
  <c r="D534"/>
  <c r="M533"/>
  <c r="J534"/>
  <c r="E534"/>
  <c r="B536"/>
  <c r="L535" s="1"/>
  <c r="I534"/>
  <c r="C534"/>
  <c r="G534"/>
  <c r="K534"/>
  <c r="O12"/>
  <c r="E40" s="1"/>
  <c r="I14"/>
  <c r="J14" s="1"/>
  <c r="BC447" i="10"/>
  <c r="FH149"/>
  <c r="FH150" s="1"/>
  <c r="AZ447"/>
  <c r="AX447"/>
  <c r="BB447"/>
  <c r="BA78"/>
  <c r="AW453"/>
  <c r="BA447"/>
  <c r="BD447"/>
  <c r="AW450"/>
  <c r="AY447"/>
  <c r="AV447"/>
  <c r="AW452"/>
  <c r="AW454"/>
  <c r="AW451"/>
  <c r="AW447"/>
  <c r="AZ78"/>
  <c r="AW449"/>
  <c r="AW448"/>
  <c r="AW81"/>
  <c r="BA86"/>
  <c r="AW86"/>
  <c r="AW83"/>
  <c r="AW82"/>
  <c r="AW79"/>
  <c r="AW85"/>
  <c r="AW84"/>
  <c r="AW80"/>
  <c r="AW78"/>
  <c r="AZ52"/>
  <c r="BA52"/>
  <c r="BM22"/>
  <c r="BE22"/>
  <c r="BO22"/>
  <c r="FW278" i="21"/>
  <c r="FW280"/>
  <c r="FW279"/>
  <c r="FW277"/>
  <c r="FW275"/>
  <c r="FW276"/>
  <c r="O9"/>
  <c r="H534"/>
  <c r="D535" l="1"/>
  <c r="M534"/>
  <c r="I535"/>
  <c r="B537"/>
  <c r="K536" s="1"/>
  <c r="F535"/>
  <c r="E535"/>
  <c r="C535"/>
  <c r="G535"/>
  <c r="K535"/>
  <c r="J535"/>
  <c r="E58"/>
  <c r="L14"/>
  <c r="J18"/>
  <c r="M14"/>
  <c r="E50"/>
  <c r="G50" s="1"/>
  <c r="F50" s="1"/>
  <c r="G40"/>
  <c r="F650" s="1"/>
  <c r="F664" s="1"/>
  <c r="F14"/>
  <c r="F19" s="1"/>
  <c r="FK149" i="10"/>
  <c r="D650" i="21"/>
  <c r="D664" s="1"/>
  <c r="AE191" i="10"/>
  <c r="AF102" s="1"/>
  <c r="AG102" s="1"/>
  <c r="BN23"/>
  <c r="BP22"/>
  <c r="BQ22"/>
  <c r="GB33" i="21"/>
  <c r="GA33"/>
  <c r="FW282"/>
  <c r="FW284"/>
  <c r="FW286"/>
  <c r="FW285"/>
  <c r="FW283"/>
  <c r="FW281"/>
  <c r="H535"/>
  <c r="F536" l="1"/>
  <c r="G536"/>
  <c r="D536"/>
  <c r="J536"/>
  <c r="M535"/>
  <c r="B538"/>
  <c r="G537" s="1"/>
  <c r="I536"/>
  <c r="C536"/>
  <c r="L536"/>
  <c r="E536"/>
  <c r="AF121" i="10"/>
  <c r="AG121" s="1"/>
  <c r="AF56"/>
  <c r="AG56" s="1"/>
  <c r="AF5"/>
  <c r="AG5" s="1"/>
  <c r="AF164"/>
  <c r="AG164" s="1"/>
  <c r="AF166"/>
  <c r="AG166" s="1"/>
  <c r="AF168"/>
  <c r="AG168" s="1"/>
  <c r="AF170"/>
  <c r="AG170" s="1"/>
  <c r="AF172"/>
  <c r="AG172" s="1"/>
  <c r="AF174"/>
  <c r="AG174" s="1"/>
  <c r="AF165"/>
  <c r="AG165" s="1"/>
  <c r="AF167"/>
  <c r="AG167" s="1"/>
  <c r="AF169"/>
  <c r="AG169" s="1"/>
  <c r="AF171"/>
  <c r="AG171" s="1"/>
  <c r="AF173"/>
  <c r="AG173" s="1"/>
  <c r="AF49"/>
  <c r="AG49" s="1"/>
  <c r="AF177"/>
  <c r="AG177" s="1"/>
  <c r="AF175"/>
  <c r="AG175" s="1"/>
  <c r="AF176"/>
  <c r="AG176" s="1"/>
  <c r="AF183"/>
  <c r="AG183" s="1"/>
  <c r="AF181"/>
  <c r="AG181" s="1"/>
  <c r="AF182"/>
  <c r="AG182" s="1"/>
  <c r="AF185"/>
  <c r="AG185" s="1"/>
  <c r="AF184"/>
  <c r="AG184" s="1"/>
  <c r="AF179"/>
  <c r="AG179" s="1"/>
  <c r="AF180"/>
  <c r="AG180" s="1"/>
  <c r="AF178"/>
  <c r="AG178" s="1"/>
  <c r="G19" i="21"/>
  <c r="BE78" i="10" s="1"/>
  <c r="E23" i="21"/>
  <c r="FL149" i="10"/>
  <c r="FL150" s="1"/>
  <c r="E54" i="21"/>
  <c r="F54" s="1"/>
  <c r="H50"/>
  <c r="AF34" i="10"/>
  <c r="AG34" s="1"/>
  <c r="AF76"/>
  <c r="AG76" s="1"/>
  <c r="AF130"/>
  <c r="AG130" s="1"/>
  <c r="AF23"/>
  <c r="AG23" s="1"/>
  <c r="E56" i="21"/>
  <c r="F56" s="1"/>
  <c r="E55"/>
  <c r="F55" s="1"/>
  <c r="E53"/>
  <c r="D660"/>
  <c r="D674" s="1"/>
  <c r="AF99" i="10"/>
  <c r="AG99" s="1"/>
  <c r="AF116"/>
  <c r="AG116" s="1"/>
  <c r="AF69"/>
  <c r="AG69" s="1"/>
  <c r="AF106"/>
  <c r="AG106" s="1"/>
  <c r="AF128"/>
  <c r="AG128" s="1"/>
  <c r="AF97"/>
  <c r="AG97" s="1"/>
  <c r="AF30"/>
  <c r="AG30" s="1"/>
  <c r="AF156"/>
  <c r="AG156" s="1"/>
  <c r="AF159"/>
  <c r="AG159" s="1"/>
  <c r="AF157"/>
  <c r="AG157" s="1"/>
  <c r="AF158"/>
  <c r="AG158" s="1"/>
  <c r="AF161"/>
  <c r="AG161" s="1"/>
  <c r="AF163"/>
  <c r="AG163" s="1"/>
  <c r="AF162"/>
  <c r="AG162" s="1"/>
  <c r="AF160"/>
  <c r="AG160" s="1"/>
  <c r="AF4"/>
  <c r="AG4" s="1"/>
  <c r="AF35"/>
  <c r="AG35" s="1"/>
  <c r="AW97"/>
  <c r="AY97"/>
  <c r="AT93"/>
  <c r="AT78"/>
  <c r="AF191"/>
  <c r="AW446"/>
  <c r="BB97"/>
  <c r="BA97"/>
  <c r="AF64"/>
  <c r="AG64" s="1"/>
  <c r="H40" i="21"/>
  <c r="F40"/>
  <c r="E650" s="1"/>
  <c r="E664" s="1"/>
  <c r="AF77" i="10"/>
  <c r="AG77" s="1"/>
  <c r="AF65"/>
  <c r="AG65" s="1"/>
  <c r="AF188"/>
  <c r="AG188" s="1"/>
  <c r="AF187"/>
  <c r="AG187" s="1"/>
  <c r="AF186"/>
  <c r="AG186" s="1"/>
  <c r="AF190"/>
  <c r="AG190" s="1"/>
  <c r="AF189"/>
  <c r="AG189" s="1"/>
  <c r="AF125"/>
  <c r="AG125" s="1"/>
  <c r="AF70"/>
  <c r="AG70" s="1"/>
  <c r="AF141"/>
  <c r="AG141" s="1"/>
  <c r="AF105"/>
  <c r="AG105" s="1"/>
  <c r="BM23"/>
  <c r="BE23"/>
  <c r="AF91"/>
  <c r="AG91" s="1"/>
  <c r="AF74"/>
  <c r="AG74" s="1"/>
  <c r="AF150"/>
  <c r="AG150" s="1"/>
  <c r="AF154"/>
  <c r="AG154" s="1"/>
  <c r="AF143"/>
  <c r="AG143" s="1"/>
  <c r="AF3"/>
  <c r="AG3" s="1"/>
  <c r="AF8"/>
  <c r="AG8" s="1"/>
  <c r="AF12"/>
  <c r="AG12" s="1"/>
  <c r="AF16"/>
  <c r="AG16" s="1"/>
  <c r="AF20"/>
  <c r="AG20" s="1"/>
  <c r="AF25"/>
  <c r="AG25" s="1"/>
  <c r="AF32"/>
  <c r="AG32" s="1"/>
  <c r="AF38"/>
  <c r="AG38" s="1"/>
  <c r="AF42"/>
  <c r="AG42" s="1"/>
  <c r="AF46"/>
  <c r="AG46" s="1"/>
  <c r="AF51"/>
  <c r="AG51" s="1"/>
  <c r="AF54"/>
  <c r="AG54" s="1"/>
  <c r="AF59"/>
  <c r="AG59" s="1"/>
  <c r="AF63"/>
  <c r="AG63" s="1"/>
  <c r="AF67"/>
  <c r="AG67" s="1"/>
  <c r="AF72"/>
  <c r="AG72" s="1"/>
  <c r="AF78"/>
  <c r="AG78" s="1"/>
  <c r="AF82"/>
  <c r="AG82" s="1"/>
  <c r="AF86"/>
  <c r="AG86" s="1"/>
  <c r="AF90"/>
  <c r="AG90" s="1"/>
  <c r="AF95"/>
  <c r="AG95" s="1"/>
  <c r="AF101"/>
  <c r="AG101" s="1"/>
  <c r="AF111"/>
  <c r="AG111" s="1"/>
  <c r="AF115"/>
  <c r="AG115" s="1"/>
  <c r="AF120"/>
  <c r="AG120" s="1"/>
  <c r="AF124"/>
  <c r="AG124" s="1"/>
  <c r="AF131"/>
  <c r="AG131" s="1"/>
  <c r="AF135"/>
  <c r="AG135" s="1"/>
  <c r="AF139"/>
  <c r="AG139" s="1"/>
  <c r="AF151"/>
  <c r="AG151" s="1"/>
  <c r="AF155"/>
  <c r="AG155" s="1"/>
  <c r="AF144"/>
  <c r="AG144" s="1"/>
  <c r="AF9"/>
  <c r="AG9" s="1"/>
  <c r="AF13"/>
  <c r="AG13" s="1"/>
  <c r="AF17"/>
  <c r="AG17" s="1"/>
  <c r="AF21"/>
  <c r="AG21" s="1"/>
  <c r="AF26"/>
  <c r="AG26" s="1"/>
  <c r="AF28"/>
  <c r="AG28" s="1"/>
  <c r="AF33"/>
  <c r="AG33" s="1"/>
  <c r="AF39"/>
  <c r="AG39" s="1"/>
  <c r="AF43"/>
  <c r="AG43" s="1"/>
  <c r="AF47"/>
  <c r="AG47" s="1"/>
  <c r="AF52"/>
  <c r="AG52" s="1"/>
  <c r="AF55"/>
  <c r="AG55" s="1"/>
  <c r="AF60"/>
  <c r="AG60" s="1"/>
  <c r="AF68"/>
  <c r="AG68" s="1"/>
  <c r="AF73"/>
  <c r="AG73" s="1"/>
  <c r="AF79"/>
  <c r="AG79" s="1"/>
  <c r="AF83"/>
  <c r="AG83" s="1"/>
  <c r="AF87"/>
  <c r="AG87" s="1"/>
  <c r="AF92"/>
  <c r="AG92" s="1"/>
  <c r="AF96"/>
  <c r="AF103"/>
  <c r="AG103" s="1"/>
  <c r="AF108"/>
  <c r="AG108" s="1"/>
  <c r="AF112"/>
  <c r="AG112" s="1"/>
  <c r="AF117"/>
  <c r="AG117" s="1"/>
  <c r="AF126"/>
  <c r="AG126" s="1"/>
  <c r="AF132"/>
  <c r="AG132" s="1"/>
  <c r="AF136"/>
  <c r="AG136" s="1"/>
  <c r="AF140"/>
  <c r="AG140" s="1"/>
  <c r="AF148"/>
  <c r="AG148" s="1"/>
  <c r="AF19"/>
  <c r="AG19" s="1"/>
  <c r="AF6"/>
  <c r="AG6" s="1"/>
  <c r="AF14"/>
  <c r="AF22"/>
  <c r="AG22" s="1"/>
  <c r="AF29"/>
  <c r="AG29" s="1"/>
  <c r="AF40"/>
  <c r="AG40" s="1"/>
  <c r="AF48"/>
  <c r="AG48" s="1"/>
  <c r="AF57"/>
  <c r="AG57" s="1"/>
  <c r="AF84"/>
  <c r="AG84" s="1"/>
  <c r="AF93"/>
  <c r="AG93" s="1"/>
  <c r="AF104"/>
  <c r="AG104" s="1"/>
  <c r="AF113"/>
  <c r="AG113" s="1"/>
  <c r="AF122"/>
  <c r="AG122" s="1"/>
  <c r="AF133"/>
  <c r="AG133" s="1"/>
  <c r="AF123"/>
  <c r="AG123" s="1"/>
  <c r="AF152"/>
  <c r="AG152" s="1"/>
  <c r="AF10"/>
  <c r="AG10" s="1"/>
  <c r="AF44"/>
  <c r="AG44" s="1"/>
  <c r="AF53"/>
  <c r="AG53" s="1"/>
  <c r="AF88"/>
  <c r="AG88" s="1"/>
  <c r="AF109"/>
  <c r="AG109" s="1"/>
  <c r="AF118"/>
  <c r="AG118" s="1"/>
  <c r="AF137"/>
  <c r="AG137" s="1"/>
  <c r="AF11"/>
  <c r="AG11" s="1"/>
  <c r="AF37"/>
  <c r="AG37" s="1"/>
  <c r="AF45"/>
  <c r="AG45" s="1"/>
  <c r="AF62"/>
  <c r="AG62" s="1"/>
  <c r="AF81"/>
  <c r="AG81" s="1"/>
  <c r="AF89"/>
  <c r="AG89" s="1"/>
  <c r="AF110"/>
  <c r="AG110" s="1"/>
  <c r="AF129"/>
  <c r="AG129" s="1"/>
  <c r="AF149"/>
  <c r="AG149" s="1"/>
  <c r="AF7"/>
  <c r="AG7" s="1"/>
  <c r="AF15"/>
  <c r="AG15" s="1"/>
  <c r="AF24"/>
  <c r="AG24" s="1"/>
  <c r="AF31"/>
  <c r="AG31" s="1"/>
  <c r="AF41"/>
  <c r="AG41" s="1"/>
  <c r="AF50"/>
  <c r="AG50" s="1"/>
  <c r="AF58"/>
  <c r="AG58" s="1"/>
  <c r="AF66"/>
  <c r="AG66" s="1"/>
  <c r="AF75"/>
  <c r="AG75" s="1"/>
  <c r="AF85"/>
  <c r="AG85" s="1"/>
  <c r="AF94"/>
  <c r="AG94" s="1"/>
  <c r="AF107"/>
  <c r="AG107" s="1"/>
  <c r="AF114"/>
  <c r="AG114" s="1"/>
  <c r="AF134"/>
  <c r="AG134" s="1"/>
  <c r="AF145"/>
  <c r="AG145" s="1"/>
  <c r="AF18"/>
  <c r="AG18" s="1"/>
  <c r="AF36"/>
  <c r="AG36" s="1"/>
  <c r="AF61"/>
  <c r="AG61" s="1"/>
  <c r="AF80"/>
  <c r="AG80" s="1"/>
  <c r="AF98"/>
  <c r="AG98" s="1"/>
  <c r="AF127"/>
  <c r="AG127" s="1"/>
  <c r="AF153"/>
  <c r="AF146"/>
  <c r="AG146" s="1"/>
  <c r="AF27"/>
  <c r="AG27" s="1"/>
  <c r="AF71"/>
  <c r="AG71" s="1"/>
  <c r="AF100"/>
  <c r="AG100" s="1"/>
  <c r="AF119"/>
  <c r="AG119" s="1"/>
  <c r="AF138"/>
  <c r="AG138" s="1"/>
  <c r="BO23"/>
  <c r="FW291" i="21"/>
  <c r="FW293"/>
  <c r="FZ34"/>
  <c r="FW290"/>
  <c r="FW292"/>
  <c r="FW288"/>
  <c r="FW289"/>
  <c r="AF2" i="10"/>
  <c r="AG2" s="1"/>
  <c r="BC78"/>
  <c r="BC86" s="1"/>
  <c r="AF147"/>
  <c r="AG147" s="1"/>
  <c r="AF142"/>
  <c r="AG142" s="1"/>
  <c r="H536" i="21"/>
  <c r="AV89" i="10" l="1"/>
  <c r="F537" i="21"/>
  <c r="E537"/>
  <c r="B539"/>
  <c r="E538" s="1"/>
  <c r="D537"/>
  <c r="I537"/>
  <c r="M536"/>
  <c r="L537"/>
  <c r="K537"/>
  <c r="J537"/>
  <c r="C537"/>
  <c r="K23"/>
  <c r="L18"/>
  <c r="K15"/>
  <c r="M18"/>
  <c r="K16"/>
  <c r="K14"/>
  <c r="K17"/>
  <c r="FO149" i="10"/>
  <c r="F53" i="21"/>
  <c r="G53"/>
  <c r="F660"/>
  <c r="F674" s="1"/>
  <c r="E660"/>
  <c r="E674" s="1"/>
  <c r="AV114" i="10"/>
  <c r="AY108"/>
  <c r="AG153"/>
  <c r="AZ86"/>
  <c r="AW92" s="1"/>
  <c r="AY92" s="1"/>
  <c r="AG14"/>
  <c r="AY105"/>
  <c r="AW105"/>
  <c r="BA105"/>
  <c r="BC97"/>
  <c r="AG96"/>
  <c r="AW77"/>
  <c r="BB105"/>
  <c r="AZ53"/>
  <c r="AY54"/>
  <c r="BB54" s="1"/>
  <c r="BA53"/>
  <c r="AT86"/>
  <c r="BB86"/>
  <c r="BN24"/>
  <c r="BQ23"/>
  <c r="BP23"/>
  <c r="S221"/>
  <c r="GA34" i="21"/>
  <c r="GB34"/>
  <c r="FW295"/>
  <c r="FW297"/>
  <c r="FW299"/>
  <c r="FW298"/>
  <c r="FW296"/>
  <c r="FW294"/>
  <c r="H537"/>
  <c r="AY134" i="10" l="1"/>
  <c r="AV128"/>
  <c r="AT122" s="1"/>
  <c r="AX134"/>
  <c r="D538" i="21"/>
  <c r="J538"/>
  <c r="F538"/>
  <c r="G538"/>
  <c r="B540"/>
  <c r="C539" s="1"/>
  <c r="I538"/>
  <c r="C538"/>
  <c r="L538"/>
  <c r="K538"/>
  <c r="M537"/>
  <c r="K18"/>
  <c r="FP149" i="10"/>
  <c r="FP150" s="1"/>
  <c r="AT128"/>
  <c r="AX114"/>
  <c r="AX128" s="1"/>
  <c r="AY139"/>
  <c r="AY141" s="1"/>
  <c r="AT114"/>
  <c r="AX139"/>
  <c r="AX141" s="1"/>
  <c r="BA108"/>
  <c r="AW108"/>
  <c r="BB108"/>
  <c r="BA89"/>
  <c r="AZ89"/>
  <c r="AE204"/>
  <c r="BC105"/>
  <c r="BD100" s="1"/>
  <c r="AG191"/>
  <c r="AV87" s="1"/>
  <c r="AZ54"/>
  <c r="BA54"/>
  <c r="BM24"/>
  <c r="BE24"/>
  <c r="BO24"/>
  <c r="T221"/>
  <c r="V221" s="1"/>
  <c r="U221"/>
  <c r="FZ35" i="21"/>
  <c r="FW303"/>
  <c r="FW304"/>
  <c r="FW301"/>
  <c r="FW305"/>
  <c r="FW302"/>
  <c r="FW306"/>
  <c r="H538"/>
  <c r="AV90" i="10" l="1"/>
  <c r="BA109" s="1"/>
  <c r="AU131"/>
  <c r="M538" i="21"/>
  <c r="F539"/>
  <c r="E539"/>
  <c r="L539"/>
  <c r="I539"/>
  <c r="B541"/>
  <c r="F540" s="1"/>
  <c r="K539"/>
  <c r="J539"/>
  <c r="D539"/>
  <c r="G539"/>
  <c r="AW119" i="10"/>
  <c r="AW122"/>
  <c r="AW121"/>
  <c r="AW123"/>
  <c r="AW124"/>
  <c r="AW120"/>
  <c r="FS149"/>
  <c r="AW116"/>
  <c r="AW117"/>
  <c r="AW118"/>
  <c r="AW112"/>
  <c r="AW127"/>
  <c r="AW114"/>
  <c r="AW113"/>
  <c r="AW115"/>
  <c r="AW125"/>
  <c r="AW126"/>
  <c r="AZ139"/>
  <c r="AZ141" s="1"/>
  <c r="BD103"/>
  <c r="BD97"/>
  <c r="BC108"/>
  <c r="AW106"/>
  <c r="AY106"/>
  <c r="AE201"/>
  <c r="AY55"/>
  <c r="BB55" s="1"/>
  <c r="BN25"/>
  <c r="BQ24"/>
  <c r="BP24"/>
  <c r="GA35" i="21"/>
  <c r="GB35"/>
  <c r="FW311"/>
  <c r="FW307"/>
  <c r="FW308"/>
  <c r="FW310"/>
  <c r="FW312"/>
  <c r="FW309"/>
  <c r="H539"/>
  <c r="AZ90" i="10" l="1"/>
  <c r="AY109"/>
  <c r="BA90"/>
  <c r="AW109"/>
  <c r="BB109"/>
  <c r="BC109" s="1"/>
  <c r="AY113"/>
  <c r="AY112"/>
  <c r="AY114"/>
  <c r="AY125"/>
  <c r="I540" i="21"/>
  <c r="B542"/>
  <c r="D541" s="1"/>
  <c r="G540"/>
  <c r="J540"/>
  <c r="K540"/>
  <c r="M539"/>
  <c r="C540"/>
  <c r="L540"/>
  <c r="E540"/>
  <c r="D540"/>
  <c r="AW128" i="10"/>
  <c r="AY124"/>
  <c r="AY121"/>
  <c r="AY119"/>
  <c r="AY120"/>
  <c r="AY123"/>
  <c r="AY122"/>
  <c r="FT149"/>
  <c r="FT150" s="1"/>
  <c r="AY115"/>
  <c r="AY118"/>
  <c r="AY126"/>
  <c r="AY117"/>
  <c r="AY127"/>
  <c r="AY116"/>
  <c r="AZ87"/>
  <c r="BB92" s="1"/>
  <c r="BA87"/>
  <c r="BA106"/>
  <c r="BB106"/>
  <c r="AV131"/>
  <c r="AY56"/>
  <c r="BB56" s="1"/>
  <c r="AZ55"/>
  <c r="BA55"/>
  <c r="BM25"/>
  <c r="BE25"/>
  <c r="BO25"/>
  <c r="FW317" i="21"/>
  <c r="FZ36"/>
  <c r="FW318"/>
  <c r="FW316"/>
  <c r="FW315"/>
  <c r="FW314"/>
  <c r="FW319"/>
  <c r="H540"/>
  <c r="AZ125" i="10" l="1"/>
  <c r="K541" i="21"/>
  <c r="C541"/>
  <c r="L541"/>
  <c r="I541"/>
  <c r="B543"/>
  <c r="L542" s="1"/>
  <c r="J541"/>
  <c r="G541"/>
  <c r="F541"/>
  <c r="E541"/>
  <c r="M540"/>
  <c r="AZ116" i="10"/>
  <c r="AZ127"/>
  <c r="AZ118"/>
  <c r="AZ115"/>
  <c r="AZ122"/>
  <c r="AZ120"/>
  <c r="AZ121"/>
  <c r="AZ126"/>
  <c r="AZ124"/>
  <c r="AZ117"/>
  <c r="AZ123"/>
  <c r="AZ119"/>
  <c r="AV134"/>
  <c r="AV135" s="1"/>
  <c r="AU134"/>
  <c r="AU135" s="1"/>
  <c r="AY128"/>
  <c r="AY131"/>
  <c r="AU397"/>
  <c r="FW149"/>
  <c r="AZ113"/>
  <c r="AZ114"/>
  <c r="AU398"/>
  <c r="AW131"/>
  <c r="AX131" s="1"/>
  <c r="BC106"/>
  <c r="AY57"/>
  <c r="BB57" s="1"/>
  <c r="BN26"/>
  <c r="BQ25"/>
  <c r="BP25"/>
  <c r="GA36" i="21"/>
  <c r="GB36"/>
  <c r="FW321"/>
  <c r="FW323"/>
  <c r="FW325"/>
  <c r="FW324"/>
  <c r="FW322"/>
  <c r="FW320"/>
  <c r="H541"/>
  <c r="BE97" i="10" l="1"/>
  <c r="BE103"/>
  <c r="BE100"/>
  <c r="G542" i="21"/>
  <c r="J542"/>
  <c r="B544"/>
  <c r="J543" s="1"/>
  <c r="C542"/>
  <c r="E542"/>
  <c r="D542"/>
  <c r="K542"/>
  <c r="F542"/>
  <c r="I542"/>
  <c r="M541"/>
  <c r="AY132" i="10"/>
  <c r="FX149"/>
  <c r="FX150" s="1"/>
  <c r="AZ56"/>
  <c r="BA56"/>
  <c r="AY58"/>
  <c r="BB58" s="1"/>
  <c r="BM26"/>
  <c r="BE26"/>
  <c r="BO26"/>
  <c r="FW330" i="21"/>
  <c r="FW328"/>
  <c r="FW329"/>
  <c r="FW332"/>
  <c r="FW331"/>
  <c r="FW327"/>
  <c r="FZ37"/>
  <c r="H542"/>
  <c r="C543" l="1"/>
  <c r="F543"/>
  <c r="L543"/>
  <c r="G543"/>
  <c r="B545"/>
  <c r="L544" s="1"/>
  <c r="D543"/>
  <c r="E543"/>
  <c r="I543"/>
  <c r="K543"/>
  <c r="M542"/>
  <c r="GA149" i="10"/>
  <c r="BN27"/>
  <c r="BQ26"/>
  <c r="BP26"/>
  <c r="GB37" i="21"/>
  <c r="GA37"/>
  <c r="FW334"/>
  <c r="FW333"/>
  <c r="FW338"/>
  <c r="FW336"/>
  <c r="FW337"/>
  <c r="FW335"/>
  <c r="H543"/>
  <c r="D544" l="1"/>
  <c r="C544"/>
  <c r="G544"/>
  <c r="E544"/>
  <c r="K544"/>
  <c r="J544"/>
  <c r="F544"/>
  <c r="B546"/>
  <c r="C545" s="1"/>
  <c r="I544"/>
  <c r="M543"/>
  <c r="GB149" i="10"/>
  <c r="GB150" s="1"/>
  <c r="AZ57"/>
  <c r="BA57"/>
  <c r="AY59"/>
  <c r="BB59" s="1"/>
  <c r="BM27"/>
  <c r="BE27"/>
  <c r="BO27"/>
  <c r="FW343" i="21"/>
  <c r="FW341"/>
  <c r="FW342"/>
  <c r="FW345"/>
  <c r="FZ38"/>
  <c r="FW340"/>
  <c r="FW344"/>
  <c r="H544"/>
  <c r="F545" l="1"/>
  <c r="J545"/>
  <c r="I545"/>
  <c r="G545"/>
  <c r="D545"/>
  <c r="L545"/>
  <c r="B547"/>
  <c r="L546" s="1"/>
  <c r="E545"/>
  <c r="M544"/>
  <c r="K545"/>
  <c r="GE149" i="10"/>
  <c r="BN28"/>
  <c r="BQ27"/>
  <c r="BP27"/>
  <c r="GA38" i="21"/>
  <c r="GB38"/>
  <c r="FW347"/>
  <c r="FW349"/>
  <c r="FW351"/>
  <c r="FW350"/>
  <c r="FW348"/>
  <c r="FW346"/>
  <c r="H545"/>
  <c r="K546" l="1"/>
  <c r="B548"/>
  <c r="C547" s="1"/>
  <c r="C546"/>
  <c r="E546"/>
  <c r="F546"/>
  <c r="D546"/>
  <c r="J546"/>
  <c r="M545"/>
  <c r="I546"/>
  <c r="G546"/>
  <c r="GF149" i="10"/>
  <c r="GF150" s="1"/>
  <c r="I121" i="22"/>
  <c r="AZ58" i="10"/>
  <c r="BA58"/>
  <c r="AY60"/>
  <c r="BB60" s="1"/>
  <c r="BM28"/>
  <c r="BE28"/>
  <c r="BO28"/>
  <c r="FZ39" i="21"/>
  <c r="FW354"/>
  <c r="FW356"/>
  <c r="FW358"/>
  <c r="FW355"/>
  <c r="FW353"/>
  <c r="FW357"/>
  <c r="H546"/>
  <c r="J547" l="1"/>
  <c r="G547"/>
  <c r="F547"/>
  <c r="E547"/>
  <c r="L547"/>
  <c r="D547"/>
  <c r="B549"/>
  <c r="K548" s="1"/>
  <c r="I547"/>
  <c r="K547"/>
  <c r="M546"/>
  <c r="D548"/>
  <c r="GI149" i="10"/>
  <c r="BN29"/>
  <c r="BQ28"/>
  <c r="BP28"/>
  <c r="GA39" i="21"/>
  <c r="GB39"/>
  <c r="FW359"/>
  <c r="FW361"/>
  <c r="FW363"/>
  <c r="FW362"/>
  <c r="FW360"/>
  <c r="FW364"/>
  <c r="H547"/>
  <c r="C548" l="1"/>
  <c r="J548"/>
  <c r="M547"/>
  <c r="I548"/>
  <c r="L548"/>
  <c r="F548"/>
  <c r="B550"/>
  <c r="D549" s="1"/>
  <c r="G548"/>
  <c r="E548"/>
  <c r="GJ149" i="10"/>
  <c r="GJ150" s="1"/>
  <c r="AZ59"/>
  <c r="BA59"/>
  <c r="AY61"/>
  <c r="BB61" s="1"/>
  <c r="BM29"/>
  <c r="BE29"/>
  <c r="BO29"/>
  <c r="FW369" i="21"/>
  <c r="FW367"/>
  <c r="FZ40"/>
  <c r="FW371"/>
  <c r="FW366"/>
  <c r="FW368"/>
  <c r="FW370"/>
  <c r="H548"/>
  <c r="K549" l="1"/>
  <c r="I549"/>
  <c r="E549"/>
  <c r="B551"/>
  <c r="L550" s="1"/>
  <c r="C549"/>
  <c r="J549"/>
  <c r="G549"/>
  <c r="F549"/>
  <c r="L549"/>
  <c r="M548"/>
  <c r="GM149" i="10"/>
  <c r="BN30"/>
  <c r="BQ29"/>
  <c r="BP29"/>
  <c r="GA40" i="21"/>
  <c r="GB40"/>
  <c r="FW373"/>
  <c r="FW372"/>
  <c r="FW377"/>
  <c r="FW375"/>
  <c r="FW376"/>
  <c r="FW374"/>
  <c r="H549"/>
  <c r="D550" l="1"/>
  <c r="F550"/>
  <c r="G550"/>
  <c r="I550"/>
  <c r="E550"/>
  <c r="J550"/>
  <c r="B552"/>
  <c r="G551" s="1"/>
  <c r="C550"/>
  <c r="K550"/>
  <c r="M549"/>
  <c r="D551"/>
  <c r="GN149" i="10"/>
  <c r="GN150" s="1"/>
  <c r="AZ60"/>
  <c r="BA60"/>
  <c r="AY62"/>
  <c r="BB62" s="1"/>
  <c r="BM30"/>
  <c r="BE30"/>
  <c r="BO30"/>
  <c r="FW382" i="21"/>
  <c r="FW380"/>
  <c r="FW379"/>
  <c r="FW384"/>
  <c r="FW383"/>
  <c r="FW381"/>
  <c r="FZ41"/>
  <c r="H550"/>
  <c r="B553" l="1"/>
  <c r="E552" s="1"/>
  <c r="K551"/>
  <c r="M550"/>
  <c r="C551"/>
  <c r="L551"/>
  <c r="I551"/>
  <c r="J551"/>
  <c r="F551"/>
  <c r="E551"/>
  <c r="GQ149" i="10"/>
  <c r="BN31"/>
  <c r="BQ30"/>
  <c r="BP30"/>
  <c r="GB41" i="21"/>
  <c r="GA41"/>
  <c r="FW386"/>
  <c r="FW388"/>
  <c r="FW390"/>
  <c r="FZ42" s="1"/>
  <c r="FW389"/>
  <c r="FW387"/>
  <c r="FW385"/>
  <c r="H551"/>
  <c r="I552" l="1"/>
  <c r="L552"/>
  <c r="D552"/>
  <c r="J552"/>
  <c r="K552"/>
  <c r="F552"/>
  <c r="G552"/>
  <c r="B554"/>
  <c r="J553" s="1"/>
  <c r="C552"/>
  <c r="M551"/>
  <c r="GR149" i="10"/>
  <c r="GR150" s="1"/>
  <c r="AZ61"/>
  <c r="BA61"/>
  <c r="BM31"/>
  <c r="BE31"/>
  <c r="BO31"/>
  <c r="GA42" i="21"/>
  <c r="GB42"/>
  <c r="H552"/>
  <c r="D553" l="1"/>
  <c r="I553"/>
  <c r="G553"/>
  <c r="K553"/>
  <c r="M552"/>
  <c r="B555"/>
  <c r="G554" s="1"/>
  <c r="E553"/>
  <c r="L553"/>
  <c r="F553"/>
  <c r="C553"/>
  <c r="GU149" i="10"/>
  <c r="BN32"/>
  <c r="BQ31"/>
  <c r="BP31"/>
  <c r="H553" i="21"/>
  <c r="K554" l="1"/>
  <c r="C554"/>
  <c r="D554"/>
  <c r="J554"/>
  <c r="B556"/>
  <c r="C555" s="1"/>
  <c r="I554"/>
  <c r="L554"/>
  <c r="E554"/>
  <c r="F554"/>
  <c r="M553"/>
  <c r="GV149" i="10"/>
  <c r="GV150" s="1"/>
  <c r="AZ62"/>
  <c r="BA62"/>
  <c r="BM32"/>
  <c r="BE32"/>
  <c r="BO32"/>
  <c r="H554" i="21"/>
  <c r="D555" l="1"/>
  <c r="K555"/>
  <c r="L555"/>
  <c r="I555"/>
  <c r="B557"/>
  <c r="G556" s="1"/>
  <c r="J555"/>
  <c r="G555"/>
  <c r="F555"/>
  <c r="E555"/>
  <c r="M554"/>
  <c r="GY149" i="10"/>
  <c r="BN33"/>
  <c r="BQ32"/>
  <c r="BP32"/>
  <c r="H555" i="21"/>
  <c r="L556" l="1"/>
  <c r="D556"/>
  <c r="M555"/>
  <c r="B558"/>
  <c r="J557" s="1"/>
  <c r="I556"/>
  <c r="E556"/>
  <c r="C556"/>
  <c r="J556"/>
  <c r="F556"/>
  <c r="K556"/>
  <c r="GZ149" i="10"/>
  <c r="GZ150" s="1"/>
  <c r="BM33"/>
  <c r="BE33"/>
  <c r="BO33"/>
  <c r="H556" i="21"/>
  <c r="F557" l="1"/>
  <c r="C557"/>
  <c r="E557"/>
  <c r="I557"/>
  <c r="K557"/>
  <c r="G557"/>
  <c r="B559"/>
  <c r="D558" s="1"/>
  <c r="L557"/>
  <c r="D557"/>
  <c r="M556"/>
  <c r="HC149" i="10"/>
  <c r="BN34"/>
  <c r="BQ33"/>
  <c r="BP33"/>
  <c r="H557" i="21"/>
  <c r="I558" l="1"/>
  <c r="C558"/>
  <c r="J558"/>
  <c r="B560"/>
  <c r="J559" s="1"/>
  <c r="L558"/>
  <c r="K558"/>
  <c r="M557"/>
  <c r="G558"/>
  <c r="F558"/>
  <c r="E558"/>
  <c r="HD149" i="10"/>
  <c r="HD150" s="1"/>
  <c r="BM34"/>
  <c r="BE34"/>
  <c r="BO34"/>
  <c r="V224"/>
  <c r="H558" i="21"/>
  <c r="F559" l="1"/>
  <c r="L559"/>
  <c r="D559"/>
  <c r="I559"/>
  <c r="B561"/>
  <c r="E560" s="1"/>
  <c r="K559"/>
  <c r="E559"/>
  <c r="C559"/>
  <c r="G559"/>
  <c r="M558"/>
  <c r="HG149" i="10"/>
  <c r="BN35"/>
  <c r="BQ34"/>
  <c r="BP34"/>
  <c r="S230"/>
  <c r="U224"/>
  <c r="S229"/>
  <c r="H559" i="21"/>
  <c r="G560" l="1"/>
  <c r="F560"/>
  <c r="D560"/>
  <c r="J560"/>
  <c r="M559"/>
  <c r="B562"/>
  <c r="L561" s="1"/>
  <c r="I560"/>
  <c r="C560"/>
  <c r="L560"/>
  <c r="K560"/>
  <c r="HH149" i="10"/>
  <c r="HH150" s="1"/>
  <c r="BM35"/>
  <c r="BE35"/>
  <c r="BO35"/>
  <c r="U229"/>
  <c r="T229"/>
  <c r="H560" i="21"/>
  <c r="K561" l="1"/>
  <c r="C561"/>
  <c r="B563"/>
  <c r="L562" s="1"/>
  <c r="E561"/>
  <c r="G561"/>
  <c r="F561"/>
  <c r="J561"/>
  <c r="D561"/>
  <c r="I561"/>
  <c r="M560"/>
  <c r="HK149" i="10"/>
  <c r="V229"/>
  <c r="BN36"/>
  <c r="BQ35"/>
  <c r="BP35"/>
  <c r="U230"/>
  <c r="T230"/>
  <c r="H561" i="21"/>
  <c r="K562" l="1"/>
  <c r="B564"/>
  <c r="G563" s="1"/>
  <c r="C562"/>
  <c r="I562"/>
  <c r="G562"/>
  <c r="D562"/>
  <c r="F562"/>
  <c r="J562"/>
  <c r="E562"/>
  <c r="M561"/>
  <c r="HL149" i="10"/>
  <c r="HL150" s="1"/>
  <c r="BM36"/>
  <c r="BE36"/>
  <c r="BO36"/>
  <c r="V230"/>
  <c r="H562" i="21"/>
  <c r="F563" l="1"/>
  <c r="J563"/>
  <c r="L563"/>
  <c r="C563"/>
  <c r="B565"/>
  <c r="L564" s="1"/>
  <c r="K563"/>
  <c r="E563"/>
  <c r="I563"/>
  <c r="D563"/>
  <c r="M562"/>
  <c r="HO149" i="10"/>
  <c r="BN37"/>
  <c r="BP36"/>
  <c r="BQ36"/>
  <c r="H563" i="21"/>
  <c r="J564" l="1"/>
  <c r="D564"/>
  <c r="M563"/>
  <c r="F564"/>
  <c r="E564"/>
  <c r="B566"/>
  <c r="E565" s="1"/>
  <c r="I564"/>
  <c r="C564"/>
  <c r="G564"/>
  <c r="K564"/>
  <c r="HP149" i="10"/>
  <c r="HP150" s="1"/>
  <c r="BM37"/>
  <c r="BE37"/>
  <c r="BO37"/>
  <c r="H564" i="21"/>
  <c r="G565" l="1"/>
  <c r="J565"/>
  <c r="C565"/>
  <c r="F565"/>
  <c r="L565"/>
  <c r="M564"/>
  <c r="B567"/>
  <c r="L566" s="1"/>
  <c r="I565"/>
  <c r="D565"/>
  <c r="K565"/>
  <c r="HS149" i="10"/>
  <c r="BN38"/>
  <c r="BP37"/>
  <c r="BQ37"/>
  <c r="H565" i="21"/>
  <c r="F566" l="1"/>
  <c r="D566"/>
  <c r="M565"/>
  <c r="J566"/>
  <c r="E566"/>
  <c r="B568"/>
  <c r="G567" s="1"/>
  <c r="I566"/>
  <c r="C566"/>
  <c r="G566"/>
  <c r="K566"/>
  <c r="HT149" i="10"/>
  <c r="HT150" s="1"/>
  <c r="BM38"/>
  <c r="BE38"/>
  <c r="BO38"/>
  <c r="H566" i="21"/>
  <c r="I567" l="1"/>
  <c r="E567"/>
  <c r="B569"/>
  <c r="E568" s="1"/>
  <c r="K567"/>
  <c r="D567"/>
  <c r="M566"/>
  <c r="C567"/>
  <c r="F567"/>
  <c r="J567"/>
  <c r="L567"/>
  <c r="HW149" i="10"/>
  <c r="BN39"/>
  <c r="BP38"/>
  <c r="BQ38"/>
  <c r="H567" i="21"/>
  <c r="K568" l="1"/>
  <c r="D568"/>
  <c r="J568"/>
  <c r="F568"/>
  <c r="G568"/>
  <c r="B570"/>
  <c r="J569" s="1"/>
  <c r="I568"/>
  <c r="C568"/>
  <c r="L568"/>
  <c r="M567"/>
  <c r="HX149" i="10"/>
  <c r="HX150" s="1"/>
  <c r="BM39"/>
  <c r="BE39"/>
  <c r="BO39"/>
  <c r="H568" i="21"/>
  <c r="K569" l="1"/>
  <c r="L569"/>
  <c r="M568"/>
  <c r="B571"/>
  <c r="L570" s="1"/>
  <c r="E569"/>
  <c r="I569"/>
  <c r="F569"/>
  <c r="D569"/>
  <c r="G569"/>
  <c r="C569"/>
  <c r="IB149" i="10"/>
  <c r="IB150" s="1"/>
  <c r="IA149"/>
  <c r="BN40"/>
  <c r="BQ39"/>
  <c r="BP39"/>
  <c r="H569" i="21"/>
  <c r="C570" l="1"/>
  <c r="K570"/>
  <c r="M569"/>
  <c r="G570"/>
  <c r="I570"/>
  <c r="B572"/>
  <c r="F571" s="1"/>
  <c r="J570"/>
  <c r="E570"/>
  <c r="F570"/>
  <c r="D570"/>
  <c r="BM40" i="10"/>
  <c r="BE40"/>
  <c r="BO40"/>
  <c r="H570" i="21"/>
  <c r="L571" l="1"/>
  <c r="C571"/>
  <c r="M570"/>
  <c r="B573"/>
  <c r="D572" s="1"/>
  <c r="E571"/>
  <c r="G571"/>
  <c r="K571"/>
  <c r="J571"/>
  <c r="D571"/>
  <c r="I571"/>
  <c r="BN41" i="10"/>
  <c r="BQ40"/>
  <c r="BP40"/>
  <c r="H571" i="21"/>
  <c r="J572" l="1"/>
  <c r="K572"/>
  <c r="B574"/>
  <c r="G573" s="1"/>
  <c r="G572"/>
  <c r="F572"/>
  <c r="M571"/>
  <c r="C572"/>
  <c r="L572"/>
  <c r="E572"/>
  <c r="I572"/>
  <c r="BM41" i="10"/>
  <c r="BE41"/>
  <c r="BO41"/>
  <c r="H572" i="21"/>
  <c r="K573" l="1"/>
  <c r="B575"/>
  <c r="K574" s="1"/>
  <c r="J573"/>
  <c r="I573"/>
  <c r="L573"/>
  <c r="C573"/>
  <c r="D573"/>
  <c r="E573"/>
  <c r="F573"/>
  <c r="M572"/>
  <c r="BO42" i="10"/>
  <c r="BN42"/>
  <c r="BQ41"/>
  <c r="BP41"/>
  <c r="H573" i="21"/>
  <c r="D574" l="1"/>
  <c r="F574"/>
  <c r="J574"/>
  <c r="G574"/>
  <c r="B576"/>
  <c r="J575" s="1"/>
  <c r="I574"/>
  <c r="C574"/>
  <c r="E574"/>
  <c r="L574"/>
  <c r="M573"/>
  <c r="BM42" i="10"/>
  <c r="BE42"/>
  <c r="BQ42"/>
  <c r="BP42"/>
  <c r="H575" i="21"/>
  <c r="H574"/>
  <c r="C575" l="1"/>
  <c r="F575"/>
  <c r="M574"/>
  <c r="L575"/>
  <c r="G575"/>
  <c r="B577"/>
  <c r="E576" s="1"/>
  <c r="K575"/>
  <c r="E575"/>
  <c r="I575"/>
  <c r="D575"/>
  <c r="I576" l="1"/>
  <c r="J576"/>
  <c r="M575"/>
  <c r="B578"/>
  <c r="L577" s="1"/>
  <c r="K576"/>
  <c r="G576"/>
  <c r="D576"/>
  <c r="F576"/>
  <c r="C576"/>
  <c r="L576"/>
  <c r="H576"/>
  <c r="E577" l="1"/>
  <c r="K577"/>
  <c r="B579"/>
  <c r="F578" s="1"/>
  <c r="I577"/>
  <c r="F577"/>
  <c r="M576"/>
  <c r="J577"/>
  <c r="C577"/>
  <c r="G577"/>
  <c r="D577"/>
  <c r="H577"/>
  <c r="G578" l="1"/>
  <c r="B580"/>
  <c r="G579" s="1"/>
  <c r="C578"/>
  <c r="I578"/>
  <c r="K578"/>
  <c r="D578"/>
  <c r="J578"/>
  <c r="E578"/>
  <c r="L578"/>
  <c r="M577"/>
  <c r="H578"/>
  <c r="F579" l="1"/>
  <c r="E579"/>
  <c r="L579"/>
  <c r="C579"/>
  <c r="B581"/>
  <c r="L580" s="1"/>
  <c r="K579"/>
  <c r="J579"/>
  <c r="D579"/>
  <c r="I579"/>
  <c r="M578"/>
  <c r="H579"/>
  <c r="E580" l="1"/>
  <c r="J580"/>
  <c r="M579"/>
  <c r="D580"/>
  <c r="F580"/>
  <c r="B582"/>
  <c r="C581" s="1"/>
  <c r="I580"/>
  <c r="C580"/>
  <c r="G580"/>
  <c r="K580"/>
  <c r="H580"/>
  <c r="G581" l="1"/>
  <c r="J581"/>
  <c r="B583"/>
  <c r="L582" s="1"/>
  <c r="F581"/>
  <c r="L581"/>
  <c r="M580"/>
  <c r="I581"/>
  <c r="D581"/>
  <c r="K581"/>
  <c r="E581"/>
  <c r="H581"/>
  <c r="K582" l="1"/>
  <c r="J582"/>
  <c r="D582"/>
  <c r="F582"/>
  <c r="M581"/>
  <c r="B584"/>
  <c r="C583" s="1"/>
  <c r="I582"/>
  <c r="C582"/>
  <c r="E582"/>
  <c r="G582"/>
  <c r="H582"/>
  <c r="I583" l="1"/>
  <c r="J583"/>
  <c r="B585"/>
  <c r="L584" s="1"/>
  <c r="F583"/>
  <c r="K583"/>
  <c r="M582"/>
  <c r="G583"/>
  <c r="E583"/>
  <c r="D583"/>
  <c r="L583"/>
  <c r="K584"/>
  <c r="H583"/>
  <c r="B586" l="1"/>
  <c r="C585" s="1"/>
  <c r="C584"/>
  <c r="I584"/>
  <c r="E584"/>
  <c r="D584"/>
  <c r="F584"/>
  <c r="J584"/>
  <c r="G584"/>
  <c r="M583"/>
  <c r="H584"/>
  <c r="G585" l="1"/>
  <c r="J585"/>
  <c r="F585"/>
  <c r="D585"/>
  <c r="B587"/>
  <c r="L586" s="1"/>
  <c r="L585"/>
  <c r="K585"/>
  <c r="E585"/>
  <c r="I585"/>
  <c r="M584"/>
  <c r="H585"/>
  <c r="H586"/>
  <c r="F586" l="1"/>
  <c r="E586"/>
  <c r="M585"/>
  <c r="D586"/>
  <c r="J586"/>
  <c r="B588"/>
  <c r="F587" s="1"/>
  <c r="K586"/>
  <c r="I586"/>
  <c r="C586"/>
  <c r="G586"/>
  <c r="J587" l="1"/>
  <c r="L587"/>
  <c r="M586"/>
  <c r="B589"/>
  <c r="D588" s="1"/>
  <c r="D587"/>
  <c r="K587"/>
  <c r="E587"/>
  <c r="I587"/>
  <c r="C587"/>
  <c r="G587"/>
  <c r="H587"/>
  <c r="C588" l="1"/>
  <c r="E588"/>
  <c r="G588"/>
  <c r="F588"/>
  <c r="B590"/>
  <c r="C589" s="1"/>
  <c r="J588"/>
  <c r="L588"/>
  <c r="I588"/>
  <c r="K588"/>
  <c r="M587"/>
  <c r="H588"/>
  <c r="E589" l="1"/>
  <c r="M588"/>
  <c r="K589"/>
  <c r="L589"/>
  <c r="D589"/>
  <c r="B591"/>
  <c r="L590" s="1"/>
  <c r="J589"/>
  <c r="I589"/>
  <c r="G589"/>
  <c r="F589"/>
  <c r="H589"/>
  <c r="I590" l="1"/>
  <c r="F590"/>
  <c r="M589"/>
  <c r="B592"/>
  <c r="I591" s="1"/>
  <c r="D590"/>
  <c r="K590"/>
  <c r="G590"/>
  <c r="C590"/>
  <c r="J590"/>
  <c r="E590"/>
  <c r="H590"/>
  <c r="J591" l="1"/>
  <c r="F591"/>
  <c r="B593"/>
  <c r="K592" s="1"/>
  <c r="C591"/>
  <c r="D591"/>
  <c r="M590"/>
  <c r="E591"/>
  <c r="L591"/>
  <c r="K591"/>
  <c r="G591"/>
  <c r="H591"/>
  <c r="E592" l="1"/>
  <c r="L592"/>
  <c r="B594"/>
  <c r="K593" s="1"/>
  <c r="G592"/>
  <c r="D592"/>
  <c r="C592"/>
  <c r="F592"/>
  <c r="J592"/>
  <c r="I592"/>
  <c r="M591"/>
  <c r="H592"/>
  <c r="D593" l="1"/>
  <c r="F593"/>
  <c r="I593"/>
  <c r="J593"/>
  <c r="C593"/>
  <c r="E593"/>
  <c r="G593"/>
  <c r="B595"/>
  <c r="K594" s="1"/>
  <c r="L593"/>
  <c r="M592"/>
  <c r="H593"/>
  <c r="L594" l="1"/>
  <c r="E594"/>
  <c r="B596"/>
  <c r="F595" s="1"/>
  <c r="D594"/>
  <c r="C594"/>
  <c r="G594"/>
  <c r="F594"/>
  <c r="M593"/>
  <c r="J594"/>
  <c r="I594"/>
  <c r="H594"/>
  <c r="K595" l="1"/>
  <c r="B597"/>
  <c r="G596" s="1"/>
  <c r="E595"/>
  <c r="G595"/>
  <c r="L595"/>
  <c r="C595"/>
  <c r="D595"/>
  <c r="I595"/>
  <c r="J595"/>
  <c r="M594"/>
  <c r="H595"/>
  <c r="L596" l="1"/>
  <c r="C596"/>
  <c r="I596"/>
  <c r="K596"/>
  <c r="J596"/>
  <c r="D596"/>
  <c r="B598"/>
  <c r="E597" s="1"/>
  <c r="E596"/>
  <c r="F596"/>
  <c r="M595"/>
  <c r="H596"/>
  <c r="D597" l="1"/>
  <c r="G597"/>
  <c r="C597"/>
  <c r="B599"/>
  <c r="E598" s="1"/>
  <c r="J597"/>
  <c r="L597"/>
  <c r="I597"/>
  <c r="M596"/>
  <c r="F597"/>
  <c r="K597"/>
  <c r="H597"/>
  <c r="J598" l="1"/>
  <c r="K598"/>
  <c r="C598"/>
  <c r="F598"/>
  <c r="D598"/>
  <c r="I598"/>
  <c r="B600"/>
  <c r="G599" s="1"/>
  <c r="G598"/>
  <c r="L598"/>
  <c r="M597"/>
  <c r="F599"/>
  <c r="H598"/>
  <c r="J599" l="1"/>
  <c r="L599"/>
  <c r="K599"/>
  <c r="B601"/>
  <c r="D600" s="1"/>
  <c r="D599"/>
  <c r="I599"/>
  <c r="E599"/>
  <c r="C599"/>
  <c r="M598"/>
  <c r="H599"/>
  <c r="E600" l="1"/>
  <c r="G600"/>
  <c r="J600"/>
  <c r="C600"/>
  <c r="K600"/>
  <c r="F600"/>
  <c r="I600"/>
  <c r="B602"/>
  <c r="K601" s="1"/>
  <c r="L600"/>
  <c r="M599"/>
  <c r="H600"/>
  <c r="M600" l="1"/>
  <c r="L601"/>
  <c r="C601"/>
  <c r="J601"/>
  <c r="D601"/>
  <c r="B603"/>
  <c r="K602" s="1"/>
  <c r="I601"/>
  <c r="F601"/>
  <c r="E601"/>
  <c r="G601"/>
  <c r="H601"/>
  <c r="G602" l="1"/>
  <c r="J602"/>
  <c r="L602"/>
  <c r="F602"/>
  <c r="I602"/>
  <c r="B604"/>
  <c r="E603" s="1"/>
  <c r="D602"/>
  <c r="M601"/>
  <c r="E602"/>
  <c r="C602"/>
  <c r="H602"/>
  <c r="C603" l="1"/>
  <c r="L603"/>
  <c r="F603"/>
  <c r="I603"/>
  <c r="B605"/>
  <c r="K604" s="1"/>
  <c r="K603"/>
  <c r="D603"/>
  <c r="G603"/>
  <c r="J603"/>
  <c r="M602"/>
  <c r="H603"/>
  <c r="D604" l="1"/>
  <c r="C604"/>
  <c r="I604"/>
  <c r="L604"/>
  <c r="J604"/>
  <c r="E604"/>
  <c r="B606"/>
  <c r="I605" s="1"/>
  <c r="G604"/>
  <c r="F604"/>
  <c r="M603"/>
  <c r="H604"/>
  <c r="D605" l="1"/>
  <c r="F605"/>
  <c r="B607"/>
  <c r="I606" s="1"/>
  <c r="J605"/>
  <c r="C605"/>
  <c r="K605"/>
  <c r="L605"/>
  <c r="E605"/>
  <c r="G605"/>
  <c r="M604"/>
  <c r="H605"/>
  <c r="F606" l="1"/>
  <c r="B608"/>
  <c r="I607" s="1"/>
  <c r="G606"/>
  <c r="C606"/>
  <c r="E606"/>
  <c r="D606"/>
  <c r="K606"/>
  <c r="J606"/>
  <c r="L606"/>
  <c r="M605"/>
  <c r="H606"/>
  <c r="B609" l="1"/>
  <c r="G608" s="1"/>
  <c r="L607"/>
  <c r="C607"/>
  <c r="G607"/>
  <c r="F607"/>
  <c r="E607"/>
  <c r="J607"/>
  <c r="D607"/>
  <c r="K607"/>
  <c r="M606"/>
  <c r="H607"/>
  <c r="H608"/>
  <c r="C608" l="1"/>
  <c r="J608"/>
  <c r="E608"/>
  <c r="L608"/>
  <c r="K608"/>
  <c r="D608"/>
  <c r="B610"/>
  <c r="E609" s="1"/>
  <c r="I608"/>
  <c r="F608"/>
  <c r="M607"/>
  <c r="F609" l="1"/>
  <c r="D609"/>
  <c r="J609"/>
  <c r="B611"/>
  <c r="C610" s="1"/>
  <c r="I609"/>
  <c r="G609"/>
  <c r="L609"/>
  <c r="C609"/>
  <c r="K609"/>
  <c r="M608"/>
  <c r="H609"/>
  <c r="E610" l="1"/>
  <c r="F610"/>
  <c r="G610"/>
  <c r="L610"/>
  <c r="K610"/>
  <c r="D610"/>
  <c r="B612"/>
  <c r="I611" s="1"/>
  <c r="I610"/>
  <c r="J610"/>
  <c r="M609"/>
  <c r="H610"/>
  <c r="D611" l="1"/>
  <c r="B613"/>
  <c r="G612" s="1"/>
  <c r="C611"/>
  <c r="G611"/>
  <c r="E611"/>
  <c r="J611"/>
  <c r="L611"/>
  <c r="F611"/>
  <c r="K611"/>
  <c r="M610"/>
  <c r="H611"/>
  <c r="J612" l="1"/>
  <c r="E612"/>
  <c r="F612"/>
  <c r="B614"/>
  <c r="F613" s="1"/>
  <c r="K612"/>
  <c r="C612"/>
  <c r="I612"/>
  <c r="D612"/>
  <c r="L612"/>
  <c r="M611"/>
  <c r="H613"/>
  <c r="H612"/>
  <c r="I613" l="1"/>
  <c r="D613"/>
  <c r="E613"/>
  <c r="C613"/>
  <c r="L613"/>
  <c r="G613"/>
  <c r="M612"/>
  <c r="B615"/>
  <c r="J614" s="1"/>
  <c r="K613"/>
  <c r="J613"/>
  <c r="B616" l="1"/>
  <c r="I615" s="1"/>
  <c r="L614"/>
  <c r="I614"/>
  <c r="E614"/>
  <c r="G614"/>
  <c r="D614"/>
  <c r="F614"/>
  <c r="M613"/>
  <c r="C614"/>
  <c r="K614"/>
  <c r="H614"/>
  <c r="H615"/>
  <c r="E615" l="1"/>
  <c r="K615"/>
  <c r="J615"/>
  <c r="G615"/>
  <c r="L615"/>
  <c r="D615"/>
  <c r="B617"/>
  <c r="C616" s="1"/>
  <c r="C615"/>
  <c r="F615"/>
  <c r="M614"/>
  <c r="F616"/>
  <c r="E616" l="1"/>
  <c r="D616"/>
  <c r="B618"/>
  <c r="D617" s="1"/>
  <c r="J616"/>
  <c r="I616"/>
  <c r="G616"/>
  <c r="M615"/>
  <c r="K616"/>
  <c r="L616"/>
  <c r="H616"/>
  <c r="J617" l="1"/>
  <c r="G617"/>
  <c r="F617"/>
  <c r="I617"/>
  <c r="B619"/>
  <c r="G618" s="1"/>
  <c r="L617"/>
  <c r="C617"/>
  <c r="E617"/>
  <c r="K617"/>
  <c r="M616"/>
  <c r="H617"/>
  <c r="H618"/>
  <c r="B620" l="1"/>
  <c r="F619" s="1"/>
  <c r="K618"/>
  <c r="C618"/>
  <c r="L618"/>
  <c r="D618"/>
  <c r="I618"/>
  <c r="J618"/>
  <c r="F618"/>
  <c r="E618"/>
  <c r="M617"/>
  <c r="H619"/>
  <c r="B621" l="1"/>
  <c r="C620" s="1"/>
  <c r="K619"/>
  <c r="I619"/>
  <c r="J619"/>
  <c r="C619"/>
  <c r="E619"/>
  <c r="D619"/>
  <c r="L619"/>
  <c r="G619"/>
  <c r="M618"/>
  <c r="H620"/>
  <c r="F620" l="1"/>
  <c r="E620"/>
  <c r="L620"/>
  <c r="G620"/>
  <c r="B622"/>
  <c r="I621" s="1"/>
  <c r="D620"/>
  <c r="K620"/>
  <c r="I620"/>
  <c r="J620"/>
  <c r="M619"/>
  <c r="H621"/>
  <c r="J621" l="1"/>
  <c r="C621"/>
  <c r="K621"/>
  <c r="B623"/>
  <c r="G622" s="1"/>
  <c r="F621"/>
  <c r="L621"/>
  <c r="D621"/>
  <c r="M620"/>
  <c r="E621"/>
  <c r="G621"/>
  <c r="C622" l="1"/>
  <c r="J622"/>
  <c r="K622"/>
  <c r="E622"/>
  <c r="L622"/>
  <c r="D622"/>
  <c r="B624"/>
  <c r="D623" s="1"/>
  <c r="F622"/>
  <c r="I622"/>
  <c r="M621"/>
  <c r="H622"/>
  <c r="G623" l="1"/>
  <c r="J623"/>
  <c r="M622"/>
  <c r="E623"/>
  <c r="K623"/>
  <c r="B625"/>
  <c r="K624" s="1"/>
  <c r="L623"/>
  <c r="C623"/>
  <c r="F623"/>
  <c r="I623"/>
  <c r="H623"/>
  <c r="D624" l="1"/>
  <c r="M623"/>
  <c r="C624"/>
  <c r="J624"/>
  <c r="L624"/>
  <c r="F624"/>
  <c r="E624"/>
  <c r="B626"/>
  <c r="G625" s="1"/>
  <c r="G624"/>
  <c r="I624"/>
  <c r="H624"/>
  <c r="E625" l="1"/>
  <c r="K625"/>
  <c r="B627"/>
  <c r="K626" s="1"/>
  <c r="F625"/>
  <c r="L625"/>
  <c r="M624"/>
  <c r="J625"/>
  <c r="C625"/>
  <c r="D625"/>
  <c r="I625"/>
  <c r="F626"/>
  <c r="H625"/>
  <c r="J626" l="1"/>
  <c r="C626"/>
  <c r="I626"/>
  <c r="G626"/>
  <c r="L626"/>
  <c r="B628"/>
  <c r="K182" s="1"/>
  <c r="E626"/>
  <c r="D626"/>
  <c r="M625"/>
  <c r="H626"/>
  <c r="K180" l="1"/>
  <c r="K207"/>
  <c r="I627"/>
  <c r="E628"/>
  <c r="K203"/>
  <c r="C627"/>
  <c r="G628"/>
  <c r="F627"/>
  <c r="K211"/>
  <c r="K204"/>
  <c r="E627"/>
  <c r="F628"/>
  <c r="K195"/>
  <c r="D627"/>
  <c r="K628"/>
  <c r="K208"/>
  <c r="K200"/>
  <c r="K191"/>
  <c r="K199"/>
  <c r="K189"/>
  <c r="K196"/>
  <c r="K183"/>
  <c r="M626"/>
  <c r="K210"/>
  <c r="K206"/>
  <c r="K202"/>
  <c r="K197"/>
  <c r="K194"/>
  <c r="K187"/>
  <c r="K186"/>
  <c r="K179"/>
  <c r="J627"/>
  <c r="G627"/>
  <c r="I628"/>
  <c r="L628"/>
  <c r="C628"/>
  <c r="L627"/>
  <c r="K627"/>
  <c r="J628"/>
  <c r="D628"/>
  <c r="K209"/>
  <c r="K205"/>
  <c r="K201"/>
  <c r="K198"/>
  <c r="K192"/>
  <c r="K190"/>
  <c r="K185"/>
  <c r="K181"/>
  <c r="K193"/>
  <c r="K188"/>
  <c r="K184"/>
  <c r="H628"/>
  <c r="H627"/>
  <c r="M628" l="1"/>
  <c r="M627"/>
  <c r="K212" l="1"/>
  <c r="K214" s="1"/>
  <c r="L189" s="1"/>
  <c r="L198" l="1"/>
  <c r="L196"/>
  <c r="L193"/>
  <c r="L204"/>
  <c r="L201"/>
  <c r="L191"/>
  <c r="L203"/>
  <c r="L208"/>
  <c r="L212"/>
  <c r="L187"/>
  <c r="L188"/>
  <c r="L199"/>
  <c r="L209"/>
  <c r="L183"/>
  <c r="L195"/>
  <c r="L180"/>
  <c r="L179"/>
  <c r="L207"/>
  <c r="L190"/>
  <c r="L194"/>
  <c r="L197"/>
  <c r="L211"/>
  <c r="L202"/>
  <c r="L205"/>
  <c r="L184"/>
  <c r="L192"/>
  <c r="L206"/>
  <c r="L200"/>
  <c r="L185"/>
  <c r="L214"/>
  <c r="L186"/>
  <c r="L210"/>
  <c r="L181"/>
  <c r="L182"/>
  <c r="AB208" i="10" l="1"/>
  <c r="AA214" s="1"/>
  <c r="BD82" l="1"/>
  <c r="X223"/>
  <c r="BF89" l="1"/>
  <c r="BJ77"/>
  <c r="BF86"/>
  <c r="BH82"/>
  <c r="BD86"/>
  <c r="BE86" s="1"/>
  <c r="BE89" s="1"/>
  <c r="BH86" l="1"/>
  <c r="BF92"/>
  <c r="BD89"/>
  <c r="L3" i="54" l="1"/>
  <c r="L4" s="1"/>
  <c r="L5" s="1"/>
  <c r="L6" s="1"/>
  <c r="L7" s="1"/>
  <c r="L8" s="1"/>
  <c r="L9" s="1"/>
  <c r="L10" s="1"/>
  <c r="L11" s="1"/>
  <c r="L12" s="1"/>
  <c r="L13" s="1"/>
  <c r="L14" s="1"/>
  <c r="L15" s="1"/>
  <c r="L16" s="1"/>
  <c r="L17" s="1"/>
  <c r="L18" s="1"/>
  <c r="L19" s="1"/>
  <c r="L20" s="1"/>
  <c r="L21" s="1"/>
  <c r="L22" s="1"/>
  <c r="L23" s="1"/>
  <c r="L24" s="1"/>
  <c r="L25" s="1"/>
  <c r="L26" s="1"/>
  <c r="L27" s="1"/>
  <c r="L28" s="1"/>
  <c r="L29" s="1"/>
  <c r="L30" s="1"/>
  <c r="L31" s="1"/>
  <c r="L32" s="1"/>
</calcChain>
</file>

<file path=xl/comments1.xml><?xml version="1.0" encoding="utf-8"?>
<comments xmlns="http://schemas.openxmlformats.org/spreadsheetml/2006/main">
  <authors>
    <author>Justin Z. Smith</author>
    <author>Justin</author>
  </authors>
  <commentList>
    <comment ref="K1" authorId="0">
      <text>
        <r>
          <rPr>
            <b/>
            <sz val="9"/>
            <color indexed="81"/>
            <rFont val="Tahoma"/>
            <family val="2"/>
          </rPr>
          <t>From broker</t>
        </r>
      </text>
    </comment>
    <comment ref="F62" authorId="1">
      <text>
        <r>
          <rPr>
            <b/>
            <sz val="8"/>
            <color indexed="81"/>
            <rFont val="Tahoma"/>
            <family val="2"/>
          </rPr>
          <t>209 shares with ComputerShare, the rest with Merrill Lynch</t>
        </r>
      </text>
    </comment>
    <comment ref="BD76" authorId="0">
      <text>
        <r>
          <rPr>
            <b/>
            <sz val="9"/>
            <color indexed="81"/>
            <rFont val="Tahoma"/>
            <family val="2"/>
          </rPr>
          <t>numbers take into account realized gains when possible</t>
        </r>
      </text>
    </comment>
    <comment ref="BD78" authorId="0">
      <text>
        <r>
          <rPr>
            <b/>
            <sz val="9"/>
            <color indexed="81"/>
            <rFont val="Tahoma"/>
            <family val="2"/>
          </rPr>
          <t>only showing gain for savings bonds</t>
        </r>
      </text>
    </comment>
    <comment ref="BD79" authorId="1">
      <text>
        <r>
          <rPr>
            <b/>
            <sz val="8"/>
            <color indexed="81"/>
            <rFont val="Tahoma"/>
            <family val="2"/>
          </rPr>
          <t>Gain/Loss to date, from Prosper website</t>
        </r>
      </text>
    </comment>
    <comment ref="F168" authorId="0">
      <text>
        <r>
          <rPr>
            <b/>
            <sz val="9"/>
            <color indexed="81"/>
            <rFont val="Tahoma"/>
            <family val="2"/>
          </rPr>
          <t>from brokerage</t>
        </r>
      </text>
    </comment>
  </commentList>
</comments>
</file>

<file path=xl/comments2.xml><?xml version="1.0" encoding="utf-8"?>
<comments xmlns="http://schemas.openxmlformats.org/spreadsheetml/2006/main">
  <authors>
    <author>statisticool</author>
  </authors>
  <commentList>
    <comment ref="R1" authorId="0">
      <text>
        <r>
          <rPr>
            <b/>
            <sz val="8"/>
            <color indexed="81"/>
            <rFont val="Tahoma"/>
            <family val="2"/>
          </rPr>
          <t>Because it is possible for the sum of the raked inverse prices to not add to 100, calculate how far it is off (the diff) from 100. If diff &lt; 1, add abs(diff) to C*. If diff &gt; 1, subtract diff from G*.</t>
        </r>
      </text>
    </comment>
    <comment ref="X1" authorId="0">
      <text>
        <r>
          <rPr>
            <b/>
            <sz val="8"/>
            <color indexed="81"/>
            <rFont val="Tahoma"/>
            <family val="2"/>
          </rPr>
          <t>Sum of final raked allocations. Should add to 100.</t>
        </r>
      </text>
    </comment>
  </commentList>
</comments>
</file>

<file path=xl/sharedStrings.xml><?xml version="1.0" encoding="utf-8"?>
<sst xmlns="http://schemas.openxmlformats.org/spreadsheetml/2006/main" count="4962" uniqueCount="3152">
  <si>
    <t>C</t>
  </si>
  <si>
    <t>F</t>
  </si>
  <si>
    <t>G</t>
  </si>
  <si>
    <t>I</t>
  </si>
  <si>
    <t>O</t>
  </si>
  <si>
    <t>S</t>
  </si>
  <si>
    <t>Shares</t>
  </si>
  <si>
    <t>Can Buy</t>
  </si>
  <si>
    <t>Total</t>
  </si>
  <si>
    <t>Notes</t>
  </si>
  <si>
    <t>Date</t>
  </si>
  <si>
    <t>Thrift Savings Plan</t>
  </si>
  <si>
    <t>Cash Leftover</t>
  </si>
  <si>
    <t>Price</t>
  </si>
  <si>
    <t>Stock</t>
  </si>
  <si>
    <t>1/G</t>
  </si>
  <si>
    <t>1/F</t>
  </si>
  <si>
    <t>1/C</t>
  </si>
  <si>
    <t>1/S</t>
  </si>
  <si>
    <t>1/I</t>
  </si>
  <si>
    <t>sum(1/p)</t>
  </si>
  <si>
    <t>G*</t>
  </si>
  <si>
    <t>F*</t>
  </si>
  <si>
    <t>C*</t>
  </si>
  <si>
    <t>S*</t>
  </si>
  <si>
    <t>I*</t>
  </si>
  <si>
    <t>Diff</t>
  </si>
  <si>
    <t>Check1</t>
  </si>
  <si>
    <t>Check2</t>
  </si>
  <si>
    <t>G**</t>
  </si>
  <si>
    <t>F**</t>
  </si>
  <si>
    <t>C**</t>
  </si>
  <si>
    <t>S**</t>
  </si>
  <si>
    <t>I**</t>
  </si>
  <si>
    <t>Updated Shares</t>
  </si>
  <si>
    <t>Brokerage cash</t>
  </si>
  <si>
    <t>Price_t</t>
  </si>
  <si>
    <t>Total_t</t>
  </si>
  <si>
    <t>Divs/Year</t>
  </si>
  <si>
    <t>Divs/Month</t>
  </si>
  <si>
    <t>DSM</t>
  </si>
  <si>
    <t>ERF</t>
  </si>
  <si>
    <t>energy, monthly dividends</t>
  </si>
  <si>
    <t>Amount</t>
  </si>
  <si>
    <t>STB</t>
  </si>
  <si>
    <t>DIA</t>
  </si>
  <si>
    <t>Yield</t>
  </si>
  <si>
    <t>BPOP</t>
  </si>
  <si>
    <t>KO</t>
  </si>
  <si>
    <t>DIS</t>
  </si>
  <si>
    <t>AT</t>
  </si>
  <si>
    <t>Cash</t>
  </si>
  <si>
    <t>CXW</t>
  </si>
  <si>
    <t>Frequency</t>
  </si>
  <si>
    <t>Q</t>
  </si>
  <si>
    <t>quarterly divs, very strong company</t>
  </si>
  <si>
    <t>M</t>
  </si>
  <si>
    <t>Y</t>
  </si>
  <si>
    <t>frequency</t>
  </si>
  <si>
    <t>total</t>
  </si>
  <si>
    <t>yearly total</t>
  </si>
  <si>
    <t>invest in most undervalued w most dividends per year</t>
  </si>
  <si>
    <t>Fee</t>
  </si>
  <si>
    <t>Effective Cash</t>
  </si>
  <si>
    <t>Brokerage</t>
  </si>
  <si>
    <t>Extra</t>
  </si>
  <si>
    <t>Annualized Dividend</t>
  </si>
  <si>
    <t>based on actual, not fwd estimates</t>
  </si>
  <si>
    <t>Yearly Div Inc</t>
  </si>
  <si>
    <t>Justin's yield</t>
  </si>
  <si>
    <t>Yari's yield</t>
  </si>
  <si>
    <t>Total yield</t>
  </si>
  <si>
    <t>Justin's divs</t>
  </si>
  <si>
    <t>Yari's divs</t>
  </si>
  <si>
    <t>Justin's total</t>
  </si>
  <si>
    <t>Yari's total</t>
  </si>
  <si>
    <t>Investment Philosophy</t>
  </si>
  <si>
    <t>HRB</t>
  </si>
  <si>
    <t>quarterly divs, not many competitors</t>
  </si>
  <si>
    <t>GG</t>
  </si>
  <si>
    <t>TR</t>
  </si>
  <si>
    <t>WEN</t>
  </si>
  <si>
    <t>BAH</t>
  </si>
  <si>
    <t>SAN</t>
  </si>
  <si>
    <t>TGS</t>
  </si>
  <si>
    <t>BBD</t>
  </si>
  <si>
    <t>international bank, monthly dividend, which is unique in that respect for that sector</t>
  </si>
  <si>
    <t>UMC</t>
  </si>
  <si>
    <t>Zip to Blue Chip, Taiwan, growing industry, continual process improvement</t>
  </si>
  <si>
    <t>DSWL</t>
  </si>
  <si>
    <t>quarterly dividend, China exposure, interesting and important industry</t>
  </si>
  <si>
    <t>monthly divs, communications, internet, phone, tv</t>
  </si>
  <si>
    <t>SJR</t>
  </si>
  <si>
    <t xml:space="preserve">Yari's </t>
  </si>
  <si>
    <t>monthly divs, provide capital for small businesses</t>
  </si>
  <si>
    <t>PSEC</t>
  </si>
  <si>
    <t>Investment Reason</t>
  </si>
  <si>
    <t>CIM</t>
  </si>
  <si>
    <t>BAC</t>
  </si>
  <si>
    <t>Zip to Blue Chip, quarterly div, high divs, mortgage REIT</t>
  </si>
  <si>
    <t>ONP</t>
  </si>
  <si>
    <t>Zip to Blue Chip, quarterly div, Chinese growing paper industry, focus on recycling</t>
  </si>
  <si>
    <t>Zip to Blue Chip, quarterly div, dependable bank, bluest of blue chips</t>
  </si>
  <si>
    <t>Divs/Freq</t>
  </si>
  <si>
    <t>yearly divs, growth of coal mining, selling, transport in China</t>
  </si>
  <si>
    <t>YZC</t>
  </si>
  <si>
    <t>HPQ</t>
  </si>
  <si>
    <t>I pay</t>
  </si>
  <si>
    <t>Face (ie. Par)</t>
  </si>
  <si>
    <t>After a month, I'll earn</t>
  </si>
  <si>
    <t>Number of hundreds I want</t>
  </si>
  <si>
    <t>Amount per a hundred</t>
  </si>
  <si>
    <t>Years</t>
  </si>
  <si>
    <t>Issued</t>
  </si>
  <si>
    <t>Matures</t>
  </si>
  <si>
    <t>Days</t>
  </si>
  <si>
    <t>Treasuries</t>
  </si>
  <si>
    <t>Gain</t>
  </si>
  <si>
    <t>investing found money, Zip to Blue Chip</t>
  </si>
  <si>
    <t>Current Value</t>
  </si>
  <si>
    <t>Cum Gain</t>
  </si>
  <si>
    <t>Month</t>
  </si>
  <si>
    <t>hold for at least 20 years, to get 3.5% or double the amount</t>
  </si>
  <si>
    <t>% div stock</t>
  </si>
  <si>
    <t>Date:</t>
  </si>
  <si>
    <t>APR</t>
  </si>
  <si>
    <t>APY</t>
  </si>
  <si>
    <t>EAPY</t>
  </si>
  <si>
    <t>APR, doesn't consider compounding of interest</t>
  </si>
  <si>
    <t>APY, considers compounding of interest</t>
  </si>
  <si>
    <t>Zero % C of I</t>
  </si>
  <si>
    <t>Min</t>
  </si>
  <si>
    <t>Leftover</t>
  </si>
  <si>
    <t>EE total</t>
  </si>
  <si>
    <t>I total</t>
  </si>
  <si>
    <t>Cost</t>
  </si>
  <si>
    <t>Fixed rate</t>
  </si>
  <si>
    <t>Composite rate</t>
  </si>
  <si>
    <t>Semi-annual Inflation rate</t>
  </si>
  <si>
    <t>Silver</t>
  </si>
  <si>
    <t>Gold</t>
  </si>
  <si>
    <t>Count</t>
  </si>
  <si>
    <t>% Total</t>
  </si>
  <si>
    <t>X</t>
  </si>
  <si>
    <t>Bank of America, Merril Lynch</t>
  </si>
  <si>
    <t>TreasuryDirect.gov</t>
  </si>
  <si>
    <t>Grand total</t>
  </si>
  <si>
    <t>Grand Grand total</t>
  </si>
  <si>
    <t>Totals</t>
  </si>
  <si>
    <t>monthly divs, unique for this sector, solid bank</t>
  </si>
  <si>
    <t>ITUB</t>
  </si>
  <si>
    <t>TreasuryDirect cash</t>
  </si>
  <si>
    <t>EE Savings Bonds</t>
  </si>
  <si>
    <t>I Savings Bonds</t>
  </si>
  <si>
    <t>addictive things!</t>
  </si>
  <si>
    <t>I bond composite rate calculation</t>
  </si>
  <si>
    <t>Actual%</t>
  </si>
  <si>
    <t>Summary</t>
  </si>
  <si>
    <t>% Total Current Value</t>
  </si>
  <si>
    <t>Savings Bond total</t>
  </si>
  <si>
    <t>For a 28-day Treasury Bill</t>
  </si>
  <si>
    <t>min</t>
  </si>
  <si>
    <t>First Issued</t>
  </si>
  <si>
    <t>EE savings bonds</t>
  </si>
  <si>
    <t>I savings bonds</t>
  </si>
  <si>
    <t>Confirm #</t>
  </si>
  <si>
    <t>IAAAB</t>
  </si>
  <si>
    <t>IAAAD</t>
  </si>
  <si>
    <t>IAAAM</t>
  </si>
  <si>
    <t>IAAAX</t>
  </si>
  <si>
    <t>IAAAW</t>
  </si>
  <si>
    <t>IAAAY</t>
  </si>
  <si>
    <t>IAAD2</t>
  </si>
  <si>
    <t>IAAD4</t>
  </si>
  <si>
    <t>IAAEC</t>
  </si>
  <si>
    <t>IAAAC</t>
  </si>
  <si>
    <t>IAAAE</t>
  </si>
  <si>
    <t>IAAAN</t>
  </si>
  <si>
    <t>IAAAP</t>
  </si>
  <si>
    <t>IAAAS</t>
  </si>
  <si>
    <t>IAAAU</t>
  </si>
  <si>
    <t>IAAAV</t>
  </si>
  <si>
    <t>IAABT</t>
  </si>
  <si>
    <t>IAADP</t>
  </si>
  <si>
    <t>IAABU</t>
  </si>
  <si>
    <t>IAABV</t>
  </si>
  <si>
    <t>IAABW</t>
  </si>
  <si>
    <t>IAABX</t>
  </si>
  <si>
    <t>IAABY</t>
  </si>
  <si>
    <t>IAABZ</t>
  </si>
  <si>
    <t>IAAB0</t>
  </si>
  <si>
    <t>IAAB1</t>
  </si>
  <si>
    <t>IAAB2</t>
  </si>
  <si>
    <t>IAAB3</t>
  </si>
  <si>
    <t>IAAEF</t>
  </si>
  <si>
    <t>Platinum</t>
  </si>
  <si>
    <t>Palladium</t>
  </si>
  <si>
    <t>Gain $</t>
  </si>
  <si>
    <t>Gain %</t>
  </si>
  <si>
    <t>IAAB4</t>
  </si>
  <si>
    <t>Rate Period</t>
  </si>
  <si>
    <t>IAAEJ</t>
  </si>
  <si>
    <t>J's divs</t>
  </si>
  <si>
    <t>Y's divs</t>
  </si>
  <si>
    <t>IAAB5</t>
  </si>
  <si>
    <t>monthly dividends, business easy to understand, "socially responsible investing"</t>
  </si>
  <si>
    <t>retirement, diversification</t>
  </si>
  <si>
    <t>solid precious metal, cheaper, growth</t>
  </si>
  <si>
    <t>classic precious metal investment</t>
  </si>
  <si>
    <t>preserve capital, double investment after so many years</t>
  </si>
  <si>
    <t>preserve capital, explicit inflation adjustment</t>
  </si>
  <si>
    <t>precious metal investment</t>
  </si>
  <si>
    <t>cash, to buy stocks or transfer to checkings acct</t>
  </si>
  <si>
    <t>cash to buy savings bonds and treasuries, or transfer back to checkings acct</t>
  </si>
  <si>
    <t>IAAAZ</t>
  </si>
  <si>
    <t>IAAB6</t>
  </si>
  <si>
    <t>Historical X:1 ratio</t>
  </si>
  <si>
    <t>This is a calculation example for a year for an EE savings bond.</t>
  </si>
  <si>
    <t>IAAEU</t>
  </si>
  <si>
    <t>IAAEV</t>
  </si>
  <si>
    <t>fineness</t>
  </si>
  <si>
    <t>max</t>
  </si>
  <si>
    <t>Reinvesting (assumes at the same price)</t>
  </si>
  <si>
    <t>IAAB7</t>
  </si>
  <si>
    <t>IAAB8</t>
  </si>
  <si>
    <t>IAAB9</t>
  </si>
  <si>
    <t>IAAA0</t>
  </si>
  <si>
    <t>IAACA</t>
  </si>
  <si>
    <t>IAACB</t>
  </si>
  <si>
    <t>AWK</t>
  </si>
  <si>
    <t>IAACC</t>
  </si>
  <si>
    <t>natural gas, S. America, dividend</t>
  </si>
  <si>
    <t>IAACD</t>
  </si>
  <si>
    <t>IAACE</t>
  </si>
  <si>
    <t>&lt;--predicted gold price assuming price of silver is fixed</t>
  </si>
  <si>
    <t>&lt;--predicted silver price assuming price of gold is fixed</t>
  </si>
  <si>
    <t>-</t>
  </si>
  <si>
    <t>IAAA1</t>
  </si>
  <si>
    <t>IAACF</t>
  </si>
  <si>
    <t>IAAFS</t>
  </si>
  <si>
    <t>IAACG</t>
  </si>
  <si>
    <t>IAAFY</t>
  </si>
  <si>
    <t>IAACH</t>
  </si>
  <si>
    <t>Monthly yield</t>
  </si>
  <si>
    <t>IAACI</t>
  </si>
  <si>
    <t>Grand Total</t>
  </si>
  <si>
    <t>Copper</t>
  </si>
  <si>
    <t>FCX</t>
  </si>
  <si>
    <t>quarterly divs, copper very useful, largest publicly traded copper producer</t>
  </si>
  <si>
    <t>Spot price (1 troy oz)</t>
  </si>
  <si>
    <t>IAAA2</t>
  </si>
  <si>
    <t>IAACJ</t>
  </si>
  <si>
    <t>semi-precious metal investment, "the new silver", money longer than gold/silver, bulky helps prevent theft, pre-1983 pennies, more of a possibility to find in circulation, rounds and bars, so-called hidden in plain sight idea</t>
  </si>
  <si>
    <t>XRX</t>
  </si>
  <si>
    <t>ARR</t>
  </si>
  <si>
    <t>Checkings</t>
  </si>
  <si>
    <t>Savings</t>
  </si>
  <si>
    <t>Joint Savings</t>
  </si>
  <si>
    <t>savings acct, Bank of America</t>
  </si>
  <si>
    <t>checking acct, Bank of America</t>
  </si>
  <si>
    <t>joint savings acct, Bank of America</t>
  </si>
  <si>
    <t>recovering, very cheap price, oldest, best bank in Greece</t>
  </si>
  <si>
    <t>Zip to Blue Chip, quarterly divs, brand name, very influential, transition to business to business</t>
  </si>
  <si>
    <t>IAACK</t>
  </si>
  <si>
    <t>IAACL</t>
  </si>
  <si>
    <t>&lt;-- ratio for predicted silver and gold prices to be equal</t>
  </si>
  <si>
    <t>SCCO</t>
  </si>
  <si>
    <t>quarterly divs, copper very useful, large reserves, growth</t>
  </si>
  <si>
    <t>solid company, enjoyable, quarterly divs, inventive (dollar menu, salad bar, drive thru, Where's the Beef?, square burgers), more sales than BK with way less restaurants, and MCD is way overpriced, focus on WEN only, dropped Arby's, real person as 'mascot' not clown, king, etc., logo and image redesign/updating</t>
  </si>
  <si>
    <t>IAACM</t>
  </si>
  <si>
    <t>10 yr</t>
  </si>
  <si>
    <t>6 month</t>
  </si>
  <si>
    <t>Year</t>
  </si>
  <si>
    <t>Yearly Total</t>
  </si>
  <si>
    <t>Cum Total</t>
  </si>
  <si>
    <t>Treasury Notes</t>
  </si>
  <si>
    <t>Rate</t>
  </si>
  <si>
    <t>Payment/Year</t>
  </si>
  <si>
    <t>Payment/6 months</t>
  </si>
  <si>
    <t>use dividends to pay monthly bills, buy Treasuries</t>
  </si>
  <si>
    <t>Treasury Notes total</t>
  </si>
  <si>
    <t>30 yr</t>
  </si>
  <si>
    <t>Treasury Bonds total</t>
  </si>
  <si>
    <t>Treasury Bonds</t>
  </si>
  <si>
    <t>Treasury Bills total</t>
  </si>
  <si>
    <t>easy to understand, decent rate, useful for short to midterm planning</t>
  </si>
  <si>
    <t>easy to understand, decent rate, useful for long term planning</t>
  </si>
  <si>
    <t>IAAG3</t>
  </si>
  <si>
    <t>IAAG4</t>
  </si>
  <si>
    <t>IAAHK</t>
  </si>
  <si>
    <t>IAAHM</t>
  </si>
  <si>
    <t>Lifetime Interest</t>
  </si>
  <si>
    <t>IAACN</t>
  </si>
  <si>
    <t>IAACO</t>
  </si>
  <si>
    <t>IAACP</t>
  </si>
  <si>
    <t>IAAA3</t>
  </si>
  <si>
    <t>IAACQ</t>
  </si>
  <si>
    <t>IAAH1</t>
  </si>
  <si>
    <t>IAAH9</t>
  </si>
  <si>
    <t>IAACR</t>
  </si>
  <si>
    <t>TIPS</t>
  </si>
  <si>
    <t>IAAIE</t>
  </si>
  <si>
    <t>inflation adjustment, plannng</t>
  </si>
  <si>
    <t>TIPS total</t>
  </si>
  <si>
    <t xml:space="preserve"> </t>
  </si>
  <si>
    <t>IAAA4</t>
  </si>
  <si>
    <t>buy 28-day treasury bills and savings bonds (mostly I savings bonds, some EE), 10yr notes, 30yr bonds, TIPS</t>
  </si>
  <si>
    <t>IAACS</t>
  </si>
  <si>
    <t>GE</t>
  </si>
  <si>
    <t>IAACT</t>
  </si>
  <si>
    <t>WMT</t>
  </si>
  <si>
    <t>solid company, quarterly dividend, Yari's stock, constantly shop there</t>
  </si>
  <si>
    <t>BRK.B</t>
  </si>
  <si>
    <t>solid company and theories, Buffet, possible div in future, strong growth, diversified</t>
  </si>
  <si>
    <t>IAAI4</t>
  </si>
  <si>
    <t>IAACU</t>
  </si>
  <si>
    <t>IAAI6</t>
  </si>
  <si>
    <t>monthly divs, mREIT</t>
  </si>
  <si>
    <t>BTE</t>
  </si>
  <si>
    <t>MAIN</t>
  </si>
  <si>
    <t>monthly divs, BDC</t>
  </si>
  <si>
    <t>monthly divs, REIT</t>
  </si>
  <si>
    <t>monthly divs, energy</t>
  </si>
  <si>
    <t>avg per day</t>
  </si>
  <si>
    <t>IAACV</t>
  </si>
  <si>
    <t>IAAA5</t>
  </si>
  <si>
    <t>IAACW</t>
  </si>
  <si>
    <t>IAACX</t>
  </si>
  <si>
    <t>IAACY</t>
  </si>
  <si>
    <t>FSC</t>
  </si>
  <si>
    <t>GAIN</t>
  </si>
  <si>
    <t>GOOD</t>
  </si>
  <si>
    <t>GLAD</t>
  </si>
  <si>
    <t>LAND</t>
  </si>
  <si>
    <t>monthly divs, farm REIT</t>
  </si>
  <si>
    <t>municipal bonds, REIT, mREIT, BDC, CEF, monthly dividends</t>
  </si>
  <si>
    <t>DHF</t>
  </si>
  <si>
    <t>EAD</t>
  </si>
  <si>
    <t>monthly divs, CEF</t>
  </si>
  <si>
    <t>monthly divs, high yield income</t>
  </si>
  <si>
    <t>WSR</t>
  </si>
  <si>
    <t>IAAJH</t>
  </si>
  <si>
    <t>MonthDiff</t>
  </si>
  <si>
    <t>Gain per month</t>
  </si>
  <si>
    <t>Year total:</t>
  </si>
  <si>
    <t>approx per month</t>
  </si>
  <si>
    <t>6 month interest</t>
  </si>
  <si>
    <t>approx total per month</t>
  </si>
  <si>
    <t>AGNC</t>
  </si>
  <si>
    <t>quarterly divs, mREIT</t>
  </si>
  <si>
    <t>NLY</t>
  </si>
  <si>
    <t>MTGE</t>
  </si>
  <si>
    <t>Nickel</t>
  </si>
  <si>
    <t>semi-precious metal investment, "the new silver", so-called hidden in plain sight idea, nickel AND copper content, all nickels apply</t>
  </si>
  <si>
    <t>monthly divs, healthcare REIT</t>
  </si>
  <si>
    <t>LTC</t>
  </si>
  <si>
    <t>monthly divs, entertainment niche REIT</t>
  </si>
  <si>
    <t>EPR</t>
  </si>
  <si>
    <t>monthly divs, hotel REIT</t>
  </si>
  <si>
    <t>CLDT</t>
  </si>
  <si>
    <t>VET</t>
  </si>
  <si>
    <t>LNCO</t>
  </si>
  <si>
    <t>IAACZ</t>
  </si>
  <si>
    <t>IAAC0</t>
  </si>
  <si>
    <t>IAAA6</t>
  </si>
  <si>
    <t>IAAC1</t>
  </si>
  <si>
    <t>IAAC2</t>
  </si>
  <si>
    <t>BPOPM</t>
  </si>
  <si>
    <t>BPOPN</t>
  </si>
  <si>
    <t>BPOPO</t>
  </si>
  <si>
    <t>BPOPP</t>
  </si>
  <si>
    <t>monthly divs, strong in PR and other US, trust preferred security, "6.70% Cumulative Monthly Income Trust Preferred Securities issued by Popular Capital Trust I"</t>
  </si>
  <si>
    <t>monthly divs, strong in PR and other US, trust preferred security, "6.125% Cumulative Monthly Income Trust Preferred Securities issued by Popular Capital Trust II"</t>
  </si>
  <si>
    <t>unique niche, extreme growth, quarterly divs, "socially responsible investing" IMO!</t>
  </si>
  <si>
    <t>GEO</t>
  </si>
  <si>
    <t>monthly divs, strong in PR and other US, "6.375% Non-cumulative Monthly Income Preferred Stock, 2003 Series A"</t>
  </si>
  <si>
    <t>monthly divs, strong in PR and other US, "8.25% Non-cumulative Monthly Income Preferred Stock, Series B"</t>
  </si>
  <si>
    <t>All Assets</t>
  </si>
  <si>
    <t>boring company, quarterly div, stock divs yearly split</t>
  </si>
  <si>
    <t>VGR</t>
  </si>
  <si>
    <t>quarterly divs, stock div yearly split, tobacco, addictive!, also REIT</t>
  </si>
  <si>
    <t>Copy and paste from Google Finance</t>
  </si>
  <si>
    <t>diversification does not mean "equal amounts"</t>
  </si>
  <si>
    <t>get paid EVERY day</t>
  </si>
  <si>
    <t>Monthly Payment</t>
  </si>
  <si>
    <t>Day</t>
  </si>
  <si>
    <t>IAAKF</t>
  </si>
  <si>
    <t>IAAC4</t>
  </si>
  <si>
    <t>IAAC3</t>
  </si>
  <si>
    <t>CLCT</t>
  </si>
  <si>
    <t>quarterly divs, collectables, coinflation.com, anti-silver/goldbug idea</t>
  </si>
  <si>
    <t>IAAKI</t>
  </si>
  <si>
    <t>IAAJ5</t>
  </si>
  <si>
    <t>IAAA7</t>
  </si>
  <si>
    <t>dollar coin, clad, semi-precious, base, etc., copper and nickel, durable, cash, cost saving for gov, future?</t>
  </si>
  <si>
    <t>Dollar coins</t>
  </si>
  <si>
    <t>Savings bonds</t>
  </si>
  <si>
    <t>Gain (%)</t>
  </si>
  <si>
    <t>IAALM</t>
  </si>
  <si>
    <t>IAAC5</t>
  </si>
  <si>
    <t>IAAC6</t>
  </si>
  <si>
    <t>IAAC7</t>
  </si>
  <si>
    <t>IAALV</t>
  </si>
  <si>
    <t>IAAL0</t>
  </si>
  <si>
    <t>IAAL1</t>
  </si>
  <si>
    <t>Stocks</t>
  </si>
  <si>
    <t>Metals</t>
  </si>
  <si>
    <t>Bank Accts</t>
  </si>
  <si>
    <t>IAAMB</t>
  </si>
  <si>
    <t>Mateo College $ :-)</t>
  </si>
  <si>
    <t>Approx</t>
  </si>
  <si>
    <t>Amt per month for saving bonds</t>
  </si>
  <si>
    <t>Par amt per year</t>
  </si>
  <si>
    <t>Total par</t>
  </si>
  <si>
    <t>Amount (value)</t>
  </si>
  <si>
    <t>Total value</t>
  </si>
  <si>
    <t>Months Left</t>
  </si>
  <si>
    <t>Future Interest</t>
  </si>
  <si>
    <t>IAAC8</t>
  </si>
  <si>
    <t>IAAME</t>
  </si>
  <si>
    <t>Solving for r, gives</t>
  </si>
  <si>
    <t>IAAN7</t>
  </si>
  <si>
    <t>Curr - Hist</t>
  </si>
  <si>
    <t>days later</t>
  </si>
  <si>
    <t>IAAC9</t>
  </si>
  <si>
    <t>IAAA8</t>
  </si>
  <si>
    <t>IAAOF</t>
  </si>
  <si>
    <t>per day</t>
  </si>
  <si>
    <t>avg</t>
  </si>
  <si>
    <t>Issue/Dated</t>
  </si>
  <si>
    <t>Current</t>
  </si>
  <si>
    <t>IAADA</t>
  </si>
  <si>
    <t>IAADB</t>
  </si>
  <si>
    <t>Total:</t>
  </si>
  <si>
    <t>Avg earnings per day</t>
  </si>
  <si>
    <t>IAAOT</t>
  </si>
  <si>
    <t>IAAA9</t>
  </si>
  <si>
    <t>IAADC</t>
  </si>
  <si>
    <t>IAADD</t>
  </si>
  <si>
    <t>IAADE</t>
  </si>
  <si>
    <t>IAADF</t>
  </si>
  <si>
    <t>sellable</t>
  </si>
  <si>
    <t>Sellable?</t>
  </si>
  <si>
    <t>Par</t>
  </si>
  <si>
    <t>Periodic Interest</t>
  </si>
  <si>
    <t>Yearly Interest</t>
  </si>
  <si>
    <t>Par + Future Interest</t>
  </si>
  <si>
    <t>sometimes buy silver (mostly), copper, coins, small denomination bars, some rounds, some gold, platinum, palladium, nickel, face value important</t>
  </si>
  <si>
    <t>IAAPP</t>
  </si>
  <si>
    <t>Asset</t>
  </si>
  <si>
    <t>Redeemable</t>
  </si>
  <si>
    <t>WTR</t>
  </si>
  <si>
    <t>quarterly divs, probably the best investing thesis out there because water is so important</t>
  </si>
  <si>
    <t>quarterly div, probably the best investing thesis out there because water is so important</t>
  </si>
  <si>
    <t>IAAPV</t>
  </si>
  <si>
    <t>Divs/Day</t>
  </si>
  <si>
    <t>Lifetime earnings</t>
  </si>
  <si>
    <t>IAAPC</t>
  </si>
  <si>
    <t>% increase</t>
  </si>
  <si>
    <t>"Market Share"</t>
  </si>
  <si>
    <t>look at snapshots regularly</t>
  </si>
  <si>
    <t>IAADG</t>
  </si>
  <si>
    <t>small amount of speculation</t>
  </si>
  <si>
    <t>IAABA</t>
  </si>
  <si>
    <t>IAADH</t>
  </si>
  <si>
    <t>IAADI</t>
  </si>
  <si>
    <t>IAADJ</t>
  </si>
  <si>
    <t>IAADK</t>
  </si>
  <si>
    <t>GOV</t>
  </si>
  <si>
    <t>quarterly divs, REIT, mostly gov tenants, reliable</t>
  </si>
  <si>
    <t>Percent</t>
  </si>
  <si>
    <t>Amt per Day</t>
  </si>
  <si>
    <t>mean</t>
  </si>
  <si>
    <t>check</t>
  </si>
  <si>
    <t>median</t>
  </si>
  <si>
    <t>IAAPA</t>
  </si>
  <si>
    <t>IAAQM</t>
  </si>
  <si>
    <t>IAAPB</t>
  </si>
  <si>
    <t>TXN</t>
  </si>
  <si>
    <t>qtr dividend, Yari's stock, tech, calculators, semi-conductors</t>
  </si>
  <si>
    <t>IAADL</t>
  </si>
  <si>
    <t>IAARI</t>
  </si>
  <si>
    <t>IAARK</t>
  </si>
  <si>
    <t>IAARN</t>
  </si>
  <si>
    <t>to double over X years</t>
  </si>
  <si>
    <t>(1+r)^X = 2</t>
  </si>
  <si>
    <t>FRNs</t>
  </si>
  <si>
    <t>IAADM</t>
  </si>
  <si>
    <t>IAABB</t>
  </si>
  <si>
    <t>IAART</t>
  </si>
  <si>
    <t>IAADN</t>
  </si>
  <si>
    <t>IAADO</t>
  </si>
  <si>
    <t>IAARU</t>
  </si>
  <si>
    <t>Yearly total</t>
  </si>
  <si>
    <t>MO</t>
  </si>
  <si>
    <t>IAANV</t>
  </si>
  <si>
    <t>IAAMF</t>
  </si>
  <si>
    <t>IAAMG</t>
  </si>
  <si>
    <t>IAAMH</t>
  </si>
  <si>
    <t>IAAMI</t>
  </si>
  <si>
    <t>IAAMJ</t>
  </si>
  <si>
    <t>STAG</t>
  </si>
  <si>
    <t>monthly divs, REIT, strong business model</t>
  </si>
  <si>
    <t>none (no divs)</t>
  </si>
  <si>
    <t>Treasury Interest</t>
  </si>
  <si>
    <t>Change</t>
  </si>
  <si>
    <t>Cap</t>
  </si>
  <si>
    <t>% Change</t>
  </si>
  <si>
    <t>avg cost</t>
  </si>
  <si>
    <t>total ratios</t>
  </si>
  <si>
    <t>large company, now profitable</t>
  </si>
  <si>
    <t>FMCC</t>
  </si>
  <si>
    <t>FNMA</t>
  </si>
  <si>
    <t>months</t>
  </si>
  <si>
    <t>years</t>
  </si>
  <si>
    <t>IAAS5</t>
  </si>
  <si>
    <t>IAAS6</t>
  </si>
  <si>
    <t>IAAS7</t>
  </si>
  <si>
    <t>Low</t>
  </si>
  <si>
    <t>IAANW</t>
  </si>
  <si>
    <t>IAAS8</t>
  </si>
  <si>
    <t>Check</t>
  </si>
  <si>
    <t>approx</t>
  </si>
  <si>
    <t>% there (cost)</t>
  </si>
  <si>
    <t>% there (interest)</t>
  </si>
  <si>
    <t>How many Treasury Bonds do I need to get $X per year in interest payments?</t>
  </si>
  <si>
    <t>Avg Rate</t>
  </si>
  <si>
    <t>Yearly Interest (1 Bond)</t>
  </si>
  <si>
    <t>Bonds Needed</t>
  </si>
  <si>
    <t>IAAMK</t>
  </si>
  <si>
    <t>IAAML</t>
  </si>
  <si>
    <t>IAAMM</t>
  </si>
  <si>
    <t>IAAMN</t>
  </si>
  <si>
    <t>cost</t>
  </si>
  <si>
    <t>bonds needed to buy 1 bond per year, using interest</t>
  </si>
  <si>
    <t>bonds needed to buy 1 bond per month, using interest</t>
  </si>
  <si>
    <t>IAATK</t>
  </si>
  <si>
    <t>IAATL</t>
  </si>
  <si>
    <t>Pounds</t>
  </si>
  <si>
    <t>inventive, project mgmt, defense, quarterly div, special divs</t>
  </si>
  <si>
    <t>IAANX</t>
  </si>
  <si>
    <t>IAAMO</t>
  </si>
  <si>
    <t>IAAMP</t>
  </si>
  <si>
    <t>IAAMQ</t>
  </si>
  <si>
    <t>IAAMR</t>
  </si>
  <si>
    <t>High</t>
  </si>
  <si>
    <t>Low/High Total Using Historical Low/High</t>
  </si>
  <si>
    <t>IAAT5</t>
  </si>
  <si>
    <t>monthly dividends, index, put on DRIP</t>
  </si>
  <si>
    <t>Ratio</t>
  </si>
  <si>
    <t>Gold owned by US (troy oz)</t>
  </si>
  <si>
    <t>Book value of gold (US, $ / troy oz)</t>
  </si>
  <si>
    <t>IAAUH</t>
  </si>
  <si>
    <t>IAANY</t>
  </si>
  <si>
    <t>IAAMS</t>
  </si>
  <si>
    <t>IAAMT</t>
  </si>
  <si>
    <t>IAAMU</t>
  </si>
  <si>
    <t>IAAMV</t>
  </si>
  <si>
    <t>Amount/Savings bond</t>
  </si>
  <si>
    <t>Monthly Total</t>
  </si>
  <si>
    <t>Reinvestments</t>
  </si>
  <si>
    <t>Treasury Bills (28 day)</t>
  </si>
  <si>
    <t>Titanium</t>
  </si>
  <si>
    <t>interesting speculation in my opinion, plentiful metal but very useful</t>
  </si>
  <si>
    <t>BCO</t>
  </si>
  <si>
    <t>quarterly divs, security company to banks and other major institutions</t>
  </si>
  <si>
    <t>IAAVQ</t>
  </si>
  <si>
    <t>IAAVZ</t>
  </si>
  <si>
    <t>Divs</t>
  </si>
  <si>
    <t>T</t>
  </si>
  <si>
    <t>IAAMW</t>
  </si>
  <si>
    <t>IAAMX</t>
  </si>
  <si>
    <t>IAAMY</t>
  </si>
  <si>
    <t>IAAMZ</t>
  </si>
  <si>
    <t>IAAM0</t>
  </si>
  <si>
    <t>IAANZ</t>
  </si>
  <si>
    <t>Current Salary</t>
  </si>
  <si>
    <t>IAAWE</t>
  </si>
  <si>
    <t>use TreasuryDirect, bc convenience, small taxes, and no brokerage fees!</t>
  </si>
  <si>
    <t>IAAWG</t>
  </si>
  <si>
    <t>IAAWH</t>
  </si>
  <si>
    <t>Payment/Month</t>
  </si>
  <si>
    <t>my brokerage cash = total brokerage cash-yari's cash</t>
  </si>
  <si>
    <t>IAAV1</t>
  </si>
  <si>
    <t>IAAN0</t>
  </si>
  <si>
    <t>IAAM1</t>
  </si>
  <si>
    <t>IAAM2</t>
  </si>
  <si>
    <t>IAAM3</t>
  </si>
  <si>
    <t>IAAM4</t>
  </si>
  <si>
    <t>Amt Per Month</t>
  </si>
  <si>
    <t>IAAXN</t>
  </si>
  <si>
    <t>IAAXP</t>
  </si>
  <si>
    <t>DRIPping?</t>
  </si>
  <si>
    <t>Yari</t>
  </si>
  <si>
    <t># DRIPping</t>
  </si>
  <si>
    <t>% DRIPping</t>
  </si>
  <si>
    <t>DHY</t>
  </si>
  <si>
    <t>Zip to Blue Chip, monthly divs, bond fund</t>
  </si>
  <si>
    <t>bond fund, based on projects, monthly dividend</t>
  </si>
  <si>
    <t>avg / hr</t>
  </si>
  <si>
    <t>avg / min</t>
  </si>
  <si>
    <t>avg / sec</t>
  </si>
  <si>
    <t>IRT</t>
  </si>
  <si>
    <t>WHLR</t>
  </si>
  <si>
    <t>ORC</t>
  </si>
  <si>
    <t>GORO</t>
  </si>
  <si>
    <t>SDRL</t>
  </si>
  <si>
    <t>Justin</t>
  </si>
  <si>
    <t>quarterly divs, interesting and important industry</t>
  </si>
  <si>
    <t>Grand Grand total, future</t>
  </si>
  <si>
    <t>par + future interest + 2*savings bond total par + zero % C of I</t>
  </si>
  <si>
    <t>PGH</t>
  </si>
  <si>
    <t>GLW</t>
  </si>
  <si>
    <t>quarterly divs, glass is very important with technology, price chart over time is nice and steady IMO</t>
  </si>
  <si>
    <t>IAAN1</t>
  </si>
  <si>
    <t>IAAM6</t>
  </si>
  <si>
    <t>IAAM5</t>
  </si>
  <si>
    <t>AWR</t>
  </si>
  <si>
    <t>quarterly divs, wide moat industry</t>
  </si>
  <si>
    <t>WM</t>
  </si>
  <si>
    <t>spot</t>
  </si>
  <si>
    <t>divs/month</t>
  </si>
  <si>
    <t>minting costs (premium)</t>
  </si>
  <si>
    <t>oz per month</t>
  </si>
  <si>
    <t>oz per year</t>
  </si>
  <si>
    <t>years to 1oz</t>
  </si>
  <si>
    <t>shares for 1oz/month</t>
  </si>
  <si>
    <t>shares for 1oz/year</t>
  </si>
  <si>
    <t>oz at 30 years</t>
  </si>
  <si>
    <t>oz at 40 years</t>
  </si>
  <si>
    <t>oz at 10 years</t>
  </si>
  <si>
    <t>oz at 20 years</t>
  </si>
  <si>
    <t>GORO's metal prices</t>
  </si>
  <si>
    <t>% allocation for divs</t>
  </si>
  <si>
    <t>GORO's physical metal dividend program</t>
  </si>
  <si>
    <t>Allocation check</t>
  </si>
  <si>
    <t>adiv</t>
  </si>
  <si>
    <t>Note, they only send out in 1oz increments, no fractional oz are sent</t>
  </si>
  <si>
    <t>$ wanted per month</t>
  </si>
  <si>
    <t>extra shares needed</t>
  </si>
  <si>
    <t>extra $ needed</t>
  </si>
  <si>
    <t>Can buy this many shares</t>
  </si>
  <si>
    <t>IAAM7</t>
  </si>
  <si>
    <t>IAAM8</t>
  </si>
  <si>
    <t>New divs / month</t>
  </si>
  <si>
    <t>Income Sources</t>
  </si>
  <si>
    <t>Share market value</t>
  </si>
  <si>
    <t>cost for 1oz/month</t>
  </si>
  <si>
    <t>cost for 1oz/year</t>
  </si>
  <si>
    <t>Interest</t>
  </si>
  <si>
    <t>Bond/Note Comparison</t>
  </si>
  <si>
    <t>value at 10 years (current price)</t>
  </si>
  <si>
    <t>value at 20 years (current price)</t>
  </si>
  <si>
    <t>value at 30 years (current price)</t>
  </si>
  <si>
    <t>value at 40 years (current price)</t>
  </si>
  <si>
    <t>Totals  (current prices)</t>
  </si>
  <si>
    <t>value at 10 years (future price)</t>
  </si>
  <si>
    <t>value at 20 years (future price)</t>
  </si>
  <si>
    <t>value at 30 years (future price)</t>
  </si>
  <si>
    <t>value at 40 years (future price)</t>
  </si>
  <si>
    <t>Totals  (future prices)</t>
  </si>
  <si>
    <t>future spot price</t>
  </si>
  <si>
    <t>IAAY5</t>
  </si>
  <si>
    <t>total brokerage cash</t>
  </si>
  <si>
    <t>To update records</t>
  </si>
  <si>
    <t>quarterly divs, 'best in breed'</t>
  </si>
  <si>
    <t>PG</t>
  </si>
  <si>
    <t>IAAY7</t>
  </si>
  <si>
    <t>IAAY8</t>
  </si>
  <si>
    <t>IAAM9</t>
  </si>
  <si>
    <t>IAANA</t>
  </si>
  <si>
    <t>IAANB</t>
  </si>
  <si>
    <t>IAANC</t>
  </si>
  <si>
    <t>IAAND</t>
  </si>
  <si>
    <t>IAAN2</t>
  </si>
  <si>
    <t>savings bonds + par(treasury bills + treasury notes + treasury bonds + tips + FRNs)</t>
  </si>
  <si>
    <t>savings bonds + par(treasury bills + treasury notes + treasury bonds + tips + FRNs) + zero % C of I</t>
  </si>
  <si>
    <t>% decrease</t>
  </si>
  <si>
    <t>new totals</t>
  </si>
  <si>
    <t>worst case scenario calculator</t>
  </si>
  <si>
    <t>Want per month per bond</t>
  </si>
  <si>
    <t>Need to spend</t>
  </si>
  <si>
    <t>Rounded up to nearest 100</t>
  </si>
  <si>
    <t>New oz silver / month</t>
  </si>
  <si>
    <t>DLTR</t>
  </si>
  <si>
    <t>IBM</t>
  </si>
  <si>
    <t>quarterly divs, constant reinvention, long history</t>
  </si>
  <si>
    <t>IAAZB</t>
  </si>
  <si>
    <t>IAAZC</t>
  </si>
  <si>
    <t>IAAZD</t>
  </si>
  <si>
    <t>SLW</t>
  </si>
  <si>
    <t>after merged w Family Dollar?, best of breed dollar store, Yari's stock</t>
  </si>
  <si>
    <t>quarterly divs, mega-merger of own MLPs, dividend growth, energy</t>
  </si>
  <si>
    <t>KMI</t>
  </si>
  <si>
    <t>Rank</t>
  </si>
  <si>
    <t>JPM</t>
  </si>
  <si>
    <t>quarterly divs, STRONG bank</t>
  </si>
  <si>
    <t>Duration</t>
  </si>
  <si>
    <t>IAAN3</t>
  </si>
  <si>
    <t>IAANE</t>
  </si>
  <si>
    <t>IAANF</t>
  </si>
  <si>
    <t>IAANG</t>
  </si>
  <si>
    <t>IAANH</t>
  </si>
  <si>
    <t>IAAZJ</t>
  </si>
  <si>
    <t>IAAZL</t>
  </si>
  <si>
    <t>IAAZM</t>
  </si>
  <si>
    <t>IAAZN</t>
  </si>
  <si>
    <t>NYRT</t>
  </si>
  <si>
    <t>monthly divs, REIT, expensive geographical area</t>
  </si>
  <si>
    <t>energy, monthly dividends changed to quarterly</t>
  </si>
  <si>
    <t>JE</t>
  </si>
  <si>
    <t>quarterly divs, formerly monthly divs, unique way to sell energy</t>
  </si>
  <si>
    <t>CWT</t>
  </si>
  <si>
    <t>Price/$100</t>
  </si>
  <si>
    <t>13 weeks (qtr)</t>
  </si>
  <si>
    <t>28 days (month)</t>
  </si>
  <si>
    <t>26 weeks (half year)</t>
  </si>
  <si>
    <t>52 weeks (year)</t>
  </si>
  <si>
    <t>Reinvestment max</t>
  </si>
  <si>
    <t>Gain/matured bill</t>
  </si>
  <si>
    <t>Gain/matured w reinvestments</t>
  </si>
  <si>
    <t>28 day Treasury Bills</t>
  </si>
  <si>
    <t>IAAZU</t>
  </si>
  <si>
    <t>IAAZV</t>
  </si>
  <si>
    <t>IAAZW</t>
  </si>
  <si>
    <t>IAAZX</t>
  </si>
  <si>
    <t>IAAZY</t>
  </si>
  <si>
    <t>IAAZZ</t>
  </si>
  <si>
    <t>IAAZ0</t>
  </si>
  <si>
    <t>IAAZ1</t>
  </si>
  <si>
    <t>IAAZ2</t>
  </si>
  <si>
    <t>IAAZ3</t>
  </si>
  <si>
    <t>IAAZ4</t>
  </si>
  <si>
    <t>IAAZ5</t>
  </si>
  <si>
    <t>IAAZ6</t>
  </si>
  <si>
    <t>IAAZ7</t>
  </si>
  <si>
    <t>IAAZ8</t>
  </si>
  <si>
    <t>IAAZ9</t>
  </si>
  <si>
    <t>IAA0A</t>
  </si>
  <si>
    <t>IAA0B</t>
  </si>
  <si>
    <t>IAA0C</t>
  </si>
  <si>
    <t>IAA0D</t>
  </si>
  <si>
    <t>IAA0E</t>
  </si>
  <si>
    <t>IAA0F</t>
  </si>
  <si>
    <t>IAA0G</t>
  </si>
  <si>
    <t>IAA0H</t>
  </si>
  <si>
    <t>IAA0I</t>
  </si>
  <si>
    <t>IAA0J</t>
  </si>
  <si>
    <t>IAA0K</t>
  </si>
  <si>
    <t>IAA0L</t>
  </si>
  <si>
    <t>IAA0M</t>
  </si>
  <si>
    <t>IAA0N</t>
  </si>
  <si>
    <t>IAA0O</t>
  </si>
  <si>
    <t>IAA0P</t>
  </si>
  <si>
    <t>IAA0Q</t>
  </si>
  <si>
    <t>IAA0R</t>
  </si>
  <si>
    <t>IAA0S</t>
  </si>
  <si>
    <t>IAA0T</t>
  </si>
  <si>
    <t>IAA0U</t>
  </si>
  <si>
    <t>IAA0V</t>
  </si>
  <si>
    <t>IAA0W</t>
  </si>
  <si>
    <t>IAA0X</t>
  </si>
  <si>
    <t>IAA0Y</t>
  </si>
  <si>
    <t>IAA0Z</t>
  </si>
  <si>
    <t>IAA00</t>
  </si>
  <si>
    <t>IAA01</t>
  </si>
  <si>
    <t>IAA02</t>
  </si>
  <si>
    <t>IAA03</t>
  </si>
  <si>
    <t>IAA04</t>
  </si>
  <si>
    <t>IAA05</t>
  </si>
  <si>
    <t>IAA06</t>
  </si>
  <si>
    <t>IAA07</t>
  </si>
  <si>
    <t>IAA08</t>
  </si>
  <si>
    <t>IAA09</t>
  </si>
  <si>
    <t>IAA1A</t>
  </si>
  <si>
    <t>IAAN4</t>
  </si>
  <si>
    <t>IAANJ</t>
  </si>
  <si>
    <t>IAANK</t>
  </si>
  <si>
    <t>IAANL</t>
  </si>
  <si>
    <t>IAANM</t>
  </si>
  <si>
    <t>IAAN5</t>
  </si>
  <si>
    <t>IAANN</t>
  </si>
  <si>
    <t>IAANO</t>
  </si>
  <si>
    <t>IAANP</t>
  </si>
  <si>
    <t>IAANQ</t>
  </si>
  <si>
    <t>IAAN6</t>
  </si>
  <si>
    <t>IAANR</t>
  </si>
  <si>
    <t>IAANS</t>
  </si>
  <si>
    <t>IAANT</t>
  </si>
  <si>
    <t>IAANU</t>
  </si>
  <si>
    <t>IAA1B</t>
  </si>
  <si>
    <t>IAA1C</t>
  </si>
  <si>
    <t>IAA1D</t>
  </si>
  <si>
    <t>IAA1E</t>
  </si>
  <si>
    <t>IAA1F</t>
  </si>
  <si>
    <t>IAA1G</t>
  </si>
  <si>
    <t>IAA1H</t>
  </si>
  <si>
    <t>IAA1I</t>
  </si>
  <si>
    <t>IAA1J</t>
  </si>
  <si>
    <t>IAA1K</t>
  </si>
  <si>
    <t>IAA1L</t>
  </si>
  <si>
    <t>IAA1M</t>
  </si>
  <si>
    <t>quarterly divs, alternative financial services, growing segment, great business models, play on gold too (down then retail it, up then sell it for melt)</t>
  </si>
  <si>
    <t>IAANI</t>
  </si>
  <si>
    <t>IAA1O</t>
  </si>
  <si>
    <t>IAA1S</t>
  </si>
  <si>
    <t>monthly divs, instead of directly in gold. Option to get dividends in physical gold/silver too. Transfer brokerage shares to Computershare (209 shares, the remainder with Merrill Lynch), then ComputerShare sends divs to Gold Bullion International to buy physical metals, can set silver/gold allocation percents, see calculations below</t>
  </si>
  <si>
    <t>shares (at ComputerShare)</t>
  </si>
  <si>
    <t>IAA1U</t>
  </si>
  <si>
    <t>Percent (Count)</t>
  </si>
  <si>
    <t>IAA1W</t>
  </si>
  <si>
    <t>quarterly divs, probably the best investing thesis out there because water is so important, dividends paid for a LOOOOONG time</t>
  </si>
  <si>
    <t>YORW</t>
  </si>
  <si>
    <t>solid company, global, qtr dividend, Yari's stock, recent split made more affordable, addictive! (to me too), play on water too</t>
  </si>
  <si>
    <t>AdSense</t>
  </si>
  <si>
    <t>Avg yearly AdSense revenue</t>
  </si>
  <si>
    <t>Avg monthly AdSense revenue</t>
  </si>
  <si>
    <t>Quarterly Payment</t>
  </si>
  <si>
    <t>Yearly payment</t>
  </si>
  <si>
    <t>Months</t>
  </si>
  <si>
    <t>gain on sellable</t>
  </si>
  <si>
    <t>Emergency Food</t>
  </si>
  <si>
    <t>Emergency Water</t>
  </si>
  <si>
    <t>emergency food</t>
  </si>
  <si>
    <t>ENVA</t>
  </si>
  <si>
    <t>divs in future, CSH spun this off, internet version of CSH basically</t>
  </si>
  <si>
    <t>Morse Code</t>
  </si>
  <si>
    <t>IAA10</t>
  </si>
  <si>
    <t>CPG</t>
  </si>
  <si>
    <t>TAHO</t>
  </si>
  <si>
    <t>monthly divs, silver play, GG owns a lot</t>
  </si>
  <si>
    <t>M's savings acct</t>
  </si>
  <si>
    <t>Effective Value</t>
  </si>
  <si>
    <t>Paycheck</t>
  </si>
  <si>
    <t>Scrapping</t>
  </si>
  <si>
    <t>Avg yearly Scrapping revenue</t>
  </si>
  <si>
    <t>Avg monthly Scrapping revenue</t>
  </si>
  <si>
    <t>Cost of can crusher</t>
  </si>
  <si>
    <t>Amazon selling</t>
  </si>
  <si>
    <t>Avg yearly Amazon selling revenue</t>
  </si>
  <si>
    <t>Avg monthly Amazon selling revenue</t>
  </si>
  <si>
    <t>Diff between investment income per day and bills per day</t>
  </si>
  <si>
    <t>M's savings, Burke &amp; Herbert</t>
  </si>
  <si>
    <t>Historical</t>
  </si>
  <si>
    <t>simplify when possible</t>
  </si>
  <si>
    <t>days</t>
  </si>
  <si>
    <t>% of paycheck non-paycheck income is</t>
  </si>
  <si>
    <t>etc.</t>
  </si>
  <si>
    <t>Amt Dif, from prev</t>
  </si>
  <si>
    <t>Monthly Diff, from prev</t>
  </si>
  <si>
    <t>Yearly Diff, from prev</t>
  </si>
  <si>
    <t>Amt Dif, from start</t>
  </si>
  <si>
    <t>Monthly Diff, from start</t>
  </si>
  <si>
    <t>Yearly Diff, from start</t>
  </si>
  <si>
    <t>Emergency Heat</t>
  </si>
  <si>
    <t>Emergency Preps</t>
  </si>
  <si>
    <t>emergency heat, cooking and warmth</t>
  </si>
  <si>
    <t>emergency water, drinking and other uses</t>
  </si>
  <si>
    <t>salary w/o locality pay</t>
  </si>
  <si>
    <t>salary w/ locality pay</t>
  </si>
  <si>
    <t>yearly</t>
  </si>
  <si>
    <t>hourly</t>
  </si>
  <si>
    <t>Gain on sellable</t>
  </si>
  <si>
    <t>IAA16</t>
  </si>
  <si>
    <t>IAA2A</t>
  </si>
  <si>
    <t>IAA2B</t>
  </si>
  <si>
    <t>Bills</t>
  </si>
  <si>
    <t>Bonds</t>
  </si>
  <si>
    <t>FRN</t>
  </si>
  <si>
    <t>short</t>
  </si>
  <si>
    <t>medium</t>
  </si>
  <si>
    <t>long</t>
  </si>
  <si>
    <t>medium or long</t>
  </si>
  <si>
    <t>IAA2C</t>
  </si>
  <si>
    <t>WU</t>
  </si>
  <si>
    <t>PAAS</t>
  </si>
  <si>
    <t>RIO</t>
  </si>
  <si>
    <t>BBL</t>
  </si>
  <si>
    <t>quarterly divs, incredible history, telegraph, money transfer, charge card, internet, etc.</t>
  </si>
  <si>
    <t>ABX</t>
  </si>
  <si>
    <t>quarterly divs, high-quality miner</t>
  </si>
  <si>
    <t>bi-yearly divs, high-quality miner</t>
  </si>
  <si>
    <t>B</t>
  </si>
  <si>
    <t>bi-annual divs, large miner</t>
  </si>
  <si>
    <t>quarterly divs, medium sized miner</t>
  </si>
  <si>
    <t>quarterly divs, software and tech</t>
  </si>
  <si>
    <t>MSFT</t>
  </si>
  <si>
    <t>Bi-Annual Payment</t>
  </si>
  <si>
    <t>New shares 1</t>
  </si>
  <si>
    <t>New shares 2</t>
  </si>
  <si>
    <t>New shares 3</t>
  </si>
  <si>
    <t>Adiv/share</t>
  </si>
  <si>
    <t>Yearly divs 1</t>
  </si>
  <si>
    <t>Shares 1</t>
  </si>
  <si>
    <t>Total 1</t>
  </si>
  <si>
    <t>Yearly divs 2</t>
  </si>
  <si>
    <t>Shares 2</t>
  </si>
  <si>
    <t>Total 2</t>
  </si>
  <si>
    <t>Yearly divs 3</t>
  </si>
  <si>
    <t>Shares 3</t>
  </si>
  <si>
    <t>Total 3</t>
  </si>
  <si>
    <t>Yearly divs 4</t>
  </si>
  <si>
    <t>New shares 4</t>
  </si>
  <si>
    <t>Shares 4</t>
  </si>
  <si>
    <t>Total 4</t>
  </si>
  <si>
    <t>Yearly divs 5</t>
  </si>
  <si>
    <t>New shares 5</t>
  </si>
  <si>
    <t>Shares 5</t>
  </si>
  <si>
    <t>Total 5</t>
  </si>
  <si>
    <t>Yearly divs 6</t>
  </si>
  <si>
    <t>New shares 6</t>
  </si>
  <si>
    <t>Shares 6</t>
  </si>
  <si>
    <t>Total 6</t>
  </si>
  <si>
    <t>Yearly divs 7</t>
  </si>
  <si>
    <t>New shares 7</t>
  </si>
  <si>
    <t>Shares 7</t>
  </si>
  <si>
    <t>Total 7</t>
  </si>
  <si>
    <t>Yearly divs 8</t>
  </si>
  <si>
    <t>New shares 8</t>
  </si>
  <si>
    <t>Shares 8</t>
  </si>
  <si>
    <t>Total 8</t>
  </si>
  <si>
    <t>Yearly divs 9</t>
  </si>
  <si>
    <t>New shares 9</t>
  </si>
  <si>
    <t>Shares 9</t>
  </si>
  <si>
    <t>Total 9</t>
  </si>
  <si>
    <t>Yearly divs 10</t>
  </si>
  <si>
    <t>New shares 10</t>
  </si>
  <si>
    <t>Shares 10</t>
  </si>
  <si>
    <t>Total 10</t>
  </si>
  <si>
    <t>Yearly divs 11</t>
  </si>
  <si>
    <t>New shares 11</t>
  </si>
  <si>
    <t>Shares 11</t>
  </si>
  <si>
    <t>Total 11</t>
  </si>
  <si>
    <t>Yearly divs 12</t>
  </si>
  <si>
    <t>New shares 12</t>
  </si>
  <si>
    <t>Shares 12</t>
  </si>
  <si>
    <t>Total 12</t>
  </si>
  <si>
    <t>Yearly divs 13</t>
  </si>
  <si>
    <t>New shares 13</t>
  </si>
  <si>
    <t>Shares 13</t>
  </si>
  <si>
    <t>Total 13</t>
  </si>
  <si>
    <t>Yearly divs 14</t>
  </si>
  <si>
    <t>New shares 14</t>
  </si>
  <si>
    <t>Shares 14</t>
  </si>
  <si>
    <t>Total 14</t>
  </si>
  <si>
    <t>Yearly divs 15</t>
  </si>
  <si>
    <t>New shares 15</t>
  </si>
  <si>
    <t>Shares 15</t>
  </si>
  <si>
    <t>Total 15</t>
  </si>
  <si>
    <t>Yearly divs 16</t>
  </si>
  <si>
    <t>New shares 16</t>
  </si>
  <si>
    <t>Shares 16</t>
  </si>
  <si>
    <t>Total 16</t>
  </si>
  <si>
    <t>Yearly divs 17</t>
  </si>
  <si>
    <t>New shares 17</t>
  </si>
  <si>
    <t>Shares 17</t>
  </si>
  <si>
    <t>Total 17</t>
  </si>
  <si>
    <t>Yearly divs 18</t>
  </si>
  <si>
    <t>New shares 18</t>
  </si>
  <si>
    <t>Shares 18</t>
  </si>
  <si>
    <t>Total 18</t>
  </si>
  <si>
    <t>Yearly divs 19</t>
  </si>
  <si>
    <t>New shares 19</t>
  </si>
  <si>
    <t>Shares 19</t>
  </si>
  <si>
    <t>Total 19</t>
  </si>
  <si>
    <t>Yearly divs 20</t>
  </si>
  <si>
    <t>New shares 20</t>
  </si>
  <si>
    <t>Shares 20</t>
  </si>
  <si>
    <t>Total 20</t>
  </si>
  <si>
    <t>Yearly divs 21</t>
  </si>
  <si>
    <t>New shares 21</t>
  </si>
  <si>
    <t>Shares 21</t>
  </si>
  <si>
    <t>Total 21</t>
  </si>
  <si>
    <t>Yearly divs 22</t>
  </si>
  <si>
    <t>New shares 22</t>
  </si>
  <si>
    <t>Shares 22</t>
  </si>
  <si>
    <t>Total 22</t>
  </si>
  <si>
    <t>Yearly divs 23</t>
  </si>
  <si>
    <t>New shares 23</t>
  </si>
  <si>
    <t>Shares 23</t>
  </si>
  <si>
    <t>Total 23</t>
  </si>
  <si>
    <t>Yearly divs 24</t>
  </si>
  <si>
    <t>New shares 24</t>
  </si>
  <si>
    <t>Shares 24</t>
  </si>
  <si>
    <t>Total 24</t>
  </si>
  <si>
    <t>Yearly divs 25</t>
  </si>
  <si>
    <t>New shares 25</t>
  </si>
  <si>
    <t>Shares 25</t>
  </si>
  <si>
    <t>Total 25</t>
  </si>
  <si>
    <t>Yearly divs 26</t>
  </si>
  <si>
    <t>New shares 26</t>
  </si>
  <si>
    <t>Shares 26</t>
  </si>
  <si>
    <t>Total 26</t>
  </si>
  <si>
    <t>Yearly divs 27</t>
  </si>
  <si>
    <t>New shares 27</t>
  </si>
  <si>
    <t>Shares 27</t>
  </si>
  <si>
    <t>Total 27</t>
  </si>
  <si>
    <t>Yearly divs 28</t>
  </si>
  <si>
    <t>New shares 28</t>
  </si>
  <si>
    <t>Shares 28</t>
  </si>
  <si>
    <t>Total 28</t>
  </si>
  <si>
    <t>Yearly divs 29</t>
  </si>
  <si>
    <t>New shares 29</t>
  </si>
  <si>
    <t>Shares 29</t>
  </si>
  <si>
    <t>Total 29</t>
  </si>
  <si>
    <t>Yearly divs 30</t>
  </si>
  <si>
    <t>New shares 30</t>
  </si>
  <si>
    <t>Shares 30</t>
  </si>
  <si>
    <t>Total 30</t>
  </si>
  <si>
    <t>DRIP</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</si>
  <si>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</si>
  <si>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</si>
  <si>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</si>
  <si>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</si>
  <si>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</si>
  <si>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</si>
  <si>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</si>
  <si>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</si>
  <si>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</si>
  <si>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</si>
  <si>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</si>
  <si>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</si>
  <si>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</si>
  <si>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</si>
  <si>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</si>
  <si>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</si>
  <si>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</si>
  <si>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</si>
  <si>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</si>
  <si>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</si>
  <si>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</si>
  <si>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</si>
  <si>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</si>
  <si>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</si>
  <si>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</si>
  <si>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</si>
  <si>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</si>
  <si>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</si>
  <si>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</si>
  <si>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</si>
  <si>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Yearly divs 31</t>
  </si>
  <si>
    <t>New shares 31</t>
  </si>
  <si>
    <t>Shares 31</t>
  </si>
  <si>
    <t>Total 31</t>
  </si>
  <si>
    <t>Yearly divs 32</t>
  </si>
  <si>
    <t>New shares 32</t>
  </si>
  <si>
    <t>Shares 32</t>
  </si>
  <si>
    <t>Total 32</t>
  </si>
  <si>
    <t>Yearly divs 33</t>
  </si>
  <si>
    <t>New shares 33</t>
  </si>
  <si>
    <t>Shares 33</t>
  </si>
  <si>
    <t>Total 33</t>
  </si>
  <si>
    <t>Yearly divs 34</t>
  </si>
  <si>
    <t>New shares 34</t>
  </si>
  <si>
    <t>Shares 34</t>
  </si>
  <si>
    <t>Total 34</t>
  </si>
  <si>
    <t>Yearly divs 35</t>
  </si>
  <si>
    <t>New shares 35</t>
  </si>
  <si>
    <t>Shares 35</t>
  </si>
  <si>
    <t>Total 35</t>
  </si>
  <si>
    <t>Yearly divs 36</t>
  </si>
  <si>
    <t>New shares 36</t>
  </si>
  <si>
    <t>Shares 36</t>
  </si>
  <si>
    <t>Total 36</t>
  </si>
  <si>
    <t>Yearly divs 37</t>
  </si>
  <si>
    <t>New shares 37</t>
  </si>
  <si>
    <t>Shares 37</t>
  </si>
  <si>
    <t>Total 37</t>
  </si>
  <si>
    <t>Yearly divs 38</t>
  </si>
  <si>
    <t>New shares 38</t>
  </si>
  <si>
    <t>Shares 38</t>
  </si>
  <si>
    <t>Total 38</t>
  </si>
  <si>
    <t>Yearly divs 39</t>
  </si>
  <si>
    <t>New shares 39</t>
  </si>
  <si>
    <t>Shares 39</t>
  </si>
  <si>
    <t>Total 39</t>
  </si>
  <si>
    <t>Yearly divs 40</t>
  </si>
  <si>
    <t>New shares 40</t>
  </si>
  <si>
    <t>Shares 40</t>
  </si>
  <si>
    <t>Total 40</t>
  </si>
  <si>
    <t>Year 31</t>
  </si>
  <si>
    <t>Year 32</t>
  </si>
  <si>
    <t>Year 33</t>
  </si>
  <si>
    <t>Year 34</t>
  </si>
  <si>
    <t>Year 35</t>
  </si>
  <si>
    <t>Year 36</t>
  </si>
  <si>
    <t>Year 37</t>
  </si>
  <si>
    <t>Year 38</t>
  </si>
  <si>
    <t>Year 39</t>
  </si>
  <si>
    <t>Year 40</t>
  </si>
  <si>
    <t>Yearly divs 41</t>
  </si>
  <si>
    <t>Now</t>
  </si>
  <si>
    <t>IAA2G</t>
  </si>
  <si>
    <t>Monthly</t>
  </si>
  <si>
    <t>Quarterly</t>
  </si>
  <si>
    <t>Semi-Annual</t>
  </si>
  <si>
    <t>Yearly</t>
  </si>
  <si>
    <t>quarterly divs, energy giant</t>
  </si>
  <si>
    <t>XOM</t>
  </si>
  <si>
    <t>DRIPping when reasonable, esp. when divs/freq or divs/month is small (or large?)</t>
  </si>
  <si>
    <t>royalty trusts appealing yield, BUT also not appealing with diminishing resources, literally goes to 0</t>
  </si>
  <si>
    <t>Approx gain</t>
  </si>
  <si>
    <t>Amt</t>
  </si>
  <si>
    <t>&lt;---Compounding happens here</t>
  </si>
  <si>
    <t>Gain ($)</t>
  </si>
  <si>
    <t>$ of div this allocation is per month</t>
  </si>
  <si>
    <t>50-50 mix</t>
  </si>
  <si>
    <t>Allocations</t>
  </si>
  <si>
    <t>put at least $X into gold, the rest into silver</t>
  </si>
  <si>
    <t>get Xoz silver per year, the rest into gold</t>
  </si>
  <si>
    <t>Variables</t>
  </si>
  <si>
    <t>$S</t>
  </si>
  <si>
    <t>$G</t>
  </si>
  <si>
    <t>all silver</t>
  </si>
  <si>
    <t>all gold</t>
  </si>
  <si>
    <t>put X times more $ in silver</t>
  </si>
  <si>
    <t>according to spot prices</t>
  </si>
  <si>
    <t>according to minting premiums</t>
  </si>
  <si>
    <t>according to GORO's metal prices</t>
  </si>
  <si>
    <t>according to future spot prices increase</t>
  </si>
  <si>
    <t>random</t>
  </si>
  <si>
    <t>according to % in current metals portfolio</t>
  </si>
  <si>
    <t>according to % in current total portfolio</t>
  </si>
  <si>
    <t>effort needed to reach goals</t>
  </si>
  <si>
    <t>average of indicated allocations</t>
  </si>
  <si>
    <t>indicator for average allocation</t>
  </si>
  <si>
    <t>na</t>
  </si>
  <si>
    <t>MCD</t>
  </si>
  <si>
    <t>UL</t>
  </si>
  <si>
    <t>quarterly divs, many consumer products</t>
  </si>
  <si>
    <t>average of all allocations</t>
  </si>
  <si>
    <t>quarterly divs, very solid company, in many sectors, like index ETF, original freakin' DJIA component!</t>
  </si>
  <si>
    <t>inverse prices</t>
  </si>
  <si>
    <t>quarterly divs, leader, sold all ARCO for 1 share of MCD</t>
  </si>
  <si>
    <t>IAA2T</t>
  </si>
  <si>
    <t>CWCO</t>
  </si>
  <si>
    <t>MWA</t>
  </si>
  <si>
    <t>quarterly divs, pure play on water, desalination is very important for the future</t>
  </si>
  <si>
    <t>quarterly divs, parts for water distribution and other systems</t>
  </si>
  <si>
    <t>quarterly dividends, scientific solutions, especially for water issues</t>
  </si>
  <si>
    <t>DOW</t>
  </si>
  <si>
    <t>biannual dividends, energy, single letter ticker symbol</t>
  </si>
  <si>
    <t>Zip to Blue Chip, quarterly div, innovative and high-demand industry for cars and trucks and financing, single letter ticker symbol</t>
  </si>
  <si>
    <t>Single letter symbol, valuable symbol real estate idea (single letter ticker symbol) , REIT, monthly dividend</t>
  </si>
  <si>
    <t>quarterly dividends, leader in their field, history of acheivements, single letter ticker symbol</t>
  </si>
  <si>
    <t>quarterly divs, solid company and history, in process of more modernization, single letter ticker symbol</t>
  </si>
  <si>
    <t>E</t>
  </si>
  <si>
    <t>A</t>
  </si>
  <si>
    <t>AA</t>
  </si>
  <si>
    <t>CSX</t>
  </si>
  <si>
    <t>D</t>
  </si>
  <si>
    <t>EMR</t>
  </si>
  <si>
    <t>PEP</t>
  </si>
  <si>
    <t>single letter ticker symbol 'real estate' idea (E, F, O, T, X, etc.)</t>
  </si>
  <si>
    <t>IAA2W</t>
  </si>
  <si>
    <t>P2P Notes</t>
  </si>
  <si>
    <t>P2P, don't like the defaults, need too much to diversify compared to what you need with Treasuries, but still OK for income, auto-quick-invest, and get good monthly income</t>
  </si>
  <si>
    <t>Note ID</t>
  </si>
  <si>
    <t>Rating</t>
  </si>
  <si>
    <t>Number of Notes</t>
  </si>
  <si>
    <t>Payments/Type</t>
  </si>
  <si>
    <t>Months of Loan</t>
  </si>
  <si>
    <t>Loan Origination</t>
  </si>
  <si>
    <t>Interest Rate</t>
  </si>
  <si>
    <t>Payday</t>
  </si>
  <si>
    <t>Day Frequency</t>
  </si>
  <si>
    <t>HR</t>
  </si>
  <si>
    <t>Notes + Cash</t>
  </si>
  <si>
    <t>P2P Notes, AA</t>
  </si>
  <si>
    <t>P2P Notes, A</t>
  </si>
  <si>
    <t>P2P Notes, B</t>
  </si>
  <si>
    <t>P2P Notes, C</t>
  </si>
  <si>
    <t>P2P Notes, D</t>
  </si>
  <si>
    <t>P2P Notes, E</t>
  </si>
  <si>
    <t>P2P Notes, HR</t>
  </si>
  <si>
    <t>P2P Notes, cash</t>
  </si>
  <si>
    <t>monthly divs, interesting niche, a note is part of a loan</t>
  </si>
  <si>
    <t>cash on Prosper</t>
  </si>
  <si>
    <t>quarterly divs, major railroad company, history of telegraph, B&amp;O, etc.</t>
  </si>
  <si>
    <t xml:space="preserve">Set to auto-invest notes at </t>
  </si>
  <si>
    <t>Can buy</t>
  </si>
  <si>
    <t>Remainder</t>
  </si>
  <si>
    <t>New pymt/month</t>
  </si>
  <si>
    <t>Pymt/month</t>
  </si>
  <si>
    <t>Pymt/year</t>
  </si>
  <si>
    <t>New pymt/year</t>
  </si>
  <si>
    <t>quarterly divs, paid dividends for LONG time</t>
  </si>
  <si>
    <t>avg duration</t>
  </si>
  <si>
    <t>265279-125</t>
  </si>
  <si>
    <t>Pymt/day</t>
  </si>
  <si>
    <t>New pymt/day</t>
  </si>
  <si>
    <t>Avg pymt/note/month</t>
  </si>
  <si>
    <t>new salary</t>
  </si>
  <si>
    <t>current paycheck</t>
  </si>
  <si>
    <t>monthly paycheck</t>
  </si>
  <si>
    <t>checkings + paycheck</t>
  </si>
  <si>
    <t>yearly takehome</t>
  </si>
  <si>
    <t>IAA22</t>
  </si>
  <si>
    <t>% of Total</t>
  </si>
  <si>
    <t>Divs / year being DRIPped</t>
  </si>
  <si>
    <t>ARTNA</t>
  </si>
  <si>
    <t>CTWS</t>
  </si>
  <si>
    <t>MSEX</t>
  </si>
  <si>
    <t>SJW</t>
  </si>
  <si>
    <t>quarterly divs, water</t>
  </si>
  <si>
    <t>quarterly divs, like Coke but with more food stuff, water story as well</t>
  </si>
  <si>
    <t>IAA24</t>
  </si>
  <si>
    <t>IAA25</t>
  </si>
  <si>
    <t>IAA26</t>
  </si>
  <si>
    <t>IAA27</t>
  </si>
  <si>
    <t>PM</t>
  </si>
  <si>
    <t>quarterly divs, tobacco, addictive!, strong brands, diversified, international</t>
  </si>
  <si>
    <t>274274-236</t>
  </si>
  <si>
    <t>Thousands, G</t>
  </si>
  <si>
    <t>Total Expense, G</t>
  </si>
  <si>
    <t>Thousands, F</t>
  </si>
  <si>
    <t>Total Expense, F</t>
  </si>
  <si>
    <t>Thousands, C</t>
  </si>
  <si>
    <t>Total Expense, C</t>
  </si>
  <si>
    <t>Thousands, S</t>
  </si>
  <si>
    <t>Total Expense, S</t>
  </si>
  <si>
    <t>Thousands, I</t>
  </si>
  <si>
    <t>Total Expense, I</t>
  </si>
  <si>
    <t>Approx Total Expense</t>
  </si>
  <si>
    <t>Per Year</t>
  </si>
  <si>
    <t>risk</t>
  </si>
  <si>
    <t>reward</t>
  </si>
  <si>
    <t>taxes</t>
  </si>
  <si>
    <t>fees</t>
  </si>
  <si>
    <t>frequency of payment</t>
  </si>
  <si>
    <t>inflation protected</t>
  </si>
  <si>
    <t>28-day t-bill</t>
  </si>
  <si>
    <t>treasury notes</t>
  </si>
  <si>
    <t>treasury bonds</t>
  </si>
  <si>
    <t>13-week t-bill</t>
  </si>
  <si>
    <t>26-week t-bill</t>
  </si>
  <si>
    <t>52-week t-bill</t>
  </si>
  <si>
    <t>inflation protection</t>
  </si>
  <si>
    <t>Bi-Annual</t>
  </si>
  <si>
    <t>TSP investment</t>
  </si>
  <si>
    <t>net</t>
  </si>
  <si>
    <t>per year</t>
  </si>
  <si>
    <t>280191-318</t>
  </si>
  <si>
    <t>Periodicity Conversions</t>
  </si>
  <si>
    <t>Annual</t>
  </si>
  <si>
    <t>280496-323</t>
  </si>
  <si>
    <t>282420-176</t>
  </si>
  <si>
    <t>short (&lt;1yr)</t>
  </si>
  <si>
    <t>medium (1-10yrs)</t>
  </si>
  <si>
    <t>long (&gt;10yr)</t>
  </si>
  <si>
    <t>planning</t>
  </si>
  <si>
    <t>IAA3Q</t>
  </si>
  <si>
    <t>compound return</t>
  </si>
  <si>
    <t>Some raking ideas:</t>
  </si>
  <si>
    <t>IAA3R</t>
  </si>
  <si>
    <t>Total lifetime extra income</t>
  </si>
  <si>
    <t>12oz can</t>
  </si>
  <si>
    <t>16oz can</t>
  </si>
  <si>
    <t>weight (grams)</t>
  </si>
  <si>
    <t>weight (try oz)</t>
  </si>
  <si>
    <t>aluminum spot / lb</t>
  </si>
  <si>
    <t>weight (lb)</t>
  </si>
  <si>
    <t>price / can</t>
  </si>
  <si>
    <t># cans to get $1</t>
  </si>
  <si>
    <t>lbs to get $1</t>
  </si>
  <si>
    <t>Total given to me</t>
  </si>
  <si>
    <t>P/L</t>
  </si>
  <si>
    <t>overall</t>
  </si>
  <si>
    <t>Number</t>
  </si>
  <si>
    <t>max win</t>
  </si>
  <si>
    <t>max loss</t>
  </si>
  <si>
    <t>[1+(W/L)]*P-1</t>
  </si>
  <si>
    <t>per dollar</t>
  </si>
  <si>
    <t>expected to make</t>
  </si>
  <si>
    <t>IAA31</t>
  </si>
  <si>
    <t>IAA34</t>
  </si>
  <si>
    <t>IAA36</t>
  </si>
  <si>
    <t>IAA37</t>
  </si>
  <si>
    <t>first $X prediction</t>
  </si>
  <si>
    <t>YouTube Fan funding</t>
  </si>
  <si>
    <t>YouTube fan funding</t>
  </si>
  <si>
    <t>ZiptoBlueChip</t>
  </si>
  <si>
    <t>Avg yearly Fan funding revenue</t>
  </si>
  <si>
    <t>Avg monthly Fan funding revenue</t>
  </si>
  <si>
    <t>Avg yearly ZiptoBlueChip revenue</t>
  </si>
  <si>
    <t>Avg monthly ZiptoBlueChip revenue</t>
  </si>
  <si>
    <t>how many look up on QRZ</t>
  </si>
  <si>
    <t>of that, how many click on link</t>
  </si>
  <si>
    <t>of that, how many view videos</t>
  </si>
  <si>
    <t>send cq, but no QSO</t>
  </si>
  <si>
    <t>how many hear/see it?</t>
  </si>
  <si>
    <t>V</t>
  </si>
  <si>
    <t>solid company, always in demand, single letter 'real estate' concept, surprising growth, payment system of 'cashless' future?</t>
  </si>
  <si>
    <t>new per paycheck</t>
  </si>
  <si>
    <t>new monthly paycheck</t>
  </si>
  <si>
    <t>new yearly takehome</t>
  </si>
  <si>
    <t>difference per paycheck</t>
  </si>
  <si>
    <t>per paycheck in TSP</t>
  </si>
  <si>
    <t>per year in TSP</t>
  </si>
  <si>
    <t>Cost for this:</t>
  </si>
  <si>
    <t>How many more notes to buy X notes per month with interest</t>
  </si>
  <si>
    <t>notes</t>
  </si>
  <si>
    <t>328595-166</t>
  </si>
  <si>
    <t>IAA4H</t>
  </si>
  <si>
    <t>Cumulative</t>
  </si>
  <si>
    <t>331008-133</t>
  </si>
  <si>
    <t>Graham Number</t>
  </si>
  <si>
    <t>Average P/E</t>
  </si>
  <si>
    <t>Average Yield</t>
  </si>
  <si>
    <t>Average P/S</t>
  </si>
  <si>
    <t>Dividend Discount (Gordon Growth)</t>
  </si>
  <si>
    <t>Discounted Cash Flow</t>
  </si>
  <si>
    <t>Valuation Methods</t>
  </si>
  <si>
    <t>BVPS</t>
  </si>
  <si>
    <t>EPS</t>
  </si>
  <si>
    <t>Current price</t>
  </si>
  <si>
    <t>5yr avg P/E</t>
  </si>
  <si>
    <t>10yr avg P/E</t>
  </si>
  <si>
    <t>value, from 5yr</t>
  </si>
  <si>
    <t>value, from 10yr</t>
  </si>
  <si>
    <t>avg yield, 5yrs</t>
  </si>
  <si>
    <t>avg yield, 10yrs</t>
  </si>
  <si>
    <t>analyst earnings est</t>
  </si>
  <si>
    <t>avg P/S, 5yr</t>
  </si>
  <si>
    <t>avg P/S, 10yr</t>
  </si>
  <si>
    <t>revenue est</t>
  </si>
  <si>
    <t>expected rate of return</t>
  </si>
  <si>
    <t>dividend growth rate</t>
  </si>
  <si>
    <t>value</t>
  </si>
  <si>
    <t>median valuation</t>
  </si>
  <si>
    <t>mean valuation</t>
  </si>
  <si>
    <t>analyst consensus earnings growth &lt;5yr</t>
  </si>
  <si>
    <t>discount rate (expected rate of return)</t>
  </si>
  <si>
    <t>earnings growth after 5yr</t>
  </si>
  <si>
    <t>starting EPS</t>
  </si>
  <si>
    <t>DCF calculations</t>
  </si>
  <si>
    <t>P/B no larger than</t>
  </si>
  <si>
    <t>P/E no larger than</t>
  </si>
  <si>
    <t>FV EPS</t>
  </si>
  <si>
    <t>NPV</t>
  </si>
  <si>
    <t>max valuation</t>
  </si>
  <si>
    <t>min valuation</t>
  </si>
  <si>
    <t>% methods Undervalued</t>
  </si>
  <si>
    <t>% methods Overvalued</t>
  </si>
  <si>
    <t>range in valuations</t>
  </si>
  <si>
    <t>Summary:</t>
  </si>
  <si>
    <t>valuation, ((P/EPS)*(P/BVPS))^.5=(15*1.5), solve for P, compare to market price, actually look at this Graham Number, but also Average P/E, Average Yield, Average P/S, Dividend Discount (Gordon Growth), and Discounted Cash Flow, and take averages to determine valuations, don't just look at one model</t>
  </si>
  <si>
    <t>Average P/E, 5yr</t>
  </si>
  <si>
    <t>Average P/E, 10yr</t>
  </si>
  <si>
    <t>Average Yield, 5yr</t>
  </si>
  <si>
    <t>Average Yield, 10yr</t>
  </si>
  <si>
    <t>Average P/S, 5yr</t>
  </si>
  <si>
    <t>Average P/S, 10yr</t>
  </si>
  <si>
    <t>Method</t>
  </si>
  <si>
    <t>Weight</t>
  </si>
  <si>
    <t>Result</t>
  </si>
  <si>
    <t>weighted valuation</t>
  </si>
  <si>
    <t>Valuation</t>
  </si>
  <si>
    <t>water, desalination, equipment, treatment, utilities, etc., VERY important, NO substitute product risk, and environmental/social investing too</t>
  </si>
  <si>
    <t>IAA3O</t>
  </si>
  <si>
    <t>336111-132</t>
  </si>
  <si>
    <t>Treasury Note</t>
  </si>
  <si>
    <t>Treasury Bond</t>
  </si>
  <si>
    <t>taxable equivalent APY, bc T-bills are exempt from state and local tax</t>
  </si>
  <si>
    <t>EE Savings Bond</t>
  </si>
  <si>
    <t>IAA4S</t>
  </si>
  <si>
    <t>JNJ</t>
  </si>
  <si>
    <t>NSRGY</t>
  </si>
  <si>
    <t>divs, fantastic brands, international</t>
  </si>
  <si>
    <t>Future Total</t>
  </si>
  <si>
    <t>Price/$100, Rounded</t>
  </si>
  <si>
    <t>Jan</t>
  </si>
  <si>
    <t>Feb</t>
  </si>
  <si>
    <t>Mar</t>
  </si>
  <si>
    <t>Apr</t>
  </si>
  <si>
    <t>May</t>
  </si>
  <si>
    <t>Jun</t>
  </si>
  <si>
    <t>Jul</t>
  </si>
  <si>
    <t>Aug</t>
  </si>
  <si>
    <t>Sep</t>
  </si>
  <si>
    <t>Oct</t>
  </si>
  <si>
    <t>Nov</t>
  </si>
  <si>
    <t>Dec</t>
  </si>
  <si>
    <t>Number of Payments</t>
  </si>
  <si>
    <t>Payments for Notes, Bonds, and TIPS</t>
  </si>
  <si>
    <t>Lifetime earnings needed to get $Y per month</t>
  </si>
  <si>
    <t>Future Profit</t>
  </si>
  <si>
    <t>Payment</t>
  </si>
  <si>
    <t>quarterly divs, EXTREMELY strong brands, constant "if I had to own one stock..." type of company</t>
  </si>
  <si>
    <t>quarterly divs, tobacco, addictive!, strong brands, diversified, perhaps the best company of all time, even its spinoff companies are huge</t>
  </si>
  <si>
    <t>Dividend Discount (using CAPM)</t>
  </si>
  <si>
    <t>current annual dividend</t>
  </si>
  <si>
    <t>Beta</t>
  </si>
  <si>
    <t>Required Return</t>
  </si>
  <si>
    <t>conservative historical estimate of the market risk premium</t>
  </si>
  <si>
    <t>growth rate</t>
  </si>
  <si>
    <t>Free Cash Flow</t>
  </si>
  <si>
    <t>required return</t>
  </si>
  <si>
    <t>calculated company value</t>
  </si>
  <si>
    <t>book value of debt</t>
  </si>
  <si>
    <t>shares outstanding</t>
  </si>
  <si>
    <t>risk free rate (10yr Treasury Note yield)</t>
  </si>
  <si>
    <t>Ranking</t>
  </si>
  <si>
    <t>stdev valuations</t>
  </si>
  <si>
    <t>low 95% CI</t>
  </si>
  <si>
    <t>high 95% CI</t>
  </si>
  <si>
    <t>Overall yield</t>
  </si>
  <si>
    <t>Videos</t>
  </si>
  <si>
    <t>Views</t>
  </si>
  <si>
    <t>Minutes watched</t>
  </si>
  <si>
    <t>Subscribers</t>
  </si>
  <si>
    <t>Likes</t>
  </si>
  <si>
    <t>Dislikes</t>
  </si>
  <si>
    <t>Comments</t>
  </si>
  <si>
    <t>As of</t>
  </si>
  <si>
    <t>% change</t>
  </si>
  <si>
    <t>351948-58</t>
  </si>
  <si>
    <t>per month</t>
  </si>
  <si>
    <t>first X prediction</t>
  </si>
  <si>
    <t>Predicted date</t>
  </si>
  <si>
    <t>potential webpage $ using CQs</t>
  </si>
  <si>
    <t>IAA40</t>
  </si>
  <si>
    <t>total expected per day</t>
  </si>
  <si>
    <t>Avg gain per day</t>
  </si>
  <si>
    <t>IAA44</t>
  </si>
  <si>
    <t>Takehome per Year</t>
  </si>
  <si>
    <t>7.5oz can</t>
  </si>
  <si>
    <t>24oz can</t>
  </si>
  <si>
    <t>per month in TSP</t>
  </si>
  <si>
    <t>Started 3/7/2005</t>
  </si>
  <si>
    <t>GS 13.5</t>
  </si>
  <si>
    <t>new hourly</t>
  </si>
  <si>
    <t>solid company, bi-annual dividend, Yari's stock, so many good, dominating brands, something for children and adults</t>
  </si>
  <si>
    <t>Payment per day</t>
  </si>
  <si>
    <t>GS-9</t>
  </si>
  <si>
    <t>Always DRIP DIA and GORO</t>
  </si>
  <si>
    <t>IAA49</t>
  </si>
  <si>
    <t>IAA5A</t>
  </si>
  <si>
    <t>CL</t>
  </si>
  <si>
    <t>quarterly divs, great brands</t>
  </si>
  <si>
    <t>checkings + 2*paycheck</t>
  </si>
  <si>
    <t>Z</t>
  </si>
  <si>
    <t>in</t>
  </si>
  <si>
    <t>U.S. Dollars in circulation</t>
  </si>
  <si>
    <t>371004-330</t>
  </si>
  <si>
    <t>TSP Growth Rate</t>
  </si>
  <si>
    <t>376365-203</t>
  </si>
  <si>
    <t>IAA5E</t>
  </si>
  <si>
    <t>Lifetime earnings needed to get $Z per year</t>
  </si>
  <si>
    <t>Lifetime earnings needed to get $X per day</t>
  </si>
  <si>
    <t>TSP+Stocks</t>
  </si>
  <si>
    <t>Stock Total</t>
  </si>
  <si>
    <t>TSP Total</t>
  </si>
  <si>
    <t>Views/Video</t>
  </si>
  <si>
    <t>Likes/Video</t>
  </si>
  <si>
    <t>Present</t>
  </si>
  <si>
    <t>IAA5I</t>
  </si>
  <si>
    <t>Expense per $1,000, G</t>
  </si>
  <si>
    <t>Expense per $1,000, F</t>
  </si>
  <si>
    <t>Expense per $1,000, C</t>
  </si>
  <si>
    <t>Expense per $1,000, S</t>
  </si>
  <si>
    <t>Expense per $1,000, I</t>
  </si>
  <si>
    <t>Probability of default</t>
  </si>
  <si>
    <t>How many default</t>
  </si>
  <si>
    <t>Lost interest/month</t>
  </si>
  <si>
    <t>Lost interest/year</t>
  </si>
  <si>
    <t>Lost principal</t>
  </si>
  <si>
    <t>Pymts Rcvd</t>
  </si>
  <si>
    <t>Pric. Val of Active Notes</t>
  </si>
  <si>
    <t>280040-356</t>
  </si>
  <si>
    <t>stock &gt; TSP</t>
  </si>
  <si>
    <t>future divs, MAJOR payment processor</t>
  </si>
  <si>
    <t>PYPL</t>
  </si>
  <si>
    <t>IAA5N</t>
  </si>
  <si>
    <t>New High?</t>
  </si>
  <si>
    <t>New Low?</t>
  </si>
  <si>
    <t>Record Lows</t>
  </si>
  <si>
    <t>Record Highs</t>
  </si>
  <si>
    <t>Below record high by:</t>
  </si>
  <si>
    <t>Above record low by:</t>
  </si>
  <si>
    <t>High - Low</t>
  </si>
  <si>
    <t>VER</t>
  </si>
  <si>
    <t>Between</t>
  </si>
  <si>
    <t>403681-185</t>
  </si>
  <si>
    <t>IAA5S</t>
  </si>
  <si>
    <t>IAA5T</t>
  </si>
  <si>
    <t>Want X per month</t>
  </si>
  <si>
    <t>decrease</t>
  </si>
  <si>
    <t>increase</t>
  </si>
  <si>
    <t>stayed same</t>
  </si>
  <si>
    <t>IRDM</t>
  </si>
  <si>
    <t>Daily Interest</t>
  </si>
  <si>
    <t>IAA52</t>
  </si>
  <si>
    <t>IAA53</t>
  </si>
  <si>
    <t>Current Effective Value</t>
  </si>
  <si>
    <t>Effective/Current</t>
  </si>
  <si>
    <t>very useful idea, communications</t>
  </si>
  <si>
    <t>IAA54</t>
  </si>
  <si>
    <t>Started Job</t>
  </si>
  <si>
    <t>Since</t>
  </si>
  <si>
    <t>Days since</t>
  </si>
  <si>
    <t>Avg yearly revenue</t>
  </si>
  <si>
    <t>Avg monthly revenue</t>
  </si>
  <si>
    <t># additional notes needed</t>
  </si>
  <si>
    <t>IAA57</t>
  </si>
  <si>
    <t>$/video</t>
  </si>
  <si>
    <t>Last 7day earnings</t>
  </si>
  <si>
    <t>Last 30day earnings</t>
  </si>
  <si>
    <t>Last 90day earnings</t>
  </si>
  <si>
    <t>Last 365day earnings</t>
  </si>
  <si>
    <t>Earnings</t>
  </si>
  <si>
    <t>Lifetime</t>
  </si>
  <si>
    <t>Days since started</t>
  </si>
  <si>
    <t>growth</t>
  </si>
  <si>
    <t>$/video in X years</t>
  </si>
  <si>
    <t>Davis Industries</t>
  </si>
  <si>
    <t>436506-168</t>
  </si>
  <si>
    <t>IAA6H</t>
  </si>
  <si>
    <t>IAA6I</t>
  </si>
  <si>
    <t>IAA6J</t>
  </si>
  <si>
    <t>They Paid / lb</t>
  </si>
  <si>
    <t>put age in years as % in gold (less volatile than silver, gold is like the "bond" to "stocks" of silver)</t>
  </si>
  <si>
    <t>Monthly Divs</t>
  </si>
  <si>
    <t>locality pay %</t>
  </si>
  <si>
    <t>strong in PR and other US, potential div and growth, for leftover cash, reinstated quarterly div in Fall 2015 !</t>
  </si>
  <si>
    <t>446674-152</t>
  </si>
  <si>
    <t>1 new note every</t>
  </si>
  <si>
    <t>approx per day</t>
  </si>
  <si>
    <t>28 day bill</t>
  </si>
  <si>
    <t>13 week bill</t>
  </si>
  <si>
    <t>26 week bill</t>
  </si>
  <si>
    <t>52 week bill</t>
  </si>
  <si>
    <t>Treasury</t>
  </si>
  <si>
    <t>Percent of current salary needed for retirement salary</t>
  </si>
  <si>
    <t>IAA6P</t>
  </si>
  <si>
    <t>IAA6Q</t>
  </si>
  <si>
    <t>IAA6R</t>
  </si>
  <si>
    <t>IAA6S</t>
  </si>
  <si>
    <t>IAA6T</t>
  </si>
  <si>
    <t>IAA6U</t>
  </si>
  <si>
    <t>IAA6V</t>
  </si>
  <si>
    <t>IAA6W</t>
  </si>
  <si>
    <t>IAA6X</t>
  </si>
  <si>
    <t>IAA6Y</t>
  </si>
  <si>
    <t>IAA6Z</t>
  </si>
  <si>
    <t>IAA60</t>
  </si>
  <si>
    <t>IAA62</t>
  </si>
  <si>
    <t>IAA63</t>
  </si>
  <si>
    <t>IAA64</t>
  </si>
  <si>
    <t>IAA65</t>
  </si>
  <si>
    <t>IAA66</t>
  </si>
  <si>
    <t>IAA67</t>
  </si>
  <si>
    <t>IAA68</t>
  </si>
  <si>
    <t>IAA69</t>
  </si>
  <si>
    <t>IAA7A</t>
  </si>
  <si>
    <t>IAA7B</t>
  </si>
  <si>
    <t>IAA7C</t>
  </si>
  <si>
    <t>IAA7D</t>
  </si>
  <si>
    <t>IAA7E</t>
  </si>
  <si>
    <t>IAA7F</t>
  </si>
  <si>
    <t>IAA7G</t>
  </si>
  <si>
    <t>IAA7H</t>
  </si>
  <si>
    <t>IAA7I</t>
  </si>
  <si>
    <t>IAA7J</t>
  </si>
  <si>
    <t>IAA7K</t>
  </si>
  <si>
    <t>IAA7L</t>
  </si>
  <si>
    <t>IAA7M</t>
  </si>
  <si>
    <t>IAA7N</t>
  </si>
  <si>
    <t>IAA7O</t>
  </si>
  <si>
    <t>IAA7P</t>
  </si>
  <si>
    <t>IAA7Q</t>
  </si>
  <si>
    <t>IAA7R</t>
  </si>
  <si>
    <t>IAA7S</t>
  </si>
  <si>
    <t>IAA7T</t>
  </si>
  <si>
    <t>IAA7U</t>
  </si>
  <si>
    <t>IAA7V</t>
  </si>
  <si>
    <t>IAA7W</t>
  </si>
  <si>
    <t>IAA7X</t>
  </si>
  <si>
    <t>IAA7Y</t>
  </si>
  <si>
    <t>IAA7Z</t>
  </si>
  <si>
    <t>IAA70</t>
  </si>
  <si>
    <t>IAA71</t>
  </si>
  <si>
    <t>IAA72</t>
  </si>
  <si>
    <t>IAA73</t>
  </si>
  <si>
    <t>IAA74</t>
  </si>
  <si>
    <t>IAA75</t>
  </si>
  <si>
    <t>IAA76</t>
  </si>
  <si>
    <t>IAA77</t>
  </si>
  <si>
    <t>IAA78</t>
  </si>
  <si>
    <t>IAA79</t>
  </si>
  <si>
    <t>IAA8A</t>
  </si>
  <si>
    <t>IAA8B</t>
  </si>
  <si>
    <t>IAA8C</t>
  </si>
  <si>
    <t>IAA8D</t>
  </si>
  <si>
    <t>IAA8E</t>
  </si>
  <si>
    <t>IAA8F</t>
  </si>
  <si>
    <t>IAA8G</t>
  </si>
  <si>
    <t>IAA8H</t>
  </si>
  <si>
    <t>IAA8I</t>
  </si>
  <si>
    <t>Yields</t>
  </si>
  <si>
    <t>so far from all investments</t>
  </si>
  <si>
    <t>so far from stocks only</t>
  </si>
  <si>
    <t>461363-305</t>
  </si>
  <si>
    <t>IAA8M</t>
  </si>
  <si>
    <t>IAA8N</t>
  </si>
  <si>
    <t>per year wanted</t>
  </si>
  <si>
    <t>per day from dividends needed</t>
  </si>
  <si>
    <t>Divs / month being DRIPped</t>
  </si>
  <si>
    <t>demographics</t>
  </si>
  <si>
    <t>content</t>
  </si>
  <si>
    <t>treat it like a language</t>
  </si>
  <si>
    <t>older, experts</t>
  </si>
  <si>
    <t>young, newbies</t>
  </si>
  <si>
    <t>school children, science-y</t>
  </si>
  <si>
    <t>focus on content</t>
  </si>
  <si>
    <t>CONTENT</t>
  </si>
  <si>
    <t>phrases</t>
  </si>
  <si>
    <t>repetition</t>
  </si>
  <si>
    <t>alternate ways to say the same thing</t>
  </si>
  <si>
    <t>ask questions but delay the answers</t>
  </si>
  <si>
    <t>create anticipation</t>
  </si>
  <si>
    <t>don't use cliché</t>
  </si>
  <si>
    <t>don’t get submerged in a sea of sameness and mediocrity</t>
  </si>
  <si>
    <t>don't use stock photos</t>
  </si>
  <si>
    <t>write about the things you care about</t>
  </si>
  <si>
    <t>show people how to solve a problem</t>
  </si>
  <si>
    <t>perferably a hard problem</t>
  </si>
  <si>
    <t>prove that you have the solution based on REAL experience you have</t>
  </si>
  <si>
    <t>Improving Morse code channel, ideas:</t>
  </si>
  <si>
    <t>IAA8T</t>
  </si>
  <si>
    <t>IAA8U</t>
  </si>
  <si>
    <t>476482-52</t>
  </si>
  <si>
    <t>Amazon affilliate</t>
  </si>
  <si>
    <t>Gain per month (effective)</t>
  </si>
  <si>
    <t>Gain (effective)</t>
  </si>
  <si>
    <t>approx total per month (effective)</t>
  </si>
  <si>
    <t>approx per day (effective)</t>
  </si>
  <si>
    <t>HPE</t>
  </si>
  <si>
    <t>quarterly divs, tech, split off from HPQ in 2015</t>
  </si>
  <si>
    <t>quarterly divs, tech, other part of HP</t>
  </si>
  <si>
    <t>482845-197</t>
  </si>
  <si>
    <t>new notes, from interest, per month</t>
  </si>
  <si>
    <t>interest from new notes from interest, per month</t>
  </si>
  <si>
    <t>new TSP investment w raise</t>
  </si>
  <si>
    <t>(from CHRIS)</t>
  </si>
  <si>
    <t>days watched</t>
  </si>
  <si>
    <t>years watched</t>
  </si>
  <si>
    <t>% Likes/Dislikes</t>
  </si>
  <si>
    <t>KHC</t>
  </si>
  <si>
    <t>quarterly divs, stong company, merger w Heinz, food product everywhere</t>
  </si>
  <si>
    <t>now</t>
  </si>
  <si>
    <t>w raise</t>
  </si>
  <si>
    <t>diffs</t>
  </si>
  <si>
    <t>more per paycheck</t>
  </si>
  <si>
    <t>more per month</t>
  </si>
  <si>
    <t>more per year</t>
  </si>
  <si>
    <t>Time to send 1 CQ sequence (sec)</t>
  </si>
  <si>
    <t>Time investment per day (sec)</t>
  </si>
  <si>
    <t>Time investment per day (min)</t>
  </si>
  <si>
    <t>Time investment per day (hour)</t>
  </si>
  <si>
    <t>Time investment per year (sec)</t>
  </si>
  <si>
    <t>Time investment per year (min)</t>
  </si>
  <si>
    <t>Time investment per year (hour)</t>
  </si>
  <si>
    <t>total expected per year</t>
  </si>
  <si>
    <t>num look at videos from sending CQ</t>
  </si>
  <si>
    <t>$ per view</t>
  </si>
  <si>
    <t>video views per person</t>
  </si>
  <si>
    <t>IAA9A</t>
  </si>
  <si>
    <t>IAA9B</t>
  </si>
  <si>
    <t>507933-232</t>
  </si>
  <si>
    <t>Monthly Interest</t>
  </si>
  <si>
    <t>All</t>
  </si>
  <si>
    <t>Max</t>
  </si>
  <si>
    <t>gold</t>
  </si>
  <si>
    <t>silver</t>
  </si>
  <si>
    <t>Per day</t>
  </si>
  <si>
    <t>IAA9K</t>
  </si>
  <si>
    <t>511174-285</t>
  </si>
  <si>
    <t>$/view</t>
  </si>
  <si>
    <t>IAA9P</t>
  </si>
  <si>
    <t>513940-287</t>
  </si>
  <si>
    <t>NBGGY</t>
  </si>
  <si>
    <t>passive, automatically re-invested, income, can turn off auto whenever</t>
  </si>
  <si>
    <t>want investments that FREE you from computer, checking various websites, etc.</t>
  </si>
  <si>
    <t>IAA9Q</t>
  </si>
  <si>
    <t>516265-82</t>
  </si>
  <si>
    <t>endless cycle, income machine</t>
  </si>
  <si>
    <t>517475-278</t>
  </si>
  <si>
    <t>IAA9T</t>
  </si>
  <si>
    <t>IAA9Y</t>
  </si>
  <si>
    <t>IAA9Z</t>
  </si>
  <si>
    <t>IAA90</t>
  </si>
  <si>
    <t>IAA91</t>
  </si>
  <si>
    <t>IAA92</t>
  </si>
  <si>
    <t>IAA93</t>
  </si>
  <si>
    <t>IAA94</t>
  </si>
  <si>
    <t>IAA95</t>
  </si>
  <si>
    <t>IAA96</t>
  </si>
  <si>
    <t>IAA97</t>
  </si>
  <si>
    <t>IAA98</t>
  </si>
  <si>
    <t>Age retired to death</t>
  </si>
  <si>
    <t>Withdraw rate</t>
  </si>
  <si>
    <t>TSP balance</t>
  </si>
  <si>
    <t>Per month</t>
  </si>
  <si>
    <t>TSP needed now to make</t>
  </si>
  <si>
    <t xml:space="preserve">current salary given </t>
  </si>
  <si>
    <t>withdraw rate above</t>
  </si>
  <si>
    <t>Shortfall</t>
  </si>
  <si>
    <t>(for last year of retirement)</t>
  </si>
  <si>
    <t>Years of retirement</t>
  </si>
  <si>
    <t>% there</t>
  </si>
  <si>
    <t xml:space="preserve">% of current salary given </t>
  </si>
  <si>
    <t>% of current salary</t>
  </si>
  <si>
    <t>stock dividends</t>
  </si>
  <si>
    <t>bond interest</t>
  </si>
  <si>
    <t>Federal</t>
  </si>
  <si>
    <t>State</t>
  </si>
  <si>
    <t>max taxes on income</t>
  </si>
  <si>
    <t>Assets in "paycheck years"</t>
  </si>
  <si>
    <t>taking TSP growth into account</t>
  </si>
  <si>
    <t>TSP needed</t>
  </si>
  <si>
    <t>tolerance for flat</t>
  </si>
  <si>
    <t>recommended strategy</t>
  </si>
  <si>
    <t>Salary</t>
  </si>
  <si>
    <t>Effective Date</t>
  </si>
  <si>
    <t>% Increase</t>
  </si>
  <si>
    <t>type of Tbill yield curve</t>
  </si>
  <si>
    <t>Sustainable?</t>
  </si>
  <si>
    <t>"sustainable" stocks to me means the dividends per frequency can buy at least 1 stock</t>
  </si>
  <si>
    <t>% sustainable stocks</t>
  </si>
  <si>
    <t>Multiple of starting salary</t>
  </si>
  <si>
    <t>additional to sustainable</t>
  </si>
  <si>
    <t>cost for sustainable</t>
  </si>
  <si>
    <t>ie. can divs/freq buy at least 1 new share?</t>
  </si>
  <si>
    <t>Salary per day</t>
  </si>
  <si>
    <t>only thing is content</t>
  </si>
  <si>
    <t>(for ONLY first year of retirement)</t>
  </si>
  <si>
    <t>IABAE</t>
  </si>
  <si>
    <t>monthly divs, REIT, created from merger</t>
  </si>
  <si>
    <t>GPT</t>
  </si>
  <si>
    <t>535683-365</t>
  </si>
  <si>
    <t>534921-331</t>
  </si>
  <si>
    <t>Diff in TSP contributions due to raise</t>
  </si>
  <si>
    <t>533093-215</t>
  </si>
  <si>
    <t>533075-299</t>
  </si>
  <si>
    <t>median pymt/note/month</t>
  </si>
  <si>
    <t>sustainable stocks</t>
  </si>
  <si>
    <t>533788-199</t>
  </si>
  <si>
    <t>avg # notes per day</t>
  </si>
  <si>
    <t>med # notes per day</t>
  </si>
  <si>
    <t>Composite rate = [fixed rate + (2 x inflation rate) + (fixed rate x inflation rate)]</t>
  </si>
  <si>
    <t>HHI</t>
  </si>
  <si>
    <t>HHI, type of market/portfolio</t>
  </si>
  <si>
    <t>moderate concentration</t>
  </si>
  <si>
    <t>perfect competition, diversified, index</t>
  </si>
  <si>
    <t>monopoly, too concentrated, not diversified</t>
  </si>
  <si>
    <t>My portfolio according to HHI</t>
  </si>
  <si>
    <t>min (10000/N, same amount in each asset)</t>
  </si>
  <si>
    <t>&gt;</t>
  </si>
  <si>
    <t>between</t>
  </si>
  <si>
    <t>&lt;</t>
  </si>
  <si>
    <t>and</t>
  </si>
  <si>
    <t># assets</t>
  </si>
  <si>
    <t>Diff between non-paycheck income per day and bills per day</t>
  </si>
  <si>
    <t>% of paycheck investment income is</t>
  </si>
  <si>
    <t>HHI within Stocks</t>
  </si>
  <si>
    <t>misc. other income</t>
  </si>
  <si>
    <t>HHI (all assets)</t>
  </si>
  <si>
    <t>HHI (stocks)</t>
  </si>
  <si>
    <t>in stocks</t>
  </si>
  <si>
    <t>If cash is invested</t>
  </si>
  <si>
    <t>total subs</t>
  </si>
  <si>
    <t>multiple of current subs</t>
  </si>
  <si>
    <t>advertise it!</t>
  </si>
  <si>
    <t>earnings per day w multiple</t>
  </si>
  <si>
    <t>earnings per year w multiple</t>
  </si>
  <si>
    <t>aim for quality AND quantity</t>
  </si>
  <si>
    <t>Paste from Google Finances Bonds section</t>
  </si>
  <si>
    <t>type of yield curve</t>
  </si>
  <si>
    <t>HELP with concentration/diversification using HHI</t>
  </si>
  <si>
    <t>Bitcoin</t>
  </si>
  <si>
    <t>interesting idea, speculation</t>
  </si>
  <si>
    <t>Bitcoin spot</t>
  </si>
  <si>
    <t>Dollars</t>
  </si>
  <si>
    <t>Bitcoins</t>
  </si>
  <si>
    <t>ie. input any $ amount</t>
  </si>
  <si>
    <t>added several ways to donate to every description</t>
  </si>
  <si>
    <t>added donation button "tip jar" on channel page</t>
  </si>
  <si>
    <t>reinvest a lot of dividends</t>
  </si>
  <si>
    <t>Bitcoin seems too risky / flaky, so many "altcoins" popping up, no accountability, but interesting nonetheless</t>
  </si>
  <si>
    <t>GWP (gross world product)</t>
  </si>
  <si>
    <t>total gold in world</t>
  </si>
  <si>
    <t>1 tonne = 32150.7 troy oz</t>
  </si>
  <si>
    <t>544499-163</t>
  </si>
  <si>
    <t>544163-243</t>
  </si>
  <si>
    <t>try different keys</t>
  </si>
  <si>
    <t>IABAU</t>
  </si>
  <si>
    <t>Account value</t>
  </si>
  <si>
    <t>Total I spent</t>
  </si>
  <si>
    <t>Bitcoin spot to break even</t>
  </si>
  <si>
    <t>ie. Input any bitcoin amount</t>
  </si>
  <si>
    <t>559975-226</t>
  </si>
  <si>
    <t>eBay affiliate</t>
  </si>
  <si>
    <t>Amazon affiliate</t>
  </si>
  <si>
    <t>Stock Dividends</t>
  </si>
  <si>
    <t>IAA9G</t>
  </si>
  <si>
    <t>591086-152</t>
  </si>
  <si>
    <t>Statisticool.com</t>
  </si>
  <si>
    <t>redesign</t>
  </si>
  <si>
    <t>blog more</t>
  </si>
  <si>
    <t>organize better</t>
  </si>
  <si>
    <t>AdSense ads</t>
  </si>
  <si>
    <t>keep VERY simple</t>
  </si>
  <si>
    <t>link to YouTube channel</t>
  </si>
  <si>
    <t>socialblade ranks</t>
  </si>
  <si>
    <t>subs</t>
  </si>
  <si>
    <t>video view</t>
  </si>
  <si>
    <t>social blade rank</t>
  </si>
  <si>
    <t>siteprice.org</t>
  </si>
  <si>
    <t>estibot.com</t>
  </si>
  <si>
    <t>freevaluator.com</t>
  </si>
  <si>
    <t>domainindex.com</t>
  </si>
  <si>
    <t>urlrate.com</t>
  </si>
  <si>
    <t>estimated website worth</t>
  </si>
  <si>
    <t>2 Year</t>
  </si>
  <si>
    <t>5 Year</t>
  </si>
  <si>
    <t>10 Year</t>
  </si>
  <si>
    <t>30 Year</t>
  </si>
  <si>
    <t>Since 2/9/16</t>
  </si>
  <si>
    <t>Amazon affiliate links</t>
  </si>
  <si>
    <t>Below record high by</t>
  </si>
  <si>
    <t>Above record low by</t>
  </si>
  <si>
    <t>BGASC affiliate</t>
  </si>
  <si>
    <t>Avg yearly eBay revenue</t>
  </si>
  <si>
    <t>Avg monthly eBayp revenue</t>
  </si>
  <si>
    <t>Avg yearly BGASC revenue</t>
  </si>
  <si>
    <t>Avg monthly BGASC revenue</t>
  </si>
  <si>
    <t>Emergency Essentials Affiliate</t>
  </si>
  <si>
    <t>Emergency Essentials affiliate</t>
  </si>
  <si>
    <t>per day total, non-paycheck</t>
  </si>
  <si>
    <t>IAABH</t>
  </si>
  <si>
    <t>IAABI</t>
  </si>
  <si>
    <t>604289-286</t>
  </si>
  <si>
    <t>GS 14.1</t>
  </si>
  <si>
    <t>Cost basis</t>
  </si>
  <si>
    <t>P/L %</t>
  </si>
  <si>
    <t>P/L &gt; 0</t>
  </si>
  <si>
    <t>"% correct"</t>
  </si>
  <si>
    <t>P/L as %</t>
  </si>
  <si>
    <t>P/L total</t>
  </si>
  <si>
    <t>P/L winners</t>
  </si>
  <si>
    <t>P/L losers</t>
  </si>
  <si>
    <t>"% wrong"</t>
  </si>
  <si>
    <t>P/L &lt; 0</t>
  </si>
  <si>
    <t>TSP P/L</t>
  </si>
  <si>
    <t>from annual statement (and combined quarterly statements for earlier years)</t>
  </si>
  <si>
    <t>prices</t>
  </si>
  <si>
    <t>Contribution allocation %</t>
  </si>
  <si>
    <t>TSP</t>
  </si>
  <si>
    <t>Realized P/L</t>
  </si>
  <si>
    <t>Unrealized + Realized</t>
  </si>
  <si>
    <t>Unrealized P/L</t>
  </si>
  <si>
    <t>Realized + Unrealized P/L</t>
  </si>
  <si>
    <t>Bought</t>
  </si>
  <si>
    <t>Sold</t>
  </si>
  <si>
    <t>Misc notes on P/L</t>
  </si>
  <si>
    <t>if face value of metals is not taken into account</t>
  </si>
  <si>
    <t>adds in hypothetical Treasury gain, to savings bonds gain</t>
  </si>
  <si>
    <t>monthly divs, instead of directly in gold, quarterly divs now</t>
  </si>
  <si>
    <t>change per day</t>
  </si>
  <si>
    <t>days elapsed</t>
  </si>
  <si>
    <t>savings acct interest</t>
  </si>
  <si>
    <t>Avg monthly savings acct interest</t>
  </si>
  <si>
    <t>Yearly savings acct interest</t>
  </si>
  <si>
    <t>Savings acct interest</t>
  </si>
  <si>
    <t>Avg yearly Emergency Essentials revenue</t>
  </si>
  <si>
    <t>Avg monthly Emergency Essentials revenue</t>
  </si>
  <si>
    <t>just recorded as savings acct interest for last year</t>
  </si>
  <si>
    <t>% ownership</t>
  </si>
  <si>
    <t>ownership</t>
  </si>
  <si>
    <t>Started record keeping on this</t>
  </si>
  <si>
    <t>P/L w/o max profit maker</t>
  </si>
  <si>
    <t>M age</t>
  </si>
  <si>
    <t>P/L total (w/o max profit maker)</t>
  </si>
  <si>
    <t>growth domestic product for world</t>
  </si>
  <si>
    <t>Ratios of asset totals</t>
  </si>
  <si>
    <t>gives prediction on max silver (or min gold)</t>
  </si>
  <si>
    <t>total silver in world</t>
  </si>
  <si>
    <t>avg win position</t>
  </si>
  <si>
    <t>avg losing position</t>
  </si>
  <si>
    <t>increase needed</t>
  </si>
  <si>
    <t>average P/L</t>
  </si>
  <si>
    <t>621752-478</t>
  </si>
  <si>
    <t>IABB9</t>
  </si>
  <si>
    <t>days without notes paying</t>
  </si>
  <si>
    <t>Avg yearly Amazon affiliate revenue</t>
  </si>
  <si>
    <t>Avg monthly Amazon affiliate revenue</t>
  </si>
  <si>
    <t>-dividend growth and reinvestment</t>
  </si>
  <si>
    <t>-stock buybacks</t>
  </si>
  <si>
    <t>-splits</t>
  </si>
  <si>
    <t>P</t>
  </si>
  <si>
    <t>L</t>
  </si>
  <si>
    <t>(from Coinbase transaction history)</t>
  </si>
  <si>
    <t>shares/year</t>
  </si>
  <si>
    <t>giveaway contests for subscriber count increase</t>
  </si>
  <si>
    <t>even</t>
  </si>
  <si>
    <t>$/sub</t>
  </si>
  <si>
    <t>mega</t>
  </si>
  <si>
    <t>big</t>
  </si>
  <si>
    <t>mid</t>
  </si>
  <si>
    <t>small</t>
  </si>
  <si>
    <t>micro</t>
  </si>
  <si>
    <t>nano</t>
  </si>
  <si>
    <t>Category</t>
  </si>
  <si>
    <t>M/B</t>
  </si>
  <si>
    <t>Market Cap</t>
  </si>
  <si>
    <t>&lt;M,M</t>
  </si>
  <si>
    <t>Work done on goal</t>
  </si>
  <si>
    <t>630728-576</t>
  </si>
  <si>
    <t>IABCL</t>
  </si>
  <si>
    <t>IABCM</t>
  </si>
  <si>
    <t>% total redeemable</t>
  </si>
  <si>
    <t>use disclaimers</t>
  </si>
  <si>
    <t>stay family friendly</t>
  </si>
  <si>
    <t>Years investing</t>
  </si>
  <si>
    <t>P/L per year</t>
  </si>
  <si>
    <t>correlation</t>
  </si>
  <si>
    <t>638642-161</t>
  </si>
  <si>
    <t>IABCX</t>
  </si>
  <si>
    <t>IABCY</t>
  </si>
  <si>
    <t>G/S</t>
  </si>
  <si>
    <t>G corrected</t>
  </si>
  <si>
    <t>S corrected</t>
  </si>
  <si>
    <t>Gold oz</t>
  </si>
  <si>
    <t>Silver oz</t>
  </si>
  <si>
    <t>645441-239</t>
  </si>
  <si>
    <t>crash</t>
  </si>
  <si>
    <t>IABC4</t>
  </si>
  <si>
    <t>6 months from Dated date</t>
  </si>
  <si>
    <t>12 months from Dated date</t>
  </si>
  <si>
    <t>Dated date</t>
  </si>
  <si>
    <t>Total return</t>
  </si>
  <si>
    <t>I savings bonds + TIPS</t>
  </si>
  <si>
    <t>Inflation adjusted value</t>
  </si>
  <si>
    <t>Inflation adjustment as of</t>
  </si>
  <si>
    <t>Inflation rate</t>
  </si>
  <si>
    <t>Inflation adjusted total</t>
  </si>
  <si>
    <t>Gain due to inflation</t>
  </si>
  <si>
    <t>Gain/day</t>
  </si>
  <si>
    <t>Gain per day due to inflation</t>
  </si>
  <si>
    <t>648803-411</t>
  </si>
  <si>
    <t>651507-251</t>
  </si>
  <si>
    <t>yearly mine production of silver in US (toz)</t>
  </si>
  <si>
    <t>silver estimate</t>
  </si>
  <si>
    <t>US dollars in circulation / gold owned by US</t>
  </si>
  <si>
    <t>yearly mine production of gold in US (toz)</t>
  </si>
  <si>
    <t>gold estimate</t>
  </si>
  <si>
    <t>morse code</t>
  </si>
  <si>
    <t>1980 value in today's prices, ie adjusted for inflation by today's data</t>
  </si>
  <si>
    <t>% assets explicitly protected from inflation</t>
  </si>
  <si>
    <t>Sum</t>
  </si>
  <si>
    <t>Matured Principal</t>
  </si>
  <si>
    <t>regular</t>
  </si>
  <si>
    <t>energy</t>
  </si>
  <si>
    <t>arizona</t>
  </si>
  <si>
    <t>IABDM</t>
  </si>
  <si>
    <t>IABDN</t>
  </si>
  <si>
    <t>% of total principal</t>
  </si>
  <si>
    <t>Extra given</t>
  </si>
  <si>
    <t>Spot at time</t>
  </si>
  <si>
    <t>All time high</t>
  </si>
  <si>
    <t>All time low</t>
  </si>
  <si>
    <t>% of spot they paid</t>
  </si>
  <si>
    <t>Kokomo Investing</t>
  </si>
  <si>
    <t>"Kokomo investing", that is, 2/3 into KO, and 1/3 into MO</t>
  </si>
  <si>
    <t>Divs/Yr</t>
  </si>
  <si>
    <t>Divs/Frequency</t>
  </si>
  <si>
    <t>Shares can buy</t>
  </si>
  <si>
    <t>Yield/Cost</t>
  </si>
  <si>
    <t>Current Yield</t>
  </si>
  <si>
    <t>look at yield on cost too, ie yield/cost = n*div/share / sum cost = div/share / avg cost = div/share /sum(cost)/n</t>
  </si>
  <si>
    <t>% stocks current yield &gt; EE implied rate</t>
  </si>
  <si>
    <t>% stocks yield/cost &gt; EE implied rate</t>
  </si>
  <si>
    <t>New divs/yr</t>
  </si>
  <si>
    <t>New divs/freq</t>
  </si>
  <si>
    <t>Current Total</t>
  </si>
  <si>
    <t>New Total</t>
  </si>
  <si>
    <t>659670-353</t>
  </si>
  <si>
    <t>family friendly</t>
  </si>
  <si>
    <t>current</t>
  </si>
  <si>
    <t>IABDT</t>
  </si>
  <si>
    <t>Selling Treasury Bills, Notes, Bonds, or TIPS</t>
  </si>
  <si>
    <t>You can hold Treasury bills, notes, bonds, or TIPS until they mature, or sell them before they mature.</t>
  </si>
  <si>
    <t>To sell a Treasury bill, note, bond, or TIPS held in TreasuryDirect or Legacy Treasury Direct, first transfer the security to a bank, broker, or dealer, then ask the bank, broker, or dealer to sell it for you. (NOTE: Legacy Treasury Direct is being phased out.)</t>
  </si>
  <si>
    <t>How you transfer a security to a bank, broker, or dealer depends on whether you hold the security in TreasuryDirect or Legacy Treasury Direct.</t>
  </si>
  <si>
    <t xml:space="preserve">    For a security held in TreasuryDirect:</t>
  </si>
  <si>
    <t xml:space="preserve">        Go to "Manage Direct"</t>
  </si>
  <si>
    <t xml:space="preserve">        Choose "Transfer securities"</t>
  </si>
  <si>
    <t xml:space="preserve">        Identify the security or securities you want to transfer</t>
  </si>
  <si>
    <t xml:space="preserve">        Choose "External Transfer"</t>
  </si>
  <si>
    <t xml:space="preserve">        Click the link for the FS Form 5511, "TreasuryDirect Transfer Request"</t>
  </si>
  <si>
    <t xml:space="preserve">        Complete FS Form 5511 and mail it as directed on the form</t>
  </si>
  <si>
    <t xml:space="preserve">    For a security held in Legacy Treasury Direct, complete "Security Transfer Request" (FS Form 5179) and mail it as directed on the form</t>
  </si>
  <si>
    <t>IABDV</t>
  </si>
  <si>
    <t>who cares if markets UP or DOWN, just trade and make money both ways, especially with Forex</t>
  </si>
  <si>
    <t>655795-159</t>
  </si>
  <si>
    <t>"Sin stocks" are "investing in human nature"</t>
  </si>
  <si>
    <t>IABD3</t>
  </si>
  <si>
    <t>(transfers to me, minus shipping costs)</t>
  </si>
  <si>
    <t>662514-325</t>
  </si>
  <si>
    <t>Return</t>
  </si>
  <si>
    <t>Spot to double return</t>
  </si>
  <si>
    <t>% of stocks with yield greater than Treasury yield</t>
  </si>
  <si>
    <t>% of $1,000,000</t>
  </si>
  <si>
    <t>Net Operating Cash Flow</t>
  </si>
  <si>
    <t>Updated 6/8/16</t>
  </si>
  <si>
    <t>FRED data</t>
  </si>
  <si>
    <t>cost to make all sustainable</t>
  </si>
  <si>
    <t>Goal</t>
  </si>
  <si>
    <t>$ needed to reach goal</t>
  </si>
  <si>
    <t>AGO</t>
  </si>
  <si>
    <t>quarterly divs, bond guaranty business, Puerto Rico restructuring work impresses me, I believe highly undervalued and "boring" industry are huge plusses</t>
  </si>
  <si>
    <t>today's minimum wage</t>
  </si>
  <si>
    <t>implied value of 1oz silver</t>
  </si>
  <si>
    <t>min wage inflation argument</t>
  </si>
  <si>
    <t>Updated 6/10/16</t>
  </si>
  <si>
    <t>"5 quarters"</t>
  </si>
  <si>
    <t>check, is this minimum wage the value of 5 silver quarters?</t>
  </si>
  <si>
    <t>IABEE</t>
  </si>
  <si>
    <t>% of a day's pay</t>
  </si>
  <si>
    <t>304.10M</t>
  </si>
  <si>
    <t>993.46M</t>
  </si>
  <si>
    <t>141.65M</t>
  </si>
  <si>
    <t>ETFs as proxy</t>
  </si>
  <si>
    <t>ETF price</t>
  </si>
  <si>
    <t>GWP/total metal in world</t>
  </si>
  <si>
    <t>Gold Spot</t>
  </si>
  <si>
    <t>Silver Spot</t>
  </si>
  <si>
    <t>1980 inflation adjusted value of silver</t>
  </si>
  <si>
    <t>Valuation Number</t>
  </si>
  <si>
    <t>Gold Valuation</t>
  </si>
  <si>
    <t>Silver Valuation</t>
  </si>
  <si>
    <t>spot price (bid)</t>
  </si>
  <si>
    <t>spot price parity (silver)</t>
  </si>
  <si>
    <t>spot price parity (gold)</t>
  </si>
  <si>
    <t>Updated 6/12/16</t>
  </si>
  <si>
    <t>Cumulative production</t>
  </si>
  <si>
    <t>Treasury data</t>
  </si>
  <si>
    <t>Using CPI</t>
  </si>
  <si>
    <t>USGS data</t>
  </si>
  <si>
    <t>Dow</t>
  </si>
  <si>
    <t>D/G ratio median</t>
  </si>
  <si>
    <t>DJIA/metal ratio median</t>
  </si>
  <si>
    <t>D/S ratio median</t>
  </si>
  <si>
    <t>Dow/metal</t>
  </si>
  <si>
    <t>midrange of low/high spot prices</t>
  </si>
  <si>
    <t>mean of implied spot prices from ETFs</t>
  </si>
  <si>
    <t>equivalent to 1oz silver</t>
  </si>
  <si>
    <t>soldier pay depends on how long in the Army and your rank</t>
  </si>
  <si>
    <t>Experience</t>
  </si>
  <si>
    <t>Private (E1)</t>
  </si>
  <si>
    <t>Private (E2)</t>
  </si>
  <si>
    <t>Private First Class (E3)</t>
  </si>
  <si>
    <t>Sergeant (E5)</t>
  </si>
  <si>
    <t>Specialist or Corporal (E4)</t>
  </si>
  <si>
    <t>Staff Sergeant (E6)</t>
  </si>
  <si>
    <t>Second Lieutenant (O1)</t>
  </si>
  <si>
    <t>First Lieutenant (O2)</t>
  </si>
  <si>
    <t>Captain (O3)</t>
  </si>
  <si>
    <t>Major (O4)</t>
  </si>
  <si>
    <t>4yrs</t>
  </si>
  <si>
    <t>6yrs</t>
  </si>
  <si>
    <t>10*(salary/365.25) ~ 1oz silver</t>
  </si>
  <si>
    <t>&lt;2yrs</t>
  </si>
  <si>
    <t>G/S ratio ("natural" ratio, 12, silver constant)</t>
  </si>
  <si>
    <t>G/S ratio ("natural" ratio, 12, gold constant)</t>
  </si>
  <si>
    <t>G/S ratio ("man-made" ratio, 16, silver constant)</t>
  </si>
  <si>
    <t>G/S ratio ("man-made" ratio, 16, gold constant)</t>
  </si>
  <si>
    <t>predicted silver max (G/S ratio)</t>
  </si>
  <si>
    <t>predicted gold min (G/S ratio)</t>
  </si>
  <si>
    <t>spot adjusted based on cumulative production, gold constant</t>
  </si>
  <si>
    <t>spot adjusted based on cumulative production, silver constant</t>
  </si>
  <si>
    <t>gold adjusted the same way</t>
  </si>
  <si>
    <t>G/O ratio median</t>
  </si>
  <si>
    <t>S/O ratio median</t>
  </si>
  <si>
    <t>metal/Oil</t>
  </si>
  <si>
    <t>WTI Crude</t>
  </si>
  <si>
    <t>Brent Crude</t>
  </si>
  <si>
    <t>Futures</t>
  </si>
  <si>
    <t>Date out</t>
  </si>
  <si>
    <t>1yr</t>
  </si>
  <si>
    <t>2yr</t>
  </si>
  <si>
    <t>3yr</t>
  </si>
  <si>
    <t>4yr</t>
  </si>
  <si>
    <t>average</t>
  </si>
  <si>
    <t>metal futures, median</t>
  </si>
  <si>
    <t>Oil/metal ratio median, over WTI and Brent</t>
  </si>
  <si>
    <t>usdebtclock.org values</t>
  </si>
  <si>
    <t>% valuation is below/above spot price (at valuation time)</t>
  </si>
  <si>
    <t>Y_t/Y_(t-1) increase in M2 / yearly metal production in US</t>
  </si>
  <si>
    <t>Median over all valuations</t>
  </si>
  <si>
    <t>Since 1973</t>
  </si>
  <si>
    <t>1933-1973</t>
  </si>
  <si>
    <t>1839-1933</t>
  </si>
  <si>
    <t>Inflation adjusted values</t>
  </si>
  <si>
    <t>Since 1913</t>
  </si>
  <si>
    <t>Silver monetary value ($ / toz)</t>
  </si>
  <si>
    <t>book value, 1973, inflated to present</t>
  </si>
  <si>
    <t>monetary value, inflated to present</t>
  </si>
  <si>
    <t>gold 1839-1933, inflated to present</t>
  </si>
  <si>
    <t>gold 1933-1973, inflated to present</t>
  </si>
  <si>
    <t>median (Q2)</t>
  </si>
  <si>
    <t>minimum</t>
  </si>
  <si>
    <t>maximum</t>
  </si>
  <si>
    <t>Q1</t>
  </si>
  <si>
    <t>Q3</t>
  </si>
  <si>
    <t>665946-102</t>
  </si>
  <si>
    <t>Naïve implied spot price</t>
  </si>
  <si>
    <t>open interest/(registered + eligible)</t>
  </si>
  <si>
    <t>"owners per ounce"</t>
  </si>
  <si>
    <t>open interest (oz), ie contracts</t>
  </si>
  <si>
    <t>COMEX, CME group</t>
  </si>
  <si>
    <t>Normalized Weight</t>
  </si>
  <si>
    <t>max weight</t>
  </si>
  <si>
    <t>Relative Weight</t>
  </si>
  <si>
    <t>weighted mean</t>
  </si>
  <si>
    <t>IQR (Q3-Q1)</t>
  </si>
  <si>
    <t>second ratio is showing that can just borrow from eligible gold. Although, cash settlement is probably the norm</t>
  </si>
  <si>
    <t>Total explicitly protected from inflation</t>
  </si>
  <si>
    <t>% Confident</t>
  </si>
  <si>
    <t>DDR</t>
  </si>
  <si>
    <t>quarterly divs, REIT, very strong PR presence</t>
  </si>
  <si>
    <t>Gold and Silver Valuation Methods</t>
  </si>
  <si>
    <t>Standardized Weight</t>
  </si>
  <si>
    <t>(sum to 1)</t>
  </si>
  <si>
    <t>(between 0 and 1)</t>
  </si>
  <si>
    <t>sum weights</t>
  </si>
  <si>
    <t>sum weights check</t>
  </si>
  <si>
    <t>Weighted mean information</t>
  </si>
  <si>
    <t>(user-supplied weight)</t>
  </si>
  <si>
    <t>Naïve implied spot price*(1+Expense ratio)</t>
  </si>
  <si>
    <t>midrange</t>
  </si>
  <si>
    <t>Current automated investing allocation</t>
  </si>
  <si>
    <t>Fiscal year to date</t>
  </si>
  <si>
    <t>Adjusted totals</t>
  </si>
  <si>
    <t>through 2016</t>
  </si>
  <si>
    <t>% change from previous year</t>
  </si>
  <si>
    <t>Gift contributions to reduce debt held by the public</t>
  </si>
  <si>
    <t>661675-191</t>
  </si>
  <si>
    <t>667032-158</t>
  </si>
  <si>
    <t>PM Investing</t>
  </si>
  <si>
    <t>"PM investing", PM (Phillip Morris, and PM precious metals)</t>
  </si>
  <si>
    <t>Shares/oz can buy</t>
  </si>
  <si>
    <t>Y_t/Y_2000 increase in M2 / yearly metal production in US, usdebtclock.org numbers</t>
  </si>
  <si>
    <t>IABEQ</t>
  </si>
  <si>
    <t>Brent higher than WTI by</t>
  </si>
  <si>
    <t>IABER</t>
  </si>
  <si>
    <t xml:space="preserve">-    </t>
  </si>
  <si>
    <t>PBI</t>
  </si>
  <si>
    <t>Google Finance stocks w Dividends</t>
  </si>
  <si>
    <t>Stocks w div &gt; 3.53%?</t>
  </si>
  <si>
    <t>quarterly divs, low entry price, value company, connection with U.S. Postal service</t>
  </si>
  <si>
    <t>5yr</t>
  </si>
  <si>
    <t>correction</t>
  </si>
  <si>
    <t>Google Finance stocks</t>
  </si>
  <si>
    <t>price only</t>
  </si>
  <si>
    <t>667875-227</t>
  </si>
  <si>
    <t>% stocks with divs</t>
  </si>
  <si>
    <t>Patreon?</t>
  </si>
  <si>
    <t>audience</t>
  </si>
  <si>
    <t>call for support, why need support, honest, open</t>
  </si>
  <si>
    <t>content always free, ie. don't *have* to pay</t>
  </si>
  <si>
    <t>mention Patreon in other videos</t>
  </si>
  <si>
    <t>$ Change</t>
  </si>
  <si>
    <t>Mon</t>
  </si>
  <si>
    <t>Tues</t>
  </si>
  <si>
    <t>Wed</t>
  </si>
  <si>
    <t>Thurs</t>
  </si>
  <si>
    <t>Fri</t>
  </si>
  <si>
    <t>Sat</t>
  </si>
  <si>
    <t>Sun</t>
  </si>
  <si>
    <t>max gain</t>
  </si>
  <si>
    <t>taking number of shares into account</t>
  </si>
  <si>
    <t>from CME XLS file</t>
  </si>
  <si>
    <t>Diffs</t>
  </si>
  <si>
    <t>quarterly divs, strong divs, oil/gas</t>
  </si>
  <si>
    <t>CVX</t>
  </si>
  <si>
    <t>price w divs reinvested</t>
  </si>
  <si>
    <t>quarterly divs, major silver company, royalty</t>
  </si>
  <si>
    <t>666089-215</t>
  </si>
  <si>
    <t>6yr</t>
  </si>
  <si>
    <t>strong divs, quarterly divs, addictive</t>
  </si>
  <si>
    <t>RAI</t>
  </si>
  <si>
    <t>664765-683</t>
  </si>
  <si>
    <t>take away anything over E4</t>
  </si>
  <si>
    <t>https://srsroccoreport.com/making-the-case-for-12000-gold-360-silver/</t>
  </si>
  <si>
    <t>if investors decide to increase their gold and silver investments to equal the percentage in 1980</t>
  </si>
  <si>
    <t>if investors decide to increase their metal investments to equal the percentages in 1980</t>
  </si>
  <si>
    <t>665368-236</t>
  </si>
  <si>
    <t>Forex or any trading may take too much time for the reward, too much sitting at a desk, glued to the phone, etc. try to limit this. Did for a while, stopped completely after ~100 total loss over 1 year time, even with stops. Didn't find much rhyme or reason there. Back into it, just for diversification, and also to add regular small monthly amounts which I didn't do last time and probably overtraded and probably daytraded too much. Stopped again, probably for good. Only want things that provide more "passive" and/or "guaranteed" income. More success with auto-Forex (ea's on MT4). Doing that for a while. Regain some losses from manual Forex, but even Forex EAs taking too much time. Stopped Forex then. Resumed a month later, will be more hands off approach now. Stopped again, and for good, again, no rhyme or reason to gains/losses, and 'amazing' signals in practice or in backtesting don't appear in practice.</t>
  </si>
  <si>
    <t>IABFA</t>
  </si>
  <si>
    <t>IABFB</t>
  </si>
  <si>
    <t>My Age</t>
  </si>
  <si>
    <t>VZ</t>
  </si>
  <si>
    <t>INTC</t>
  </si>
  <si>
    <t>quarterly divs, highly embedded in technology, internet of things leader</t>
  </si>
  <si>
    <t>quarterly divs, a babyBell, extremely strong company, buying Yahoo reportedly</t>
  </si>
  <si>
    <t>US Debt</t>
  </si>
  <si>
    <t>Market Value of Treasury gold</t>
  </si>
  <si>
    <t>avg ratio</t>
  </si>
  <si>
    <t>gold value</t>
  </si>
  <si>
    <t>US debt/market value of US Treasury gold</t>
  </si>
  <si>
    <t>Since 7/24/16</t>
  </si>
  <si>
    <t>Cryptocurrencies</t>
  </si>
  <si>
    <t>Ether</t>
  </si>
  <si>
    <t>Ether spot</t>
  </si>
  <si>
    <t>Ether spot to break even</t>
  </si>
  <si>
    <t>ie. Input any Ether amount</t>
  </si>
  <si>
    <t>667186-239</t>
  </si>
  <si>
    <t>667237-289</t>
  </si>
  <si>
    <t>quarterly divs, pharma</t>
  </si>
  <si>
    <t>PFE</t>
  </si>
  <si>
    <t>SYY</t>
  </si>
  <si>
    <t>quarterly dividends, business easy to understand, food</t>
  </si>
  <si>
    <t>barchart.com</t>
  </si>
  <si>
    <t>http://www.cmegroup.com/delivery_reports/Gold_Stocks.xls</t>
  </si>
  <si>
    <t>http://www.cmegroup.com/delivery_reports/Silver_stocks.xls</t>
  </si>
  <si>
    <t>https://ycharts.com/indicators/comex_gold_futures_open_interest</t>
  </si>
  <si>
    <t>https://ycharts.com/indicators/comex_silver_futures_open_interest</t>
  </si>
  <si>
    <t>merger</t>
  </si>
  <si>
    <t>a^2+b^2+2ab</t>
  </si>
  <si>
    <t>667903-195</t>
  </si>
  <si>
    <t>quarterly divs, large bank</t>
  </si>
  <si>
    <t>WFC</t>
  </si>
  <si>
    <t>avg position</t>
  </si>
  <si>
    <t>jzs</t>
  </si>
  <si>
    <t>yari</t>
  </si>
  <si>
    <t>combined</t>
  </si>
  <si>
    <t>Gain/Loss</t>
  </si>
  <si>
    <t>Value of giveaway item</t>
  </si>
  <si>
    <t>Additional subs needed</t>
  </si>
  <si>
    <t>Total sub count needed</t>
  </si>
  <si>
    <t>671169-297</t>
  </si>
  <si>
    <t>673602-474</t>
  </si>
  <si>
    <t>Statisticool.com Adsense</t>
  </si>
  <si>
    <t>Avg yearly Statisticool.com Adsense revenue</t>
  </si>
  <si>
    <t>Avg monthly Statisticool.com Adsense revenue</t>
  </si>
  <si>
    <t>Idea</t>
  </si>
  <si>
    <t>Bloomberg</t>
  </si>
  <si>
    <t>IABFO</t>
  </si>
  <si>
    <t>673785-176</t>
  </si>
  <si>
    <t>669031-225</t>
  </si>
  <si>
    <t>registered (oz)</t>
  </si>
  <si>
    <t>eligible (oz)</t>
  </si>
  <si>
    <t>open interest/registered</t>
  </si>
  <si>
    <t>implied value</t>
  </si>
  <si>
    <t>IABD2</t>
  </si>
  <si>
    <t>4-Week</t>
  </si>
  <si>
    <t>13-Week</t>
  </si>
  <si>
    <t>26-Week</t>
  </si>
  <si>
    <t>52-Week</t>
  </si>
  <si>
    <t>Current Tbill offerings</t>
  </si>
  <si>
    <t>Profit</t>
  </si>
  <si>
    <t>Profit w Reinvestment</t>
  </si>
  <si>
    <t>Yield w Reinvestment</t>
  </si>
  <si>
    <t>using Y/Y increase in M2/annual production of metal</t>
  </si>
  <si>
    <t>http://www.barchart.com/commodityfutures/Gold_Futures/GC</t>
  </si>
  <si>
    <t>http://www.barchart.com/commodityfutures/Silver_Futures/SI</t>
  </si>
  <si>
    <t>metal only</t>
  </si>
  <si>
    <t>metal + face</t>
  </si>
  <si>
    <t>diff, metal only</t>
  </si>
  <si>
    <t>diff, metal + face</t>
  </si>
  <si>
    <t>Price of BigMac in 1986</t>
  </si>
  <si>
    <t>from GoldMoney</t>
  </si>
  <si>
    <t>BigMac</t>
  </si>
  <si>
    <t>Updated 8/4/16</t>
  </si>
  <si>
    <t>today's BigMac</t>
  </si>
  <si>
    <t>BigMac Index idea</t>
  </si>
  <si>
    <t>today's .13g of gold</t>
  </si>
  <si>
    <t>ie. .13g of gold</t>
  </si>
  <si>
    <t>can .13g of gold still buy BigMac?</t>
  </si>
  <si>
    <t>implied value of 1oz gold</t>
  </si>
  <si>
    <t>silver adjusted the same way</t>
  </si>
  <si>
    <t>diff</t>
  </si>
  <si>
    <t>BigMac inflation argument</t>
  </si>
  <si>
    <t>669559-201</t>
  </si>
  <si>
    <t>hrs</t>
  </si>
  <si>
    <t>M2</t>
  </si>
  <si>
    <t>Updated 8/9/16</t>
  </si>
  <si>
    <t>Fred</t>
  </si>
  <si>
    <t>grams/coin</t>
  </si>
  <si>
    <t>hrs/day</t>
  </si>
  <si>
    <t>implied silver price</t>
  </si>
  <si>
    <t>$/day (Roman)</t>
  </si>
  <si>
    <t>$/day (now)</t>
  </si>
  <si>
    <t>based on Roman pay, Denarius coin, minimum wage</t>
  </si>
  <si>
    <t>avg of values in Wiki article on Denarius</t>
  </si>
  <si>
    <t>Roman pay based on Denarius coin, unskilled labour (minimum wage) and common soldier</t>
  </si>
  <si>
    <t>based on Roman pay, Army soldier take home $X/yr</t>
  </si>
  <si>
    <t>Total Realized + Unrealized P/L</t>
  </si>
  <si>
    <t>low</t>
  </si>
  <si>
    <t>high</t>
  </si>
  <si>
    <t>Valuation records</t>
  </si>
  <si>
    <t>New low/high?</t>
  </si>
  <si>
    <t>% gain</t>
  </si>
  <si>
    <t>Updated 8/10/16</t>
  </si>
  <si>
    <t>—</t>
  </si>
  <si>
    <t>diffs, high-low</t>
  </si>
  <si>
    <t>usdebtclock.org</t>
  </si>
  <si>
    <t>Prices from http://coinmarketcap.com/</t>
  </si>
  <si>
    <t>Available Supply</t>
  </si>
  <si>
    <t>% owned</t>
  </si>
  <si>
    <t>minimum wage/hr</t>
  </si>
  <si>
    <t>regression using diffs of futures from current spot</t>
  </si>
  <si>
    <t>Years into future</t>
  </si>
  <si>
    <t>Slope</t>
  </si>
  <si>
    <t>Intercept</t>
  </si>
  <si>
    <t>linearly projected futures prices</t>
  </si>
  <si>
    <t>y = slope*X + intercept</t>
  </si>
  <si>
    <t>weekly, seasonally adjusted</t>
  </si>
  <si>
    <t>https://www.census.gov/popclock/</t>
  </si>
  <si>
    <t>World pop</t>
  </si>
  <si>
    <t>http://www.bloomberg.com/energy</t>
  </si>
  <si>
    <t>Cum</t>
  </si>
  <si>
    <t>days record keeping</t>
  </si>
  <si>
    <t>673549-150</t>
  </si>
  <si>
    <t>IABFZ</t>
  </si>
  <si>
    <t>IABF0</t>
  </si>
  <si>
    <t>With yearly interest, can buy</t>
  </si>
  <si>
    <t>Bond</t>
  </si>
  <si>
    <t>amount</t>
  </si>
  <si>
    <t>additional avg int/yr</t>
  </si>
  <si>
    <t>using the EE effective rate</t>
  </si>
  <si>
    <t>approx yield so far</t>
  </si>
  <si>
    <t>676319-254</t>
  </si>
  <si>
    <t>additional avg interest</t>
  </si>
  <si>
    <t>EE w effective rate</t>
  </si>
  <si>
    <t>$100 is min AND increment for Notes/Bonds</t>
  </si>
  <si>
    <t>Daily</t>
  </si>
  <si>
    <t>Note/Bond</t>
  </si>
  <si>
    <t>Sector</t>
  </si>
  <si>
    <t>Basic Materials</t>
  </si>
  <si>
    <t>Financials</t>
  </si>
  <si>
    <t>Utilities</t>
  </si>
  <si>
    <t>Industrials</t>
  </si>
  <si>
    <t>Energy</t>
  </si>
  <si>
    <t>Cyclical Consumer Goods and Services</t>
  </si>
  <si>
    <t>Technology</t>
  </si>
  <si>
    <t>Non-Cyclical Consumer Goods and Services</t>
  </si>
  <si>
    <t>Telecommunications Services</t>
  </si>
  <si>
    <t>Healthcare</t>
  </si>
  <si>
    <t>Yearly Divs</t>
  </si>
  <si>
    <t>% days in month paying</t>
  </si>
  <si>
    <t>Cum Value</t>
  </si>
  <si>
    <t>1g gold</t>
  </si>
  <si>
    <t>1 share KO or 1g gold?</t>
  </si>
  <si>
    <t>$0/yr</t>
  </si>
  <si>
    <t>https://www.fiscal.treasury.gov/fsreports/rpt/goldRpt/current_report.htm</t>
  </si>
  <si>
    <t>http://www.macrotrends.net/1333/historical-gold-prices-100-year-chart</t>
  </si>
  <si>
    <t>http://www.macrotrends.net/1470/historical-silver-prices-100-year-chart</t>
  </si>
  <si>
    <t>single letter symbols</t>
  </si>
  <si>
    <t>%</t>
  </si>
  <si>
    <t>Other themes</t>
  </si>
  <si>
    <t>Check 8/16/17</t>
  </si>
  <si>
    <t>Length of ticker symbol</t>
  </si>
  <si>
    <t>Puerto Rico related</t>
  </si>
  <si>
    <t>water related</t>
  </si>
  <si>
    <t>quarterly divs, strong bank, single letter symbol idea</t>
  </si>
  <si>
    <t>quarterly divs, most valuable commodity of water</t>
  </si>
  <si>
    <t>security related</t>
  </si>
  <si>
    <t>tobacco related</t>
  </si>
  <si>
    <t>http://data.worldbank.org/indicator/NY.GDP.MKTP.CD</t>
  </si>
  <si>
    <t>food related</t>
  </si>
  <si>
    <t>gov related</t>
  </si>
  <si>
    <t>cap size</t>
  </si>
  <si>
    <t>Cap size</t>
  </si>
  <si>
    <t>Zip to Blue Chip</t>
  </si>
  <si>
    <t>had ARR in at one time, lost RSH</t>
  </si>
  <si>
    <t>metals related</t>
  </si>
  <si>
    <t>IABF7</t>
  </si>
  <si>
    <t>% div stocks w div &gt; 3.53%</t>
  </si>
  <si>
    <t>IABF8</t>
  </si>
  <si>
    <t>virginia</t>
  </si>
  <si>
    <t>alexandria, va</t>
  </si>
  <si>
    <t>state and local taxes</t>
  </si>
  <si>
    <t>Zip to Blue Chip related</t>
  </si>
  <si>
    <t>actual Zip to Blue Chip</t>
  </si>
  <si>
    <t>cash</t>
  </si>
  <si>
    <t>min (10,000/N, same amount in each asset)</t>
  </si>
  <si>
    <t>CatchEmAll</t>
  </si>
  <si>
    <t>https://fred.stlouisfed.org/series/WCURCIR</t>
  </si>
  <si>
    <t>Updated date is 8/23/16</t>
  </si>
  <si>
    <t>if an investment does not have a predictable cash flow after a year or two, dump it</t>
  </si>
  <si>
    <t>COMEX, open interest/(eligible+registered)</t>
  </si>
  <si>
    <t>COMEX, open interest/registered</t>
  </si>
  <si>
    <t>K</t>
  </si>
  <si>
    <t>CDEFKOTVX</t>
  </si>
  <si>
    <t>quarterly divs, single letter ticker symbol idea, strong utility company</t>
  </si>
  <si>
    <t>invest in whatever trash, water, electricity, gas that is going up/down based on our own bills</t>
  </si>
  <si>
    <t>quarterly divs, many well-known brands, single letter ticker idea</t>
  </si>
  <si>
    <t>St. Louis adjusted monetary base</t>
  </si>
  <si>
    <t>currency in circulation</t>
  </si>
  <si>
    <t>monetary base</t>
  </si>
  <si>
    <t>https://fred.stlouisfed.org/series/BASE</t>
  </si>
  <si>
    <t>US monetary base / gold owned by US</t>
  </si>
  <si>
    <t>US money supply M2 / gold owned by US</t>
  </si>
  <si>
    <t>median found per day</t>
  </si>
  <si>
    <t>avg per day, without largest</t>
  </si>
  <si>
    <t>$/day</t>
  </si>
  <si>
    <t>BTC/person in world</t>
  </si>
  <si>
    <t>I have x more BTC than average</t>
  </si>
  <si>
    <t>Ether/person in world</t>
  </si>
  <si>
    <t>I have x more Ether than average</t>
  </si>
  <si>
    <t>684477-158</t>
  </si>
  <si>
    <t>679846-279</t>
  </si>
  <si>
    <t>Updated 9/9/16</t>
  </si>
  <si>
    <t>FCFS</t>
  </si>
  <si>
    <t>https://www.treasurydirect.gov/govt/reports/pd/gift/gift.htm</t>
  </si>
  <si>
    <t>IABGN</t>
  </si>
  <si>
    <t>IABGO</t>
  </si>
  <si>
    <t>more included as "money" as you go down list</t>
  </si>
  <si>
    <t>Yield on Cost</t>
  </si>
  <si>
    <t>https://fred.stlouisfed.org/series/M2</t>
  </si>
  <si>
    <t>Cafepress items</t>
  </si>
  <si>
    <t>Morse code</t>
  </si>
  <si>
    <t>l to r written, and vertical</t>
  </si>
  <si>
    <t>CafePress</t>
  </si>
  <si>
    <t>Avg yearly CafePress revenue</t>
  </si>
  <si>
    <t>Avg monthly CafePress revenue</t>
  </si>
  <si>
    <t>Morse code primarly, and other tshirts</t>
  </si>
  <si>
    <t>Gain/loss to date</t>
  </si>
  <si>
    <t>other items, good photos, artwork, etc.</t>
  </si>
  <si>
    <t>weeks</t>
  </si>
  <si>
    <t>spent $20 to boost t-shirt and yard sign</t>
  </si>
  <si>
    <t>683704-337</t>
  </si>
  <si>
    <t>IABGV</t>
  </si>
  <si>
    <t>% of can crusher cost recovered</t>
  </si>
  <si>
    <t>687846-278</t>
  </si>
  <si>
    <t>687903-346</t>
  </si>
  <si>
    <t>687094-282</t>
  </si>
  <si>
    <t>Saved per yer</t>
  </si>
  <si>
    <t>Shutterstock</t>
  </si>
  <si>
    <t>Avg yearly Shutterstock revenue</t>
  </si>
  <si>
    <t>Avg monthly Shutterstock revenue</t>
  </si>
  <si>
    <t>easy to understand with 2 cash flows, pennies add up, easy reinvestment, useful for short term planning, money market, using tbills can get interest at any frequency, most investment of ANY investment</t>
  </si>
  <si>
    <t>raise the Y-intercept</t>
  </si>
  <si>
    <t>make the line steeper</t>
  </si>
  <si>
    <t>easy to understand, shortish term, floating rate</t>
  </si>
  <si>
    <t>13 week Treasury Bills</t>
  </si>
  <si>
    <t>26 week Treasury Bills</t>
  </si>
  <si>
    <t>52 week Treasury Bills</t>
  </si>
  <si>
    <t>easy to understand with 2 cash flows, pennies add up, easy reinvestment, useful for short term planning, money market, using tbills can get interest at any frequency</t>
  </si>
  <si>
    <t>Treasury Bills (13 weeks)</t>
  </si>
  <si>
    <t>Qtrs left</t>
  </si>
  <si>
    <t>approx per qtr</t>
  </si>
  <si>
    <t>Treasury Bills (26 weeks)</t>
  </si>
  <si>
    <t>Half year left</t>
  </si>
  <si>
    <t>approx per 6 months</t>
  </si>
  <si>
    <t>Treasury Bills (52 weeks)</t>
  </si>
  <si>
    <t>Years left</t>
  </si>
  <si>
    <t>IABE9</t>
  </si>
  <si>
    <t>IABE7</t>
  </si>
  <si>
    <t>IABE8</t>
  </si>
  <si>
    <t>approx per year</t>
  </si>
  <si>
    <t>IAA9R</t>
  </si>
  <si>
    <t>Floating Rate Notes (FRN)</t>
  </si>
  <si>
    <t>Payment/3 months</t>
  </si>
  <si>
    <t>3 months from Dated date</t>
  </si>
  <si>
    <t>9 months from Dated date</t>
  </si>
  <si>
    <t>IAA9L</t>
  </si>
  <si>
    <t>IAA59</t>
  </si>
  <si>
    <t>IAA5X</t>
  </si>
  <si>
    <t>3 month interest</t>
  </si>
  <si>
    <t>Approx Payment</t>
  </si>
  <si>
    <t>FRN total</t>
  </si>
  <si>
    <t>FRN, 13wk tbill, quarterly sum</t>
  </si>
  <si>
    <t>treasury notes, bonds, tips, 26wk t-bill, 6 month sum</t>
  </si>
  <si>
    <t>52wk tbill, yearly</t>
  </si>
  <si>
    <t>% Gain/Loss</t>
  </si>
  <si>
    <t>savings bonds, 28-day tbill, monthly sum</t>
  </si>
  <si>
    <t>690932-195</t>
  </si>
  <si>
    <t>688450-379</t>
  </si>
  <si>
    <t>690893-177</t>
  </si>
  <si>
    <t>688492-202</t>
  </si>
  <si>
    <t>x1</t>
  </si>
  <si>
    <t>y1</t>
  </si>
  <si>
    <t>x2</t>
  </si>
  <si>
    <t>y2</t>
  </si>
  <si>
    <t>slope</t>
  </si>
  <si>
    <t>day</t>
  </si>
  <si>
    <t>b</t>
  </si>
  <si>
    <t>y=mx+b</t>
  </si>
  <si>
    <t>x</t>
  </si>
  <si>
    <t>ie. a year out</t>
  </si>
  <si>
    <t>Morse Code channel subscriber count prediction from Socialblade data</t>
  </si>
  <si>
    <t>subs/day</t>
  </si>
  <si>
    <t>predicted subs</t>
  </si>
  <si>
    <t>Approved</t>
  </si>
  <si>
    <t>Rejected</t>
  </si>
  <si>
    <t>Pending</t>
  </si>
  <si>
    <t>691202-323</t>
  </si>
  <si>
    <t>688858-242</t>
  </si>
  <si>
    <t>691271-151</t>
  </si>
  <si>
    <t>Years to Maturity</t>
  </si>
  <si>
    <t>Avg earnings per image</t>
  </si>
  <si>
    <t>Image uploads/Day</t>
  </si>
  <si>
    <t>689545-474</t>
  </si>
  <si>
    <t>Avg yrs to Maturity</t>
  </si>
  <si>
    <t>Note principal</t>
  </si>
  <si>
    <t>"old school" Graham</t>
  </si>
  <si>
    <t>revised Graham</t>
  </si>
  <si>
    <t>risk free rate of return, say 10yr treasury bond</t>
  </si>
  <si>
    <t>AAA corporate bond rate</t>
  </si>
  <si>
    <t>695343-534</t>
  </si>
  <si>
    <t>IABHG</t>
  </si>
  <si>
    <t>IABHH</t>
  </si>
  <si>
    <t>Y Age</t>
  </si>
  <si>
    <t>697580-608</t>
  </si>
  <si>
    <t>APLE</t>
  </si>
  <si>
    <t>monthly divs, hospitality, REIT</t>
  </si>
  <si>
    <t>1/1980 inflation adjusted value of gold</t>
  </si>
  <si>
    <t>IABHO</t>
  </si>
  <si>
    <t>Wallet cash</t>
  </si>
  <si>
    <t>Dresser drawer cash</t>
  </si>
  <si>
    <t>"dresser drawer" paper cash, long term</t>
  </si>
  <si>
    <t>paper cash in wallet, short term</t>
  </si>
  <si>
    <t>IABHT</t>
  </si>
  <si>
    <t>IABH2</t>
  </si>
  <si>
    <t>IABH1</t>
  </si>
  <si>
    <t>IABH0</t>
  </si>
  <si>
    <t>IABHU</t>
  </si>
  <si>
    <t>IABHV</t>
  </si>
  <si>
    <t>IABHW</t>
  </si>
  <si>
    <t>IABHX</t>
  </si>
  <si>
    <t>IABHY</t>
  </si>
  <si>
    <t>IABHZ</t>
  </si>
  <si>
    <t>IABH3</t>
  </si>
  <si>
    <t>IABH4</t>
  </si>
  <si>
    <t>IABH5</t>
  </si>
  <si>
    <t>IABH6</t>
  </si>
  <si>
    <t>IABH7</t>
  </si>
  <si>
    <t>IABH8</t>
  </si>
  <si>
    <t>IABH9</t>
  </si>
  <si>
    <t>IABIA</t>
  </si>
  <si>
    <t>IABIB</t>
  </si>
  <si>
    <t>IABIC</t>
  </si>
  <si>
    <t>IABID</t>
  </si>
  <si>
    <t>IABIE</t>
  </si>
  <si>
    <t>IABIF</t>
  </si>
  <si>
    <t>IABIG</t>
  </si>
  <si>
    <t>IABIH</t>
  </si>
  <si>
    <t>IABII</t>
  </si>
  <si>
    <t>IABIJ</t>
  </si>
  <si>
    <t>IABIK</t>
  </si>
  <si>
    <t>IABIL</t>
  </si>
  <si>
    <t>IABIM</t>
  </si>
  <si>
    <t>IABIN</t>
  </si>
  <si>
    <t>IABIO</t>
  </si>
  <si>
    <t>IABIP</t>
  </si>
  <si>
    <t>IABIQ</t>
  </si>
  <si>
    <t>IABIR</t>
  </si>
  <si>
    <t>IABIS</t>
  </si>
  <si>
    <t>IABIT</t>
  </si>
  <si>
    <t>IABIU</t>
  </si>
  <si>
    <t>IABIV</t>
  </si>
  <si>
    <t>IABIW</t>
  </si>
  <si>
    <t>IABIX</t>
  </si>
  <si>
    <t>IABIY</t>
  </si>
  <si>
    <t>IABIZ</t>
  </si>
  <si>
    <t>IABI0</t>
  </si>
  <si>
    <t>IABI1</t>
  </si>
  <si>
    <t>IABI2</t>
  </si>
  <si>
    <t>IABI3</t>
  </si>
  <si>
    <t>IABI4</t>
  </si>
  <si>
    <t>IABI5</t>
  </si>
  <si>
    <t>IABI6</t>
  </si>
  <si>
    <t>IABI7</t>
  </si>
  <si>
    <t>IABI8</t>
  </si>
  <si>
    <t>IABI9</t>
  </si>
  <si>
    <t>IABJA</t>
  </si>
  <si>
    <t>IABJB</t>
  </si>
  <si>
    <t>IABJC</t>
  </si>
  <si>
    <t>IABJD</t>
  </si>
  <si>
    <t>IABJE</t>
  </si>
  <si>
    <t>IABJF</t>
  </si>
  <si>
    <t>IABJG</t>
  </si>
  <si>
    <t>IABJH</t>
  </si>
  <si>
    <t>IABJI</t>
  </si>
  <si>
    <t>IABJJ</t>
  </si>
  <si>
    <t>IABJK</t>
  </si>
  <si>
    <t>2018 projected</t>
  </si>
  <si>
    <t>the whole world is trying to take your money from you, your goal is to say no no no</t>
  </si>
  <si>
    <t>http://www.imf.org/external/np/exr/facts/sdr.htm</t>
  </si>
  <si>
    <t>Special Drawing Rights (SDR)</t>
  </si>
  <si>
    <t>1 SDR (now, basket of currencies)</t>
  </si>
  <si>
    <t>http://www.imf.org/external/np/fin/data/rms_sdrv.aspx</t>
  </si>
  <si>
    <t>How many SDRs</t>
  </si>
  <si>
    <t>SDR Value</t>
  </si>
  <si>
    <t>1 SDR originally, 1969</t>
  </si>
  <si>
    <t>today's equiv SDR value</t>
  </si>
  <si>
    <t>(based on .888671g of gold at the time)</t>
  </si>
  <si>
    <t>IMF gold holdings (toz)</t>
  </si>
  <si>
    <t>IMF gold value</t>
  </si>
  <si>
    <t>SDR, original valuation, inflation</t>
  </si>
  <si>
    <t>SDR current valuation, inflation</t>
  </si>
  <si>
    <t>IMF SDR value / IMF gold oz, original</t>
  </si>
  <si>
    <t>IMF SDR value / IMF gold oz, current</t>
  </si>
  <si>
    <t>using original definition</t>
  </si>
  <si>
    <t>using current definition</t>
  </si>
  <si>
    <t>unique niche, extreme growth, quarterly divs, "socially responsible investing" IMO!, convert to REIT, CoreCivic rebrand important</t>
  </si>
  <si>
    <t>Started 10/28/16</t>
  </si>
  <si>
    <t>698587-379</t>
  </si>
  <si>
    <t>Updated 11/1/16</t>
  </si>
  <si>
    <t>http://minerals.usgs.gov/minerals/pubs/mcs/2016/mcs2016.pdf</t>
  </si>
  <si>
    <t>https://ycharts.com/indicators/sales_price_of_existing_homes</t>
  </si>
  <si>
    <t>701967-357</t>
  </si>
  <si>
    <t>Updated 11/2/16</t>
  </si>
  <si>
    <t>minimum total $ needed just to be average</t>
  </si>
  <si>
    <t>Bitcoin/gold ratio</t>
  </si>
  <si>
    <t>WTI</t>
  </si>
  <si>
    <t>Brent</t>
  </si>
  <si>
    <t>don't guess better than the next person, understand value better than the next person</t>
  </si>
  <si>
    <t>world population / world production</t>
  </si>
  <si>
    <t>person/gold oz</t>
  </si>
  <si>
    <t>person/silver oz</t>
  </si>
  <si>
    <t>http://www.xe.com/currencycharts/?from=XBT&amp;to=XAU&amp;view=10Y</t>
  </si>
  <si>
    <t>avg gold oz/house ratio</t>
  </si>
  <si>
    <t>gold oz / median house price</t>
  </si>
  <si>
    <t>Gold oz/Median house ratio</t>
  </si>
  <si>
    <t>par</t>
  </si>
  <si>
    <t>spot silver 12/2012</t>
  </si>
  <si>
    <t>I savings bond 12/2012</t>
  </si>
  <si>
    <t>then</t>
  </si>
  <si>
    <t>I bond / silver</t>
  </si>
  <si>
    <t>avg debt/gold owned price ratio</t>
  </si>
  <si>
    <t>699964-314</t>
  </si>
  <si>
    <t>http://danielamerman.com/va/GHratio.html</t>
  </si>
  <si>
    <t>median existing home sales price</t>
  </si>
  <si>
    <t>UDFI</t>
  </si>
  <si>
    <t>monthly divs</t>
  </si>
  <si>
    <t xml:space="preserve">  </t>
  </si>
  <si>
    <t>% gold available</t>
  </si>
  <si>
    <t>% silver available</t>
  </si>
  <si>
    <t>person / gold oz</t>
  </si>
  <si>
    <t>person / silver oz</t>
  </si>
  <si>
    <t>using actually what is available for people to invest in</t>
  </si>
  <si>
    <t>world gold production / world population, adjusted</t>
  </si>
  <si>
    <t>world gold production / world population, naïve</t>
  </si>
  <si>
    <t>avg hourly earnings</t>
  </si>
  <si>
    <t>Yearly income</t>
  </si>
  <si>
    <t>GECC</t>
  </si>
  <si>
    <t>water companies have a "moat", literally</t>
  </si>
  <si>
    <t>http://www.bls.gov/news.release/empsit.t19.htm</t>
  </si>
  <si>
    <t>Updated 11/7/16</t>
  </si>
  <si>
    <t>hrs per day</t>
  </si>
  <si>
    <t>% takehome</t>
  </si>
  <si>
    <t>take home, 1/10 oz silver</t>
  </si>
  <si>
    <t>1 oz silver</t>
  </si>
  <si>
    <t>gross</t>
  </si>
  <si>
    <t>min from table</t>
  </si>
  <si>
    <t>702583-414</t>
  </si>
  <si>
    <t>divs</t>
  </si>
  <si>
    <t>705455-201</t>
  </si>
  <si>
    <t>Days to Maturity</t>
  </si>
  <si>
    <t>Old than 5yrs?</t>
  </si>
  <si>
    <t>% older than 5yrs</t>
  </si>
  <si>
    <t>Updated 11/17/16</t>
  </si>
  <si>
    <t>IABJ3</t>
  </si>
  <si>
    <t>IABJ4</t>
  </si>
  <si>
    <t>Y/Y increase in</t>
  </si>
  <si>
    <t>Y_t/Y_(t-1) increase in currency in circ / yearly metal production in US</t>
  </si>
  <si>
    <t>Y_t/Y_(t-1) increase in monetary base / yearly metal production in US</t>
  </si>
  <si>
    <t>Spot</t>
  </si>
  <si>
    <t>712052-399</t>
  </si>
  <si>
    <t>M1</t>
  </si>
  <si>
    <t>https://fred.stlouisfed.org/series/M1</t>
  </si>
  <si>
    <t>M1 / gold owned by US</t>
  </si>
  <si>
    <t>funds accessible for spending</t>
  </si>
  <si>
    <t>Y_t/Y_(t-1) increase in M1 / yearly metal production in US</t>
  </si>
  <si>
    <t>M1 + savings deposits</t>
  </si>
  <si>
    <t>currency + bank reserves</t>
  </si>
  <si>
    <t>Total Submitted</t>
  </si>
  <si>
    <t>Approved/Total Submitted</t>
  </si>
  <si>
    <t>713087-271</t>
  </si>
  <si>
    <t>710728-361</t>
  </si>
  <si>
    <t>710530-189</t>
  </si>
  <si>
    <t>includes matching</t>
  </si>
  <si>
    <t>if retired with TSP balance as of now</t>
  </si>
  <si>
    <t>IABKE</t>
  </si>
  <si>
    <t>713833-333</t>
  </si>
  <si>
    <t>IABKL</t>
  </si>
  <si>
    <t>IABKM</t>
  </si>
  <si>
    <t>715504-387</t>
  </si>
  <si>
    <t>add midroll ads</t>
  </si>
  <si>
    <t>http://data.bls.gov/cgi-bin/cpicalc.pl</t>
  </si>
  <si>
    <t>https://www.spdrs.com/product/fund.seam?ticker=DIA#</t>
  </si>
  <si>
    <t>for DIA</t>
  </si>
  <si>
    <t>cash flow growth</t>
  </si>
  <si>
    <t>Net Asset Value (NAV)</t>
  </si>
  <si>
    <t>total net assets</t>
  </si>
  <si>
    <t>Net Asset Value</t>
  </si>
  <si>
    <t>and other public source of information</t>
  </si>
  <si>
    <t>IABJW</t>
  </si>
  <si>
    <t>IABBY</t>
  </si>
  <si>
    <t>IABJ5</t>
  </si>
  <si>
    <t>IABJL</t>
  </si>
  <si>
    <t>1 contract is 100 troy oz for gold, 5000oz for silver`</t>
  </si>
  <si>
    <t>717346-190</t>
  </si>
  <si>
    <t>Want $X per month</t>
  </si>
  <si>
    <t>Counts needed</t>
  </si>
  <si>
    <t>IABKS</t>
  </si>
  <si>
    <t>IABKX</t>
  </si>
  <si>
    <t>more videos on other hobbies, expand off of base</t>
  </si>
  <si>
    <t>Expected resolution of pending</t>
  </si>
  <si>
    <t>Gain/loss, in notes</t>
  </si>
  <si>
    <t>PLNT</t>
  </si>
  <si>
    <t>good business model IMO, expansion</t>
  </si>
  <si>
    <t>719266-194</t>
  </si>
  <si>
    <t>leave comments on trending videos, say top 5 per day</t>
  </si>
  <si>
    <t>719929-356</t>
  </si>
  <si>
    <t>722660-369</t>
  </si>
  <si>
    <t>723213-403</t>
  </si>
  <si>
    <t>719902-225</t>
  </si>
  <si>
    <t>719914-189</t>
  </si>
  <si>
    <t>status updates</t>
  </si>
  <si>
    <t>blog posts</t>
  </si>
  <si>
    <t>photos</t>
  </si>
  <si>
    <t>videos</t>
  </si>
  <si>
    <t>Izea, sponsored posts?</t>
  </si>
  <si>
    <t>723086-645</t>
  </si>
  <si>
    <t>Updated 12/28/16</t>
  </si>
  <si>
    <t>723515-323</t>
  </si>
  <si>
    <t>722875-403</t>
  </si>
  <si>
    <t>726120-182</t>
  </si>
  <si>
    <t>$/year</t>
  </si>
  <si>
    <t>Updated 1/12/17</t>
  </si>
  <si>
    <t>My bitcoins in Coinbase wallet</t>
  </si>
  <si>
    <t>My Ether in Coinbase wallet</t>
  </si>
  <si>
    <t>My bitcoins in computer wallet</t>
  </si>
  <si>
    <t>Total bitcoins</t>
  </si>
  <si>
    <t>IABLE</t>
  </si>
  <si>
    <t>IABLF</t>
  </si>
  <si>
    <t>Updated 1/13/17</t>
  </si>
  <si>
    <t>% all stocks w div &gt; 3.53%</t>
  </si>
  <si>
    <t>0-500</t>
  </si>
  <si>
    <t>lifetime earnings</t>
  </si>
  <si>
    <t>diff from prev</t>
  </si>
  <si>
    <t>diff from start</t>
  </si>
  <si>
    <t>https://submit.shutterstock.com/payouts</t>
  </si>
  <si>
    <t>% raise from prev</t>
  </si>
  <si>
    <t>% raise from start</t>
  </si>
  <si>
    <t>expected date to obtain</t>
  </si>
  <si>
    <t>here</t>
  </si>
  <si>
    <t>How many more to submit</t>
  </si>
  <si>
    <t>Days you want to attain goal</t>
  </si>
  <si>
    <t>then submit this many per day</t>
  </si>
  <si>
    <t>how many more approved</t>
  </si>
  <si>
    <t>% in coinbase wallet</t>
  </si>
  <si>
    <t>% in computer wallet</t>
  </si>
  <si>
    <t>732527-275</t>
  </si>
  <si>
    <t>Updated 1/20/17</t>
  </si>
  <si>
    <t>US Miminum wage in 1964</t>
  </si>
  <si>
    <t>IABLK</t>
  </si>
  <si>
    <t>gain relative to 28-day Tbill</t>
  </si>
  <si>
    <t>time relative to 28-day Tbill</t>
  </si>
  <si>
    <t>gain/time</t>
  </si>
  <si>
    <t>Actual %</t>
  </si>
  <si>
    <t>Today's month</t>
  </si>
  <si>
    <t>used to updated</t>
  </si>
  <si>
    <t>inflation adjusted value</t>
  </si>
  <si>
    <t>count of TIPS to edit inflation adjusted value</t>
  </si>
  <si>
    <t>% of TIPS to adjust</t>
  </si>
  <si>
    <t>KO/gold</t>
  </si>
  <si>
    <t>monthly subscriber image</t>
  </si>
  <si>
    <t>on demand image, small/med</t>
  </si>
  <si>
    <t>on demand image, any size</t>
  </si>
  <si>
    <t>hypothetical</t>
  </si>
  <si>
    <t>expected count</t>
  </si>
  <si>
    <t>% of type sold</t>
  </si>
  <si>
    <t>expected earnings</t>
  </si>
  <si>
    <t>if I sell X images</t>
  </si>
  <si>
    <t>total earnings if sell X more images</t>
  </si>
  <si>
    <t>hypothetical earnings</t>
  </si>
  <si>
    <t>sales per day</t>
  </si>
  <si>
    <t>then get this many approved per day</t>
  </si>
  <si>
    <t>hypothetical expected</t>
  </si>
  <si>
    <t>nature</t>
  </si>
  <si>
    <t>daytime</t>
  </si>
  <si>
    <t>numbers</t>
  </si>
  <si>
    <t>states</t>
  </si>
  <si>
    <t>signs</t>
  </si>
  <si>
    <t>symbols</t>
  </si>
  <si>
    <t>100's, ie. Different angles, light, focus, etc etc., I don't know exactly what the customer wants</t>
  </si>
  <si>
    <t>Approved/Day</t>
  </si>
  <si>
    <t>approx $</t>
  </si>
  <si>
    <t>hypothetical views</t>
  </si>
  <si>
    <t>&lt;-- turns to max(2*par, previous amt) here</t>
  </si>
  <si>
    <t>note that rate can be different now, TBD by Treasury</t>
  </si>
  <si>
    <t>737625-248</t>
  </si>
  <si>
    <t>Just assets</t>
  </si>
  <si>
    <t>http://www.goarmy.com/benefits/money/basic-pay-active-duty-soldiers.html</t>
  </si>
  <si>
    <t>web</t>
  </si>
  <si>
    <t>sd</t>
  </si>
  <si>
    <t>hd</t>
  </si>
  <si>
    <t>4k</t>
  </si>
  <si>
    <t>type of clip</t>
  </si>
  <si>
    <t>price for buyers</t>
  </si>
  <si>
    <t>Images sold</t>
  </si>
  <si>
    <t>If sold, I get</t>
  </si>
  <si>
    <t>salary increase per year</t>
  </si>
  <si>
    <t>salary increase per month</t>
  </si>
  <si>
    <t>salary increase per paycheck</t>
  </si>
  <si>
    <t>salary increase per day</t>
  </si>
  <si>
    <t>If your current salary is $S, and you are set to get a raise of R%</t>
  </si>
  <si>
    <t>and also an additional locality increase of L%, your new salary will be $S*(1+R)*(1+L) =</t>
  </si>
  <si>
    <t xml:space="preserve"> ... = $S(1+R+L+RL). Interesting how the crossproduct RL comes into play.</t>
  </si>
  <si>
    <t>FIX THIS SECTION</t>
  </si>
  <si>
    <t>total increase</t>
  </si>
  <si>
    <t>GS increase</t>
  </si>
  <si>
    <t>locality increase</t>
  </si>
  <si>
    <t>IMAGES</t>
  </si>
  <si>
    <t>VIDEOS</t>
  </si>
  <si>
    <t>Vids sold</t>
  </si>
  <si>
    <t>Avg earnings per video</t>
  </si>
  <si>
    <t>Video uploads/Day</t>
  </si>
  <si>
    <t>if I sell X videos</t>
  </si>
  <si>
    <t>Total Lifetime earnings</t>
  </si>
  <si>
    <t>Avg sales per day</t>
  </si>
  <si>
    <t>0.00 (0.00%)</t>
  </si>
  <si>
    <t>&gt;5 sec, &lt;1min length, muted high-quality video clips, stable</t>
  </si>
  <si>
    <t>739191-168</t>
  </si>
  <si>
    <t>Total approved</t>
  </si>
  <si>
    <t>Total rejected</t>
  </si>
  <si>
    <t>Total pending</t>
  </si>
  <si>
    <t>Total submitted</t>
  </si>
  <si>
    <t>Approved/Total submitted</t>
  </si>
  <si>
    <t>4.49B</t>
  </si>
  <si>
    <t>9.80B</t>
  </si>
  <si>
    <t>739085-382</t>
  </si>
  <si>
    <t>4.59B</t>
  </si>
  <si>
    <t>4.52B</t>
  </si>
  <si>
    <t>3.36B</t>
  </si>
  <si>
    <t>2.22B</t>
  </si>
  <si>
    <t>226.53B</t>
  </si>
  <si>
    <t>3.11B</t>
  </si>
  <si>
    <t>850.53M</t>
  </si>
  <si>
    <t>Payday (of week)</t>
  </si>
  <si>
    <t>earnings</t>
  </si>
  <si>
    <t>1.41B</t>
  </si>
  <si>
    <t>1.95B</t>
  </si>
  <si>
    <t>8.30B</t>
  </si>
  <si>
    <t>minimum payout</t>
  </si>
  <si>
    <t>multiple of min payout</t>
  </si>
  <si>
    <t>+0.15 (0.76%)</t>
  </si>
  <si>
    <t>+0.22 (0.71%)</t>
  </si>
  <si>
    <t>-0.20 (-0.28%)</t>
  </si>
  <si>
    <t>-0.15 (-0.34%)</t>
  </si>
  <si>
    <t>-1.19 (-3.30%)</t>
  </si>
  <si>
    <t>+0.73 (1.68%)</t>
  </si>
  <si>
    <t>+0.15 (0.71%)</t>
  </si>
  <si>
    <t>+0.07 (0.29%)</t>
  </si>
  <si>
    <t>+0.04 (0.22%)</t>
  </si>
  <si>
    <t>+4.13 (19.87%)</t>
  </si>
  <si>
    <t>+0.43 (2.15%)</t>
  </si>
  <si>
    <t>-0.12 (-1.05%)</t>
  </si>
  <si>
    <t>+0.48 (1.04%)</t>
  </si>
  <si>
    <t>+0.20 (1.99%)</t>
  </si>
  <si>
    <t>1.64B</t>
  </si>
  <si>
    <t>-0.03 (-0.23%)</t>
  </si>
  <si>
    <t>+0.02 (0.74%)</t>
  </si>
  <si>
    <t>+1.77 (0.89%)</t>
  </si>
  <si>
    <t>+0.35 (0.58%)</t>
  </si>
  <si>
    <t>+0.01 (0.12%)</t>
  </si>
  <si>
    <t>+0.69 (2.26%)</t>
  </si>
  <si>
    <t>+0.02 (0.23%)</t>
  </si>
  <si>
    <t>+1.10 (7.89%)</t>
  </si>
  <si>
    <t>2.13B</t>
  </si>
  <si>
    <t>+0.12 (2.85%)</t>
  </si>
  <si>
    <t>2.70B</t>
  </si>
  <si>
    <t>+0.15 (3.55%)</t>
  </si>
  <si>
    <t>5.06B</t>
  </si>
  <si>
    <t>+0.01 (0.18%)</t>
  </si>
  <si>
    <t>+0.03 (0.34%)</t>
  </si>
  <si>
    <t>+0.01 (0.03%)</t>
  </si>
  <si>
    <t>+0.12 (1.07%)</t>
  </si>
  <si>
    <t>+0.16 (1.66%)</t>
  </si>
  <si>
    <t>+0.18 (0.92%)</t>
  </si>
  <si>
    <t>+0.25 (1.29%)</t>
  </si>
  <si>
    <t>+0.34 (1.28%)</t>
  </si>
  <si>
    <t>+0.10 (0.27%)</t>
  </si>
  <si>
    <t>+0.15 (1.54%)</t>
  </si>
  <si>
    <t>+0.66 (0.74%)</t>
  </si>
  <si>
    <t>-0.01 (-0.08%)</t>
  </si>
  <si>
    <t>LNCOQ</t>
  </si>
  <si>
    <t>-0.0020 (-3.64%)</t>
  </si>
  <si>
    <t>13.34M</t>
  </si>
  <si>
    <t>1.84B</t>
  </si>
  <si>
    <t>+0.04 (0.06%)</t>
  </si>
  <si>
    <t>-0.27 (-0.73%)</t>
  </si>
  <si>
    <t>+0.51 (0.81%)</t>
  </si>
  <si>
    <t>+0.05 (0.31%)</t>
  </si>
  <si>
    <t>+0.17 (1.26%)</t>
  </si>
  <si>
    <t>+0.003 (1.22%)</t>
  </si>
  <si>
    <t>2.24B</t>
  </si>
  <si>
    <t>+0.02 (0.19%)</t>
  </si>
  <si>
    <t>+0.90 (1.24%)</t>
  </si>
  <si>
    <t>+0.11 (1.12%)</t>
  </si>
  <si>
    <t>+0.40 (0.67%)</t>
  </si>
  <si>
    <t>+0.01 (0.88%)</t>
  </si>
  <si>
    <t>-0.02 (-0.10%)</t>
  </si>
  <si>
    <t>+0.24 (1.85%)</t>
  </si>
  <si>
    <t>-0.35 (-0.40%)</t>
  </si>
  <si>
    <t>+2.27 (2.30%)</t>
  </si>
  <si>
    <t>+0.11 (1.29%)</t>
  </si>
  <si>
    <t>+0.04 (0.70%)</t>
  </si>
  <si>
    <t>-0.66 (-1.69%)</t>
  </si>
  <si>
    <t>+0.04 (2.21%)</t>
  </si>
  <si>
    <t>+0.15 (0.70%)</t>
  </si>
  <si>
    <t>+1.22 (2.47%)</t>
  </si>
  <si>
    <t>+0.31 (1.32%)</t>
  </si>
  <si>
    <t>+0.02 (0.36%)</t>
  </si>
  <si>
    <t>+0.16 (0.31%)</t>
  </si>
  <si>
    <t>+0.07 (0.17%)</t>
  </si>
  <si>
    <t>+0.02 (0.22%)</t>
  </si>
  <si>
    <t>+0.40 (3.74%)</t>
  </si>
  <si>
    <t>+0.50 (1.33%)</t>
  </si>
  <si>
    <t>2.88B</t>
  </si>
  <si>
    <t>-0.05 (-1.72%)</t>
  </si>
  <si>
    <t>87.42M</t>
  </si>
  <si>
    <t>+0.21 (0.51%)</t>
  </si>
  <si>
    <t>-0.02 (-1.09%)</t>
  </si>
  <si>
    <t>+3.78 (4.59%)</t>
  </si>
  <si>
    <t>+0.05 (0.59%)</t>
  </si>
  <si>
    <t>+0.05 (0.12%)</t>
  </si>
  <si>
    <t>+0.40 (1.81%)</t>
  </si>
  <si>
    <t>+0.30 (0.62%)</t>
  </si>
  <si>
    <t>+0.20 (1.51%)</t>
  </si>
  <si>
    <t>+1.52 (2.73%)</t>
  </si>
  <si>
    <t>115.54M</t>
  </si>
  <si>
    <t>+0.01 (0.01%)</t>
  </si>
  <si>
    <t>+0.22 (1.60%)</t>
  </si>
  <si>
    <t>+0.21 (0.70%)</t>
  </si>
  <si>
    <t>5.37B</t>
  </si>
  <si>
    <t>+0.24 (1.22%)</t>
  </si>
  <si>
    <t>-1.07 (-3.07%)</t>
  </si>
  <si>
    <t>+0.09 (0.11%)</t>
  </si>
  <si>
    <t>-0.02 (-0.28%)</t>
  </si>
  <si>
    <t>-0.05 (-0.14%)</t>
  </si>
  <si>
    <t>-0.26 (-3.35%)</t>
  </si>
  <si>
    <t>+0.29 (0.44%)</t>
  </si>
  <si>
    <t>-0.32 (-0.29%)</t>
  </si>
  <si>
    <t>-0.51 (-0.66%)</t>
  </si>
  <si>
    <t>+0.14 (0.34%)</t>
  </si>
  <si>
    <t>179.77B</t>
  </si>
  <si>
    <t>+0.61 (0.80%)</t>
  </si>
  <si>
    <t>-0.20 (-0.30%)</t>
  </si>
  <si>
    <t>3 Month</t>
  </si>
  <si>
    <t>-0.01 (-2.13%)</t>
  </si>
  <si>
    <t>6 Month</t>
  </si>
  <si>
    <t>+0.02 (1.69%)</t>
  </si>
  <si>
    <t>+0.03 (1.60%)</t>
  </si>
  <si>
    <t>+0.03 (1.23%)</t>
  </si>
  <si>
    <t>+0.02 (0.65%)</t>
  </si>
  <si>
    <t>2x income idea%</t>
  </si>
  <si>
    <t>-0.04 (-0.21%)</t>
  </si>
  <si>
    <t>22.07B</t>
  </si>
  <si>
    <t>+0.11 (0.61%)</t>
  </si>
  <si>
    <t>6.31B</t>
  </si>
  <si>
    <t>+0.43 (1.10%)</t>
  </si>
  <si>
    <t>5.27B</t>
  </si>
  <si>
    <t>+0.10 (0.49%)</t>
  </si>
  <si>
    <t>792.49M</t>
  </si>
  <si>
    <t>283.23M</t>
  </si>
  <si>
    <t>268.18M</t>
  </si>
  <si>
    <t>12.79B</t>
  </si>
  <si>
    <t>1.61B</t>
  </si>
  <si>
    <t>+0.58 (2.55%)</t>
  </si>
  <si>
    <t>240.00B</t>
  </si>
  <si>
    <t>+0.03 (0.10%)</t>
  </si>
  <si>
    <t>5.18B</t>
  </si>
  <si>
    <t>+0.15 (1.44%)</t>
  </si>
  <si>
    <t>57.74B</t>
  </si>
  <si>
    <t>98.01B</t>
  </si>
  <si>
    <t>+1.35 (3.16%)</t>
  </si>
  <si>
    <t>2.26B</t>
  </si>
  <si>
    <t>4.65B</t>
  </si>
  <si>
    <t>110.76M</t>
  </si>
  <si>
    <t>288.00M</t>
  </si>
  <si>
    <t>+0.98 (0.60%)</t>
  </si>
  <si>
    <t>405.32B</t>
  </si>
  <si>
    <t>+0.03 (0.63%)</t>
  </si>
  <si>
    <t>+1.77 (3.16%)</t>
  </si>
  <si>
    <t>169.83B</t>
  </si>
  <si>
    <t>265.79M</t>
  </si>
  <si>
    <t>801.75M</t>
  </si>
  <si>
    <t>6.14B</t>
  </si>
  <si>
    <t>44.28B</t>
  </si>
  <si>
    <t>595.29M</t>
  </si>
  <si>
    <t>+1.34 (1.19%)</t>
  </si>
  <si>
    <t>216.99B</t>
  </si>
  <si>
    <t>154.91M</t>
  </si>
  <si>
    <t>+0.15 (0.44%)</t>
  </si>
  <si>
    <t>+0.23 (0.79%)</t>
  </si>
  <si>
    <t>3.49B</t>
  </si>
  <si>
    <t>44.95B</t>
  </si>
  <si>
    <t>5.51B</t>
  </si>
  <si>
    <t>248.66M</t>
  </si>
  <si>
    <t>273.79M</t>
  </si>
  <si>
    <t>16.69B</t>
  </si>
  <si>
    <t>67.91B</t>
  </si>
  <si>
    <t>411.94M</t>
  </si>
  <si>
    <t>+0.01 (0.54%)</t>
  </si>
  <si>
    <t>30.47M</t>
  </si>
  <si>
    <t>58.13B</t>
  </si>
  <si>
    <t>722.61M</t>
  </si>
  <si>
    <t>+0.66 (1.12%)</t>
  </si>
  <si>
    <t>38.80B</t>
  </si>
  <si>
    <t>539.30M</t>
  </si>
  <si>
    <t>+0.26 (0.35%)</t>
  </si>
  <si>
    <t>4.70B</t>
  </si>
  <si>
    <t>-0.07 (-0.75%)</t>
  </si>
  <si>
    <t>+0.28 (2.28%)</t>
  </si>
  <si>
    <t>51.05B</t>
  </si>
  <si>
    <t>+0.40 (0.93%)</t>
  </si>
  <si>
    <t>-0.98 (-5.83%)</t>
  </si>
  <si>
    <t>20.30B</t>
  </si>
  <si>
    <t>771.06M</t>
  </si>
  <si>
    <t>269.11M</t>
  </si>
  <si>
    <t>+0.02 (0.07%)</t>
  </si>
  <si>
    <t>262.91B</t>
  </si>
  <si>
    <t>145.78M</t>
  </si>
  <si>
    <t>-0.13 (-0.31%)</t>
  </si>
  <si>
    <t>3.10B</t>
  </si>
  <si>
    <t>-0.12 (-0.73%)</t>
  </si>
  <si>
    <t>13.80B</t>
  </si>
  <si>
    <t>253.97M</t>
  </si>
  <si>
    <t>+0.35 (1.33%)</t>
  </si>
  <si>
    <t>25.76B</t>
  </si>
  <si>
    <t>488.59M</t>
  </si>
  <si>
    <t>+0.14 (2.57%)</t>
  </si>
  <si>
    <t>323.77M</t>
  </si>
  <si>
    <t>3.82B</t>
  </si>
  <si>
    <t>+0.81 (3.57%)</t>
  </si>
  <si>
    <t>40.52B</t>
  </si>
  <si>
    <t>+0.06 (0.39%)</t>
  </si>
  <si>
    <t>26.14B</t>
  </si>
  <si>
    <t>+0.29 (1.37%)</t>
  </si>
  <si>
    <t>4.50B</t>
  </si>
  <si>
    <t>+1.24 (0.71%)</t>
  </si>
  <si>
    <t>168.37B</t>
  </si>
  <si>
    <t>172.31B</t>
  </si>
  <si>
    <t>962.72M</t>
  </si>
  <si>
    <t>+0.07 (0.76%)</t>
  </si>
  <si>
    <t>644.46M</t>
  </si>
  <si>
    <t>+0.16 (1.33%)</t>
  </si>
  <si>
    <t>75.62B</t>
  </si>
  <si>
    <t>+0.06 (1.02%)</t>
  </si>
  <si>
    <t>876.59M</t>
  </si>
  <si>
    <t>+0.07 (0.06%)</t>
  </si>
  <si>
    <t>309.35B</t>
  </si>
  <si>
    <t>+2.59 (3.06%)</t>
  </si>
  <si>
    <t>321.50B</t>
  </si>
  <si>
    <t>+0.59 (0.81%)</t>
  </si>
  <si>
    <t>25.95B</t>
  </si>
  <si>
    <t>109.48B</t>
  </si>
  <si>
    <t>+0.29 (1.28%)</t>
  </si>
  <si>
    <t>51.87B</t>
  </si>
  <si>
    <t>122.40M</t>
  </si>
  <si>
    <t>+0.30 (0.65%)</t>
  </si>
  <si>
    <t>+0.28 (0.77%)</t>
  </si>
  <si>
    <t>+1.02 (0.83%)</t>
  </si>
  <si>
    <t>104.03B</t>
  </si>
  <si>
    <t>139.50B</t>
  </si>
  <si>
    <t>591.65M</t>
  </si>
  <si>
    <t>496.06B</t>
  </si>
  <si>
    <t>735.06M</t>
  </si>
  <si>
    <t>2.25B</t>
  </si>
  <si>
    <t>10.52B</t>
  </si>
  <si>
    <t>1.66B</t>
  </si>
  <si>
    <t>15.57B</t>
  </si>
  <si>
    <t>24.74M</t>
  </si>
  <si>
    <t>+0.13 (1.10%)</t>
  </si>
  <si>
    <t>316.90M</t>
  </si>
  <si>
    <t>2.49B</t>
  </si>
  <si>
    <t>+1.08 (1.04%)</t>
  </si>
  <si>
    <t>152.31B</t>
  </si>
  <si>
    <t>+0.36 (1.13%)</t>
  </si>
  <si>
    <t>196.94B</t>
  </si>
  <si>
    <t>222.57B</t>
  </si>
  <si>
    <t>-0.04 (-2.96%)</t>
  </si>
  <si>
    <t>702.00M</t>
  </si>
  <si>
    <t>-0.02 (-0.09%)</t>
  </si>
  <si>
    <t>2.11B</t>
  </si>
  <si>
    <t>160.46B</t>
  </si>
  <si>
    <t>3.15B</t>
  </si>
  <si>
    <t>47.78B</t>
  </si>
  <si>
    <t>+0.47 (0.78%)</t>
  </si>
  <si>
    <t>86.78B</t>
  </si>
  <si>
    <t>-1.94 (-4.35%)</t>
  </si>
  <si>
    <t>75.87B</t>
  </si>
  <si>
    <t>84.46B</t>
  </si>
  <si>
    <t>29.21B</t>
  </si>
  <si>
    <t>983.71M</t>
  </si>
  <si>
    <t>10.70B</t>
  </si>
  <si>
    <t>1.06B</t>
  </si>
  <si>
    <t>1.82B</t>
  </si>
  <si>
    <t>511.90M</t>
  </si>
  <si>
    <t>28.82B</t>
  </si>
  <si>
    <t>253.75B</t>
  </si>
  <si>
    <t>2.81B</t>
  </si>
  <si>
    <t>879.64M</t>
  </si>
  <si>
    <t>123.13B</t>
  </si>
  <si>
    <t>4.58B</t>
  </si>
  <si>
    <t>209.50B</t>
  </si>
  <si>
    <t>4.82B</t>
  </si>
  <si>
    <t>2.93B</t>
  </si>
  <si>
    <t>199.27B</t>
  </si>
  <si>
    <t>3.61B</t>
  </si>
  <si>
    <t>295.47B</t>
  </si>
  <si>
    <t>30.79B</t>
  </si>
  <si>
    <t>414.32M</t>
  </si>
  <si>
    <t>5.65B</t>
  </si>
  <si>
    <t>346.79B</t>
  </si>
  <si>
    <t>7.23B</t>
  </si>
  <si>
    <t>446.24M</t>
  </si>
  <si>
    <t>5.94B</t>
  </si>
  <si>
    <t>58.90B</t>
  </si>
  <si>
    <t>174.21B</t>
  </si>
  <si>
    <t>17.98B</t>
  </si>
  <si>
    <t>77.08B</t>
  </si>
  <si>
    <t>203.75B</t>
  </si>
  <si>
    <t>SLV</t>
  </si>
  <si>
    <t>+0.17 (1.00%)</t>
  </si>
  <si>
    <t>5.93B</t>
  </si>
  <si>
    <t>SIVR</t>
  </si>
  <si>
    <t>+0.21 (1.23%)</t>
  </si>
  <si>
    <t>GLD</t>
  </si>
  <si>
    <t>+0.96 (0.83%)</t>
  </si>
  <si>
    <t>31.65B</t>
  </si>
  <si>
    <t>IAU</t>
  </si>
  <si>
    <t>+0.10 (0.81%)</t>
  </si>
  <si>
    <t>7.93B</t>
  </si>
  <si>
    <t>SGOL</t>
  </si>
  <si>
    <t>+1.00 (0.84%)</t>
  </si>
  <si>
    <t>OUNZ</t>
  </si>
  <si>
    <t>+0.10 (0.83%)</t>
  </si>
  <si>
    <t>.DJI</t>
  </si>
  <si>
    <t>-14.51 (-0.07%)</t>
  </si>
  <si>
    <t>DJITR</t>
  </si>
  <si>
    <t>-30.48 (-0.07%)</t>
  </si>
  <si>
    <t>1 gram to troy oz</t>
  </si>
  <si>
    <t>Midrange</t>
  </si>
</sst>
</file>

<file path=xl/styles.xml><?xml version="1.0" encoding="utf-8"?>
<styleSheet xmlns="http://schemas.openxmlformats.org/spreadsheetml/2006/main">
  <numFmts count="51">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000"/>
    <numFmt numFmtId="166" formatCode="#,##0.0000"/>
    <numFmt numFmtId="167" formatCode="&quot;$&quot;#,##0.00"/>
    <numFmt numFmtId="168" formatCode="&quot;$&quot;#,##0.0000"/>
    <numFmt numFmtId="169" formatCode="#,##0.00000"/>
    <numFmt numFmtId="171" formatCode="0.000000000000000%"/>
    <numFmt numFmtId="172" formatCode="&quot;$&quot;#,##0.000"/>
    <numFmt numFmtId="173" formatCode="&quot;$&quot;#,##0"/>
    <numFmt numFmtId="174" formatCode="&quot;$&quot;#,##0.000000"/>
    <numFmt numFmtId="175" formatCode="0.000%"/>
    <numFmt numFmtId="176" formatCode="#,##0.000000"/>
    <numFmt numFmtId="177" formatCode="0.0000%"/>
    <numFmt numFmtId="178" formatCode="0.000000%"/>
    <numFmt numFmtId="179" formatCode="&quot;$&quot;#,##0.00000000"/>
    <numFmt numFmtId="180" formatCode="0.0000000000%"/>
    <numFmt numFmtId="181" formatCode="0.00000000000000"/>
    <numFmt numFmtId="182" formatCode="#,##0.00000000"/>
    <numFmt numFmtId="183" formatCode="&quot;$&quot;#,##0.000_);[Red]\(&quot;$&quot;#,##0.000\)"/>
    <numFmt numFmtId="184" formatCode="#,##0.000"/>
    <numFmt numFmtId="185" formatCode="#,##0.00000000000"/>
    <numFmt numFmtId="186" formatCode="0.000000"/>
    <numFmt numFmtId="188" formatCode="0.000000000000000000"/>
    <numFmt numFmtId="189" formatCode="&quot;$&quot;#,##0.00000"/>
    <numFmt numFmtId="191" formatCode="&quot;$&quot;#,##0.0000_);[Red]\(&quot;$&quot;#,##0.0000\)"/>
    <numFmt numFmtId="193" formatCode="#,##0.0000_);\(#,##0.0000\)"/>
    <numFmt numFmtId="194" formatCode="0.0000000000000%"/>
    <numFmt numFmtId="195" formatCode="&quot;$&quot;#,##0.00000_);[Red]\(&quot;$&quot;#,##0.00000\)"/>
    <numFmt numFmtId="196" formatCode="0.0000000000"/>
    <numFmt numFmtId="197" formatCode="#,##0.000000_);\(#,##0.000000\)"/>
    <numFmt numFmtId="198" formatCode="#,##0.000000000_);[Red]\(#,##0.000000000\)"/>
    <numFmt numFmtId="199" formatCode="_(&quot;$&quot;* #,##0.0000000000_);_(&quot;$&quot;* \(#,##0.0000000000\);_(&quot;$&quot;* &quot;-&quot;??_);_(@_)"/>
    <numFmt numFmtId="200" formatCode="0.00000000000000%"/>
    <numFmt numFmtId="201" formatCode="0.000000000000000000%"/>
    <numFmt numFmtId="202" formatCode="0.00000%"/>
    <numFmt numFmtId="203" formatCode="&quot;$&quot;#,##0.000000000"/>
    <numFmt numFmtId="204" formatCode="_(&quot;$&quot;* #,##0.000000000_);_(&quot;$&quot;* \(#,##0.000000000\);_(&quot;$&quot;* &quot;-&quot;??_);_(@_)"/>
    <numFmt numFmtId="205" formatCode="#,##0.000_);[Red]\(#,##0.000\)"/>
    <numFmt numFmtId="206" formatCode="_(&quot;$&quot;* #,##0.0000_);_(&quot;$&quot;* \(#,##0.0000\);_(&quot;$&quot;* &quot;-&quot;??_);_(@_)"/>
    <numFmt numFmtId="207" formatCode="0.00000000%"/>
    <numFmt numFmtId="208" formatCode="0.0000000%"/>
    <numFmt numFmtId="210" formatCode="#,##0.00000000000000"/>
    <numFmt numFmtId="211" formatCode="0.00000000000%"/>
    <numFmt numFmtId="214" formatCode="0.0000000"/>
    <numFmt numFmtId="215" formatCode="_(&quot;$&quot;* #,##0.000000_);_(&quot;$&quot;* \(#,##0.000000\);_(&quot;$&quot;* &quot;-&quot;??_);_(@_)"/>
    <numFmt numFmtId="216" formatCode="0.000000000%"/>
  </numFmts>
  <fonts count="18">
    <font>
      <sz val="10"/>
      <name val="Arial"/>
    </font>
    <font>
      <sz val="10"/>
      <name val="Arial"/>
      <family val="2"/>
    </font>
    <font>
      <b/>
      <sz val="8"/>
      <color indexed="81"/>
      <name val="Tahoma"/>
      <family val="2"/>
    </font>
    <font>
      <b/>
      <sz val="10"/>
      <name val="Arial"/>
      <family val="2"/>
    </font>
    <font>
      <b/>
      <sz val="10"/>
      <name val="Times New Roman"/>
      <family val="1"/>
    </font>
    <font>
      <sz val="10"/>
      <name val="Times New Roman"/>
      <family val="1"/>
    </font>
    <font>
      <sz val="10"/>
      <color indexed="8"/>
      <name val="Times New Roman"/>
      <family val="1"/>
    </font>
    <font>
      <i/>
      <sz val="10"/>
      <name val="Times New Roman"/>
      <family val="1"/>
    </font>
    <font>
      <sz val="12"/>
      <name val="Times New Roman"/>
      <family val="1"/>
    </font>
    <font>
      <b/>
      <sz val="12"/>
      <name val="Times New Roman"/>
      <family val="1"/>
    </font>
    <font>
      <i/>
      <sz val="12"/>
      <name val="Times New Roman"/>
      <family val="1"/>
    </font>
    <font>
      <u/>
      <sz val="10"/>
      <color theme="10"/>
      <name val="Arial"/>
      <family val="2"/>
    </font>
    <font>
      <sz val="10"/>
      <color theme="1"/>
      <name val="Arial"/>
      <family val="2"/>
    </font>
    <font>
      <sz val="10"/>
      <color theme="1"/>
      <name val="Times New Roman"/>
      <family val="1"/>
    </font>
    <font>
      <b/>
      <sz val="10"/>
      <color rgb="FFFF0000"/>
      <name val="Times New Roman"/>
      <family val="1"/>
    </font>
    <font>
      <sz val="10"/>
      <name val="Arial"/>
      <family val="2"/>
    </font>
    <font>
      <b/>
      <sz val="9"/>
      <color indexed="81"/>
      <name val="Tahoma"/>
      <family val="2"/>
    </font>
    <font>
      <i/>
      <sz val="10"/>
      <name val="Arial"/>
      <family val="2"/>
    </font>
  </fonts>
  <fills count="29">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B050"/>
        <bgColor indexed="64"/>
      </patternFill>
    </fill>
    <fill>
      <patternFill patternType="solid">
        <fgColor rgb="FF00FF00"/>
        <bgColor indexed="64"/>
      </patternFill>
    </fill>
    <fill>
      <patternFill patternType="solid">
        <fgColor rgb="FF92D05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79998168889431442"/>
        <bgColor indexed="64"/>
      </patternFill>
    </fill>
  </fills>
  <borders count="4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s>
  <cellStyleXfs count="6">
    <xf numFmtId="0" fontId="0" fillId="0" borderId="0"/>
    <xf numFmtId="4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43" fontId="15" fillId="0" borderId="0" applyFont="0" applyFill="0" applyBorder="0" applyAlignment="0" applyProtection="0"/>
  </cellStyleXfs>
  <cellXfs count="1482">
    <xf numFmtId="0" fontId="0" fillId="0" borderId="0" xfId="0"/>
    <xf numFmtId="0" fontId="1" fillId="0" borderId="0" xfId="0" applyFont="1" applyAlignment="1">
      <alignment horizontal="center" vertical="center"/>
    </xf>
    <xf numFmtId="0" fontId="1" fillId="0" borderId="0" xfId="0" applyFont="1" applyFill="1" applyAlignment="1">
      <alignment horizontal="center" vertical="center"/>
    </xf>
    <xf numFmtId="2" fontId="1"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pplyFill="1" applyAlignment="1">
      <alignment horizontal="center" vertical="center"/>
    </xf>
    <xf numFmtId="14"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4" fontId="5" fillId="0" borderId="0" xfId="0" applyNumberFormat="1" applyFont="1" applyFill="1" applyBorder="1" applyAlignment="1">
      <alignment horizontal="center" vertical="center"/>
    </xf>
    <xf numFmtId="4" fontId="5" fillId="0" borderId="0" xfId="0" applyNumberFormat="1" applyFont="1" applyBorder="1" applyAlignment="1">
      <alignment horizontal="center" vertical="center"/>
    </xf>
    <xf numFmtId="0" fontId="5" fillId="0" borderId="0" xfId="0" applyFont="1" applyFill="1" applyBorder="1" applyAlignment="1">
      <alignment horizontal="center" vertical="center"/>
    </xf>
    <xf numFmtId="3" fontId="5" fillId="0" borderId="0" xfId="0" applyNumberFormat="1" applyFont="1" applyBorder="1" applyAlignment="1">
      <alignment horizontal="center" vertical="center"/>
    </xf>
    <xf numFmtId="3" fontId="5" fillId="0" borderId="0" xfId="0" applyNumberFormat="1" applyFont="1" applyFill="1" applyBorder="1" applyAlignment="1">
      <alignment horizontal="center" vertical="center"/>
    </xf>
    <xf numFmtId="4" fontId="4" fillId="0" borderId="0" xfId="0" applyNumberFormat="1" applyFont="1" applyBorder="1" applyAlignment="1">
      <alignment horizontal="center" vertical="center"/>
    </xf>
    <xf numFmtId="10" fontId="5" fillId="0" borderId="0" xfId="0" applyNumberFormat="1" applyFont="1" applyBorder="1" applyAlignment="1">
      <alignment horizontal="center" vertical="center"/>
    </xf>
    <xf numFmtId="2" fontId="5" fillId="0" borderId="0" xfId="0" applyNumberFormat="1" applyFont="1" applyBorder="1" applyAlignment="1">
      <alignment horizontal="center" vertical="center"/>
    </xf>
    <xf numFmtId="166" fontId="13" fillId="0" borderId="0" xfId="0" applyNumberFormat="1" applyFont="1" applyFill="1" applyBorder="1" applyAlignment="1">
      <alignment horizontal="center" vertical="center"/>
    </xf>
    <xf numFmtId="10" fontId="4" fillId="0" borderId="0" xfId="0" applyNumberFormat="1" applyFont="1" applyBorder="1" applyAlignment="1">
      <alignment horizontal="center" vertical="center"/>
    </xf>
    <xf numFmtId="167" fontId="5" fillId="0" borderId="0" xfId="0" applyNumberFormat="1" applyFont="1" applyBorder="1" applyAlignment="1">
      <alignment horizontal="center" vertical="center"/>
    </xf>
    <xf numFmtId="167" fontId="5" fillId="0" borderId="0" xfId="0" applyNumberFormat="1" applyFont="1" applyFill="1" applyBorder="1" applyAlignment="1">
      <alignment horizontal="center" vertical="center"/>
    </xf>
    <xf numFmtId="167" fontId="4" fillId="0" borderId="0"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horizontal="center"/>
    </xf>
    <xf numFmtId="3" fontId="4" fillId="0" borderId="0" xfId="0" applyNumberFormat="1" applyFont="1" applyBorder="1" applyAlignment="1">
      <alignment horizontal="center" vertical="center"/>
    </xf>
    <xf numFmtId="167" fontId="4" fillId="0" borderId="0" xfId="0" applyNumberFormat="1" applyFont="1" applyFill="1" applyBorder="1" applyAlignment="1">
      <alignment horizontal="center" vertical="center"/>
    </xf>
    <xf numFmtId="8" fontId="5" fillId="0" borderId="0" xfId="0" applyNumberFormat="1" applyFont="1" applyBorder="1" applyAlignment="1">
      <alignment horizontal="center" vertical="center"/>
    </xf>
    <xf numFmtId="10" fontId="5" fillId="0" borderId="0" xfId="0" applyNumberFormat="1" applyFont="1" applyFill="1" applyBorder="1" applyAlignment="1">
      <alignment horizontal="center" vertical="center"/>
    </xf>
    <xf numFmtId="0" fontId="1" fillId="0" borderId="0" xfId="0" applyFont="1"/>
    <xf numFmtId="168" fontId="5" fillId="0" borderId="0" xfId="0" applyNumberFormat="1" applyFont="1" applyFill="1" applyBorder="1" applyAlignment="1">
      <alignment horizontal="center" vertical="center"/>
    </xf>
    <xf numFmtId="167" fontId="5" fillId="2" borderId="0" xfId="0" applyNumberFormat="1" applyFont="1" applyFill="1" applyBorder="1" applyAlignment="1">
      <alignment horizontal="center" vertical="center"/>
    </xf>
    <xf numFmtId="168" fontId="5" fillId="2" borderId="0" xfId="0" applyNumberFormat="1" applyFont="1" applyFill="1" applyBorder="1" applyAlignment="1">
      <alignment horizontal="center" vertical="center"/>
    </xf>
    <xf numFmtId="0" fontId="5" fillId="3" borderId="0" xfId="0" applyFont="1" applyFill="1" applyBorder="1" applyAlignment="1">
      <alignment horizontal="center" vertical="center"/>
    </xf>
    <xf numFmtId="167" fontId="5" fillId="3" borderId="0" xfId="0" applyNumberFormat="1" applyFont="1" applyFill="1" applyBorder="1" applyAlignment="1">
      <alignment horizontal="center" vertical="center"/>
    </xf>
    <xf numFmtId="167" fontId="4" fillId="3" borderId="0" xfId="0" applyNumberFormat="1" applyFont="1" applyFill="1" applyBorder="1" applyAlignment="1">
      <alignment horizontal="center" vertical="center"/>
    </xf>
    <xf numFmtId="3" fontId="5" fillId="3" borderId="0" xfId="0" applyNumberFormat="1" applyFont="1" applyFill="1" applyBorder="1" applyAlignment="1">
      <alignment horizontal="center" vertical="center"/>
    </xf>
    <xf numFmtId="10" fontId="5" fillId="3" borderId="0" xfId="0" applyNumberFormat="1" applyFont="1" applyFill="1" applyBorder="1" applyAlignment="1">
      <alignment horizontal="center" vertical="center"/>
    </xf>
    <xf numFmtId="167" fontId="1" fillId="0" borderId="0" xfId="0" applyNumberFormat="1" applyFont="1" applyAlignment="1">
      <alignment horizontal="center" vertical="center"/>
    </xf>
    <xf numFmtId="0" fontId="0" fillId="0" borderId="0" xfId="0" applyAlignment="1">
      <alignment horizontal="center" vertical="center"/>
    </xf>
    <xf numFmtId="167" fontId="0" fillId="0" borderId="0" xfId="0" applyNumberFormat="1" applyAlignment="1">
      <alignment horizontal="center" vertical="center"/>
    </xf>
    <xf numFmtId="10" fontId="0" fillId="0" borderId="0" xfId="0" applyNumberFormat="1" applyAlignment="1">
      <alignment horizontal="center" vertical="center"/>
    </xf>
    <xf numFmtId="167" fontId="3" fillId="0" borderId="0" xfId="0" applyNumberFormat="1" applyFont="1" applyAlignment="1">
      <alignment horizontal="center" vertical="center"/>
    </xf>
    <xf numFmtId="0" fontId="3" fillId="0" borderId="0" xfId="0" applyFont="1" applyAlignment="1">
      <alignment horizontal="center" vertical="center"/>
    </xf>
    <xf numFmtId="3" fontId="0" fillId="0" borderId="0" xfId="0" applyNumberFormat="1" applyAlignment="1">
      <alignment horizontal="center" vertical="center"/>
    </xf>
    <xf numFmtId="167" fontId="0" fillId="2" borderId="0" xfId="0" applyNumberFormat="1" applyFill="1" applyAlignment="1">
      <alignment horizontal="center" vertical="center"/>
    </xf>
    <xf numFmtId="168" fontId="5" fillId="0" borderId="0" xfId="0" applyNumberFormat="1" applyFont="1" applyBorder="1" applyAlignment="1">
      <alignment horizontal="center" vertical="center"/>
    </xf>
    <xf numFmtId="14" fontId="5" fillId="0" borderId="0" xfId="0" applyNumberFormat="1" applyFont="1" applyBorder="1" applyAlignment="1">
      <alignment horizontal="center" vertical="center"/>
    </xf>
    <xf numFmtId="0" fontId="5" fillId="4" borderId="0" xfId="0" applyFont="1" applyFill="1" applyBorder="1" applyAlignment="1">
      <alignment horizontal="center" vertical="center"/>
    </xf>
    <xf numFmtId="3" fontId="5" fillId="4" borderId="0" xfId="0" applyNumberFormat="1" applyFont="1" applyFill="1" applyBorder="1" applyAlignment="1">
      <alignment horizontal="center" vertical="center"/>
    </xf>
    <xf numFmtId="167" fontId="5" fillId="4" borderId="0"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center" vertical="center"/>
    </xf>
    <xf numFmtId="14" fontId="1" fillId="0" borderId="0" xfId="0" applyNumberFormat="1" applyFont="1" applyAlignment="1">
      <alignment horizontal="center" vertical="center"/>
    </xf>
    <xf numFmtId="180" fontId="5" fillId="0" borderId="0" xfId="0" applyNumberFormat="1" applyFont="1" applyFill="1" applyBorder="1" applyAlignment="1">
      <alignment horizontal="center" vertical="center"/>
    </xf>
    <xf numFmtId="1" fontId="3" fillId="0" borderId="0" xfId="0" applyNumberFormat="1" applyFont="1" applyAlignment="1">
      <alignment horizontal="center" vertical="center"/>
    </xf>
    <xf numFmtId="1" fontId="0" fillId="0" borderId="0" xfId="0" applyNumberFormat="1" applyAlignment="1">
      <alignment horizontal="center" vertical="center"/>
    </xf>
    <xf numFmtId="6" fontId="1" fillId="0" borderId="0" xfId="0" applyNumberFormat="1" applyFont="1" applyAlignment="1">
      <alignment horizontal="center" vertical="center"/>
    </xf>
    <xf numFmtId="38" fontId="1" fillId="0" borderId="0" xfId="0" applyNumberFormat="1" applyFont="1" applyAlignment="1">
      <alignment horizontal="center" vertical="center"/>
    </xf>
    <xf numFmtId="1" fontId="1" fillId="0" borderId="0" xfId="0" applyNumberFormat="1" applyFont="1" applyAlignment="1">
      <alignment horizontal="center" vertical="center"/>
    </xf>
    <xf numFmtId="178" fontId="0" fillId="0" borderId="0" xfId="0" applyNumberFormat="1" applyAlignment="1">
      <alignment horizontal="center" vertical="center"/>
    </xf>
    <xf numFmtId="0" fontId="3" fillId="5" borderId="0" xfId="0" applyFont="1" applyFill="1" applyAlignment="1">
      <alignment horizontal="center" vertical="center"/>
    </xf>
    <xf numFmtId="167" fontId="3" fillId="5" borderId="0" xfId="0" applyNumberFormat="1" applyFont="1" applyFill="1" applyAlignment="1">
      <alignment horizontal="center" vertical="center"/>
    </xf>
    <xf numFmtId="1" fontId="5" fillId="0" borderId="0"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0" fontId="0" fillId="0" borderId="0" xfId="0" applyFill="1" applyAlignment="1">
      <alignment horizontal="left" vertical="center"/>
    </xf>
    <xf numFmtId="10" fontId="4" fillId="0" borderId="0" xfId="0" applyNumberFormat="1" applyFont="1" applyFill="1" applyBorder="1" applyAlignment="1">
      <alignment horizontal="center" vertical="center"/>
    </xf>
    <xf numFmtId="0" fontId="0" fillId="0" borderId="0" xfId="0" applyFill="1" applyAlignment="1">
      <alignment horizontal="center" vertical="center"/>
    </xf>
    <xf numFmtId="167" fontId="0" fillId="6" borderId="0" xfId="0" applyNumberFormat="1" applyFill="1" applyAlignment="1">
      <alignment horizontal="center" vertical="center"/>
    </xf>
    <xf numFmtId="0" fontId="5" fillId="6" borderId="0" xfId="0" applyFont="1" applyFill="1" applyBorder="1" applyAlignment="1">
      <alignment horizontal="left" vertical="center"/>
    </xf>
    <xf numFmtId="0" fontId="4" fillId="6" borderId="0" xfId="0" applyFont="1" applyFill="1" applyBorder="1" applyAlignment="1">
      <alignment horizontal="center" vertical="center"/>
    </xf>
    <xf numFmtId="8" fontId="0" fillId="0" borderId="0" xfId="0" applyNumberFormat="1" applyAlignment="1">
      <alignment horizontal="center" vertical="center"/>
    </xf>
    <xf numFmtId="9" fontId="5" fillId="0" borderId="0" xfId="0" applyNumberFormat="1" applyFont="1" applyBorder="1" applyAlignment="1">
      <alignment horizontal="center" vertical="center"/>
    </xf>
    <xf numFmtId="167" fontId="3" fillId="5" borderId="1" xfId="0" applyNumberFormat="1" applyFont="1" applyFill="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167" fontId="0" fillId="2" borderId="3" xfId="0" applyNumberFormat="1" applyFill="1" applyBorder="1" applyAlignment="1">
      <alignment horizontal="center" vertical="center"/>
    </xf>
    <xf numFmtId="0" fontId="1" fillId="0" borderId="0" xfId="0" applyFont="1" applyFill="1" applyBorder="1" applyAlignment="1">
      <alignment horizontal="center" vertical="center"/>
    </xf>
    <xf numFmtId="6" fontId="0" fillId="0" borderId="0" xfId="0" applyNumberFormat="1" applyBorder="1" applyAlignment="1">
      <alignment horizontal="center" vertical="center"/>
    </xf>
    <xf numFmtId="1" fontId="0" fillId="0" borderId="0" xfId="0" applyNumberFormat="1" applyBorder="1" applyAlignment="1">
      <alignment horizontal="center" vertical="center"/>
    </xf>
    <xf numFmtId="167" fontId="0" fillId="0" borderId="4" xfId="0" applyNumberFormat="1" applyBorder="1" applyAlignment="1">
      <alignment horizontal="center" vertical="center"/>
    </xf>
    <xf numFmtId="167" fontId="0" fillId="0" borderId="3" xfId="0" applyNumberFormat="1" applyFill="1" applyBorder="1" applyAlignment="1">
      <alignment horizontal="center" vertical="center"/>
    </xf>
    <xf numFmtId="167" fontId="0" fillId="0" borderId="5" xfId="0" applyNumberFormat="1" applyFill="1" applyBorder="1" applyAlignment="1">
      <alignment horizontal="center" vertical="center"/>
    </xf>
    <xf numFmtId="0" fontId="1" fillId="0" borderId="7" xfId="0" applyFont="1" applyBorder="1" applyAlignment="1">
      <alignment horizontal="center" vertical="center"/>
    </xf>
    <xf numFmtId="6" fontId="0" fillId="0" borderId="7" xfId="0" applyNumberFormat="1" applyBorder="1" applyAlignment="1">
      <alignment horizontal="center" vertical="center"/>
    </xf>
    <xf numFmtId="1" fontId="0" fillId="0" borderId="7" xfId="0" applyNumberFormat="1" applyBorder="1" applyAlignment="1">
      <alignment horizontal="center" vertical="center"/>
    </xf>
    <xf numFmtId="167" fontId="0" fillId="0" borderId="8" xfId="0" applyNumberFormat="1"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1" fontId="0" fillId="0" borderId="3" xfId="0" applyNumberFormat="1" applyBorder="1" applyAlignment="1">
      <alignment horizontal="center" vertical="center"/>
    </xf>
    <xf numFmtId="167" fontId="3" fillId="0" borderId="0" xfId="0" applyNumberFormat="1" applyFont="1" applyBorder="1" applyAlignment="1">
      <alignment horizontal="center" vertical="center"/>
    </xf>
    <xf numFmtId="167" fontId="3" fillId="0" borderId="4" xfId="0" applyNumberFormat="1" applyFont="1" applyBorder="1" applyAlignment="1">
      <alignment horizontal="center" vertical="center"/>
    </xf>
    <xf numFmtId="167" fontId="1" fillId="0" borderId="3" xfId="0" applyNumberFormat="1" applyFont="1" applyBorder="1" applyAlignment="1">
      <alignment horizontal="center" vertical="center"/>
    </xf>
    <xf numFmtId="167" fontId="0" fillId="0" borderId="0" xfId="0" applyNumberFormat="1" applyBorder="1" applyAlignment="1">
      <alignment horizontal="center" vertical="center"/>
    </xf>
    <xf numFmtId="10" fontId="0" fillId="0" borderId="0" xfId="0" applyNumberFormat="1" applyBorder="1" applyAlignment="1">
      <alignment horizontal="center" vertical="center"/>
    </xf>
    <xf numFmtId="10" fontId="0" fillId="0" borderId="4" xfId="0" applyNumberFormat="1" applyBorder="1" applyAlignment="1">
      <alignment horizontal="center" vertical="center"/>
    </xf>
    <xf numFmtId="167" fontId="0" fillId="0" borderId="3" xfId="0" applyNumberFormat="1" applyBorder="1" applyAlignment="1">
      <alignment horizontal="center" vertical="center"/>
    </xf>
    <xf numFmtId="167" fontId="1" fillId="0" borderId="0" xfId="0" applyNumberFormat="1" applyFont="1" applyBorder="1" applyAlignment="1">
      <alignment horizontal="left" vertical="center"/>
    </xf>
    <xf numFmtId="0" fontId="0" fillId="0" borderId="5" xfId="0" applyBorder="1" applyAlignment="1">
      <alignment horizontal="center" vertical="center"/>
    </xf>
    <xf numFmtId="167" fontId="0" fillId="0" borderId="7" xfId="0" applyNumberFormat="1" applyBorder="1" applyAlignment="1">
      <alignment horizontal="center" vertical="center"/>
    </xf>
    <xf numFmtId="167" fontId="1" fillId="0" borderId="7" xfId="0" applyNumberFormat="1" applyFont="1" applyBorder="1" applyAlignment="1">
      <alignment horizontal="left" vertical="center"/>
    </xf>
    <xf numFmtId="0" fontId="0" fillId="2" borderId="0" xfId="0" applyFill="1" applyBorder="1" applyAlignment="1">
      <alignment horizontal="center" vertical="center"/>
    </xf>
    <xf numFmtId="0" fontId="3" fillId="0" borderId="1" xfId="0" applyFont="1" applyBorder="1" applyAlignment="1">
      <alignment horizontal="left" vertical="center"/>
    </xf>
    <xf numFmtId="167" fontId="0" fillId="0" borderId="2" xfId="0" applyNumberFormat="1" applyBorder="1" applyAlignment="1">
      <alignment horizontal="center" vertical="center"/>
    </xf>
    <xf numFmtId="167" fontId="1" fillId="0" borderId="3" xfId="0" applyNumberFormat="1" applyFont="1" applyBorder="1" applyAlignment="1">
      <alignment horizontal="left" vertical="center"/>
    </xf>
    <xf numFmtId="10" fontId="0" fillId="2" borderId="4" xfId="0" applyNumberFormat="1" applyFill="1" applyBorder="1" applyAlignment="1">
      <alignment horizontal="center" vertical="center"/>
    </xf>
    <xf numFmtId="167" fontId="1" fillId="0" borderId="5" xfId="0" applyNumberFormat="1" applyFont="1" applyBorder="1" applyAlignment="1">
      <alignment horizontal="left" vertical="center"/>
    </xf>
    <xf numFmtId="10" fontId="1" fillId="0" borderId="8" xfId="0" applyNumberFormat="1" applyFont="1" applyBorder="1" applyAlignment="1">
      <alignment horizontal="center" vertical="center"/>
    </xf>
    <xf numFmtId="0" fontId="0" fillId="0" borderId="6" xfId="0" applyBorder="1" applyAlignment="1">
      <alignment horizontal="left" vertical="center"/>
    </xf>
    <xf numFmtId="0" fontId="0" fillId="0" borderId="2" xfId="0" applyBorder="1" applyAlignment="1">
      <alignment horizontal="left" vertical="center"/>
    </xf>
    <xf numFmtId="0" fontId="1" fillId="0" borderId="3" xfId="0" applyFont="1" applyBorder="1" applyAlignment="1">
      <alignment horizontal="left" vertical="center"/>
    </xf>
    <xf numFmtId="0" fontId="0" fillId="0" borderId="0" xfId="0" applyBorder="1" applyAlignment="1">
      <alignment horizontal="left" vertical="center"/>
    </xf>
    <xf numFmtId="0" fontId="0" fillId="0" borderId="4" xfId="0" applyBorder="1" applyAlignment="1">
      <alignment horizontal="left" vertical="center"/>
    </xf>
    <xf numFmtId="0" fontId="1" fillId="0" borderId="0" xfId="0" applyFont="1" applyBorder="1" applyAlignment="1">
      <alignment horizontal="left" vertical="center"/>
    </xf>
    <xf numFmtId="0" fontId="1" fillId="0" borderId="4" xfId="0" applyFont="1" applyBorder="1" applyAlignment="1">
      <alignment horizontal="left" vertical="center"/>
    </xf>
    <xf numFmtId="173" fontId="0" fillId="0" borderId="0" xfId="0" applyNumberFormat="1" applyFill="1" applyBorder="1" applyAlignment="1">
      <alignment horizontal="center" vertical="center"/>
    </xf>
    <xf numFmtId="167" fontId="1" fillId="0" borderId="4" xfId="0" applyNumberFormat="1" applyFont="1" applyBorder="1" applyAlignment="1">
      <alignment horizontal="left" vertical="center"/>
    </xf>
    <xf numFmtId="174" fontId="0" fillId="0" borderId="0" xfId="0" applyNumberFormat="1" applyFill="1" applyBorder="1" applyAlignment="1">
      <alignment horizontal="center" vertical="center"/>
    </xf>
    <xf numFmtId="174" fontId="0" fillId="0" borderId="0" xfId="0" applyNumberFormat="1" applyBorder="1" applyAlignment="1">
      <alignment horizontal="center" vertical="center"/>
    </xf>
    <xf numFmtId="167" fontId="0" fillId="0" borderId="0" xfId="0" applyNumberFormat="1" applyBorder="1" applyAlignment="1">
      <alignment horizontal="left" vertical="center"/>
    </xf>
    <xf numFmtId="178" fontId="0" fillId="0" borderId="0" xfId="0" applyNumberFormat="1" applyBorder="1" applyAlignment="1">
      <alignment horizontal="center" vertical="center"/>
    </xf>
    <xf numFmtId="178" fontId="0" fillId="0" borderId="0" xfId="0" applyNumberFormat="1" applyBorder="1" applyAlignment="1">
      <alignment horizontal="left" vertical="center"/>
    </xf>
    <xf numFmtId="178" fontId="0" fillId="0" borderId="4" xfId="0" applyNumberFormat="1" applyBorder="1" applyAlignment="1">
      <alignment horizontal="left" vertical="center"/>
    </xf>
    <xf numFmtId="178" fontId="1" fillId="0" borderId="0" xfId="0" applyNumberFormat="1" applyFont="1" applyBorder="1" applyAlignment="1">
      <alignment horizontal="left" vertical="center"/>
    </xf>
    <xf numFmtId="1" fontId="1" fillId="0" borderId="3" xfId="0" applyNumberFormat="1" applyFont="1" applyBorder="1" applyAlignment="1">
      <alignment horizontal="left" vertical="center"/>
    </xf>
    <xf numFmtId="178" fontId="1" fillId="0" borderId="0" xfId="0" applyNumberFormat="1" applyFont="1" applyBorder="1" applyAlignment="1">
      <alignment horizontal="center" vertical="center"/>
    </xf>
    <xf numFmtId="1" fontId="0" fillId="0" borderId="0" xfId="0" applyNumberFormat="1" applyBorder="1" applyAlignment="1">
      <alignment horizontal="left" vertical="center"/>
    </xf>
    <xf numFmtId="1" fontId="0" fillId="0" borderId="4" xfId="0" applyNumberFormat="1" applyBorder="1" applyAlignment="1">
      <alignment horizontal="left" vertical="center"/>
    </xf>
    <xf numFmtId="1" fontId="1" fillId="0" borderId="0" xfId="0" applyNumberFormat="1" applyFont="1" applyBorder="1" applyAlignment="1">
      <alignment horizontal="left" vertical="center"/>
    </xf>
    <xf numFmtId="167" fontId="0" fillId="0" borderId="3" xfId="0" applyNumberFormat="1" applyBorder="1" applyAlignment="1">
      <alignment horizontal="left" vertical="center"/>
    </xf>
    <xf numFmtId="0" fontId="3" fillId="0" borderId="3" xfId="0" applyFont="1" applyBorder="1" applyAlignment="1">
      <alignment horizontal="left" vertical="center"/>
    </xf>
    <xf numFmtId="174" fontId="0" fillId="0" borderId="0" xfId="0" applyNumberFormat="1" applyBorder="1" applyAlignment="1">
      <alignment horizontal="left" vertical="center"/>
    </xf>
    <xf numFmtId="0" fontId="3" fillId="0" borderId="3" xfId="0" applyFont="1" applyBorder="1" applyAlignment="1">
      <alignment horizontal="center" vertical="center"/>
    </xf>
    <xf numFmtId="0" fontId="3" fillId="0" borderId="0" xfId="0" applyFont="1" applyBorder="1" applyAlignment="1">
      <alignment horizontal="center" vertical="center"/>
    </xf>
    <xf numFmtId="173" fontId="0" fillId="0" borderId="3" xfId="0" applyNumberFormat="1" applyBorder="1" applyAlignment="1">
      <alignment horizontal="center" vertical="center"/>
    </xf>
    <xf numFmtId="178" fontId="0" fillId="0" borderId="4" xfId="0" applyNumberFormat="1" applyBorder="1" applyAlignment="1">
      <alignment horizontal="center" vertical="center"/>
    </xf>
    <xf numFmtId="173" fontId="0" fillId="0" borderId="5" xfId="0" applyNumberFormat="1" applyBorder="1" applyAlignment="1">
      <alignment horizontal="center" vertical="center"/>
    </xf>
    <xf numFmtId="174" fontId="0" fillId="0" borderId="7" xfId="0" applyNumberFormat="1" applyBorder="1" applyAlignment="1">
      <alignment horizontal="center" vertical="center"/>
    </xf>
    <xf numFmtId="0" fontId="0" fillId="0" borderId="7" xfId="0" applyBorder="1" applyAlignment="1">
      <alignment horizontal="center" vertical="center"/>
    </xf>
    <xf numFmtId="178" fontId="0" fillId="0" borderId="8" xfId="0" applyNumberFormat="1" applyBorder="1" applyAlignment="1">
      <alignment horizontal="center" vertical="center"/>
    </xf>
    <xf numFmtId="14" fontId="0" fillId="0" borderId="0" xfId="0" applyNumberFormat="1" applyAlignment="1">
      <alignment horizontal="left" vertical="center"/>
    </xf>
    <xf numFmtId="8" fontId="0" fillId="0" borderId="0" xfId="0" applyNumberFormat="1" applyAlignment="1">
      <alignment horizontal="left" vertical="center"/>
    </xf>
    <xf numFmtId="167" fontId="0" fillId="0" borderId="0" xfId="0" applyNumberFormat="1" applyFill="1" applyBorder="1" applyAlignment="1">
      <alignment horizontal="center" vertical="center"/>
    </xf>
    <xf numFmtId="10" fontId="0" fillId="0" borderId="0" xfId="0" applyNumberFormat="1" applyFill="1" applyBorder="1" applyAlignment="1">
      <alignment horizontal="center" vertical="center"/>
    </xf>
    <xf numFmtId="10" fontId="1" fillId="0" borderId="0" xfId="0" applyNumberFormat="1" applyFont="1" applyFill="1" applyBorder="1" applyAlignment="1">
      <alignment horizontal="center" vertical="center"/>
    </xf>
    <xf numFmtId="168" fontId="1" fillId="0" borderId="0" xfId="0" applyNumberFormat="1" applyFont="1" applyAlignment="1">
      <alignment horizontal="center" vertical="center"/>
    </xf>
    <xf numFmtId="167" fontId="1" fillId="0" borderId="0" xfId="0" applyNumberFormat="1"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67" fontId="3" fillId="0" borderId="7" xfId="0" applyNumberFormat="1" applyFont="1" applyBorder="1" applyAlignment="1">
      <alignment horizontal="center" vertical="center"/>
    </xf>
    <xf numFmtId="167" fontId="0" fillId="0" borderId="0" xfId="0" applyNumberFormat="1" applyAlignment="1">
      <alignment horizontal="left" vertical="center"/>
    </xf>
    <xf numFmtId="2" fontId="0" fillId="0" borderId="0" xfId="0" applyNumberFormat="1" applyAlignment="1">
      <alignment horizontal="center" vertical="center"/>
    </xf>
    <xf numFmtId="2" fontId="3" fillId="0" borderId="0" xfId="0" applyNumberFormat="1" applyFont="1" applyAlignment="1">
      <alignment horizontal="center" vertical="center"/>
    </xf>
    <xf numFmtId="177" fontId="5" fillId="0" borderId="0" xfId="0" applyNumberFormat="1" applyFont="1" applyFill="1" applyBorder="1" applyAlignment="1">
      <alignment horizontal="center" vertical="center"/>
    </xf>
    <xf numFmtId="0" fontId="3" fillId="0" borderId="4" xfId="0" applyFont="1" applyBorder="1" applyAlignment="1">
      <alignment horizontal="center" vertical="center"/>
    </xf>
    <xf numFmtId="0" fontId="1" fillId="0" borderId="0" xfId="0" applyFont="1" applyAlignment="1">
      <alignment wrapText="1"/>
    </xf>
    <xf numFmtId="182" fontId="5" fillId="0" borderId="0" xfId="0" applyNumberFormat="1" applyFont="1" applyFill="1" applyBorder="1" applyAlignment="1">
      <alignment horizontal="center" vertical="center"/>
    </xf>
    <xf numFmtId="175" fontId="0" fillId="0" borderId="0" xfId="0" applyNumberFormat="1" applyAlignment="1">
      <alignment horizontal="center" vertical="center"/>
    </xf>
    <xf numFmtId="175" fontId="3" fillId="0" borderId="0" xfId="0" applyNumberFormat="1" applyFont="1" applyAlignment="1">
      <alignment horizontal="center" vertical="center"/>
    </xf>
    <xf numFmtId="175" fontId="0" fillId="0" borderId="0" xfId="0" applyNumberFormat="1" applyAlignment="1">
      <alignment horizontal="left" vertical="center"/>
    </xf>
    <xf numFmtId="183" fontId="0" fillId="0" borderId="0" xfId="0" applyNumberFormat="1" applyAlignment="1">
      <alignment horizontal="center" vertical="center"/>
    </xf>
    <xf numFmtId="172" fontId="3" fillId="0" borderId="0" xfId="0" applyNumberFormat="1" applyFont="1" applyAlignment="1">
      <alignment horizontal="center" vertical="center"/>
    </xf>
    <xf numFmtId="172" fontId="0" fillId="0" borderId="0" xfId="0" applyNumberFormat="1" applyAlignment="1">
      <alignment horizontal="center" vertical="center"/>
    </xf>
    <xf numFmtId="172" fontId="0" fillId="0" borderId="0" xfId="0" applyNumberFormat="1" applyAlignment="1">
      <alignment horizontal="left" vertical="center"/>
    </xf>
    <xf numFmtId="167" fontId="3" fillId="0" borderId="8" xfId="0" applyNumberFormat="1" applyFont="1" applyBorder="1" applyAlignment="1">
      <alignment horizontal="center" vertical="center"/>
    </xf>
    <xf numFmtId="175" fontId="0" fillId="2" borderId="0" xfId="0" applyNumberFormat="1" applyFill="1" applyBorder="1" applyAlignment="1">
      <alignment horizontal="center" vertical="center"/>
    </xf>
    <xf numFmtId="1" fontId="3" fillId="0" borderId="1" xfId="0" applyNumberFormat="1" applyFont="1" applyBorder="1" applyAlignment="1">
      <alignment horizontal="center" vertical="center"/>
    </xf>
    <xf numFmtId="175" fontId="0" fillId="0" borderId="0" xfId="0" applyNumberFormat="1" applyFill="1" applyBorder="1" applyAlignment="1">
      <alignment horizontal="center" vertical="center"/>
    </xf>
    <xf numFmtId="2" fontId="0" fillId="0" borderId="0" xfId="0" applyNumberFormat="1" applyAlignment="1">
      <alignment horizontal="left" vertical="center"/>
    </xf>
    <xf numFmtId="0" fontId="1" fillId="0" borderId="0" xfId="0" applyFont="1" applyBorder="1" applyAlignment="1">
      <alignment horizontal="center" vertical="center"/>
    </xf>
    <xf numFmtId="8" fontId="1" fillId="0" borderId="0" xfId="0" applyNumberFormat="1" applyFont="1" applyAlignment="1">
      <alignment horizontal="center" vertical="center"/>
    </xf>
    <xf numFmtId="166" fontId="5" fillId="0" borderId="0" xfId="0" applyNumberFormat="1" applyFont="1" applyFill="1" applyBorder="1" applyAlignment="1">
      <alignment horizontal="center" vertical="center"/>
    </xf>
    <xf numFmtId="0" fontId="4"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Fill="1" applyBorder="1" applyAlignment="1">
      <alignment horizontal="left" vertical="center"/>
    </xf>
    <xf numFmtId="168" fontId="0" fillId="0" borderId="0" xfId="0" applyNumberFormat="1" applyAlignment="1">
      <alignment horizontal="center" vertical="center"/>
    </xf>
    <xf numFmtId="0" fontId="4" fillId="3" borderId="0" xfId="0" applyFont="1" applyFill="1" applyBorder="1" applyAlignment="1">
      <alignment horizontal="center" vertical="center"/>
    </xf>
    <xf numFmtId="0" fontId="0" fillId="0" borderId="0" xfId="0" applyAlignment="1">
      <alignment wrapText="1"/>
    </xf>
    <xf numFmtId="14" fontId="1" fillId="0" borderId="0" xfId="0" applyNumberFormat="1" applyFont="1" applyAlignment="1">
      <alignment wrapText="1"/>
    </xf>
    <xf numFmtId="8" fontId="1" fillId="0" borderId="0" xfId="0" applyNumberFormat="1" applyFont="1" applyAlignment="1">
      <alignment wrapText="1"/>
    </xf>
    <xf numFmtId="10" fontId="5" fillId="0" borderId="0" xfId="3" applyNumberFormat="1" applyFont="1" applyBorder="1" applyAlignment="1">
      <alignment horizontal="center" vertical="center"/>
    </xf>
    <xf numFmtId="167" fontId="0" fillId="0" borderId="5" xfId="0" applyNumberFormat="1" applyBorder="1" applyAlignment="1">
      <alignment horizontal="center" vertical="center"/>
    </xf>
    <xf numFmtId="167" fontId="5" fillId="0" borderId="3" xfId="0" applyNumberFormat="1" applyFont="1" applyFill="1" applyBorder="1" applyAlignment="1">
      <alignment horizontal="center" vertical="center"/>
    </xf>
    <xf numFmtId="167" fontId="5" fillId="0" borderId="4" xfId="0" applyNumberFormat="1" applyFont="1" applyFill="1" applyBorder="1" applyAlignment="1">
      <alignment horizontal="center" vertical="center"/>
    </xf>
    <xf numFmtId="0" fontId="5" fillId="10" borderId="0" xfId="0" applyFont="1" applyFill="1" applyBorder="1" applyAlignment="1">
      <alignment horizontal="center" vertical="center"/>
    </xf>
    <xf numFmtId="0" fontId="5" fillId="11"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14" borderId="0" xfId="0" applyFont="1" applyFill="1" applyBorder="1" applyAlignment="1">
      <alignment horizontal="center" vertical="center"/>
    </xf>
    <xf numFmtId="167" fontId="5" fillId="0" borderId="5" xfId="0" applyNumberFormat="1" applyFont="1" applyFill="1" applyBorder="1" applyAlignment="1">
      <alignment horizontal="center" vertical="center"/>
    </xf>
    <xf numFmtId="0" fontId="1" fillId="0" borderId="3" xfId="0" applyFont="1" applyBorder="1" applyAlignment="1">
      <alignment horizontal="center" vertical="center"/>
    </xf>
    <xf numFmtId="0" fontId="3" fillId="0" borderId="0" xfId="0" applyFont="1" applyBorder="1" applyAlignment="1">
      <alignment horizontal="left" vertical="center"/>
    </xf>
    <xf numFmtId="0" fontId="5" fillId="16" borderId="0" xfId="0" applyFont="1" applyFill="1" applyBorder="1" applyAlignment="1">
      <alignment horizontal="center" vertical="center"/>
    </xf>
    <xf numFmtId="169" fontId="5" fillId="0" borderId="0" xfId="0" applyNumberFormat="1" applyFont="1" applyFill="1" applyBorder="1" applyAlignment="1">
      <alignment horizontal="center" vertical="center"/>
    </xf>
    <xf numFmtId="10" fontId="1" fillId="0" borderId="0" xfId="3" applyNumberFormat="1" applyFont="1" applyBorder="1" applyAlignment="1">
      <alignment horizontal="left" vertical="center"/>
    </xf>
    <xf numFmtId="173" fontId="0" fillId="0" borderId="0" xfId="0" applyNumberFormat="1" applyBorder="1" applyAlignment="1">
      <alignment horizontal="center" vertical="center"/>
    </xf>
    <xf numFmtId="0" fontId="0" fillId="0" borderId="1" xfId="0" applyBorder="1" applyAlignment="1">
      <alignment horizontal="center" vertical="center"/>
    </xf>
    <xf numFmtId="9" fontId="0" fillId="0" borderId="0" xfId="3" applyFont="1" applyAlignment="1">
      <alignment horizontal="left" vertical="center"/>
    </xf>
    <xf numFmtId="175" fontId="0" fillId="0" borderId="0" xfId="3" applyNumberFormat="1" applyFont="1" applyAlignment="1">
      <alignment horizontal="center" vertical="center"/>
    </xf>
    <xf numFmtId="173" fontId="0" fillId="2" borderId="0" xfId="0" applyNumberFormat="1" applyFill="1" applyBorder="1" applyAlignment="1">
      <alignment horizontal="center" vertical="center"/>
    </xf>
    <xf numFmtId="0" fontId="1" fillId="2" borderId="3" xfId="0" applyFont="1" applyFill="1" applyBorder="1" applyAlignment="1">
      <alignment horizontal="center" vertical="center"/>
    </xf>
    <xf numFmtId="167" fontId="0" fillId="0" borderId="0" xfId="3" applyNumberFormat="1" applyFont="1" applyAlignment="1">
      <alignment horizontal="center" vertical="center"/>
    </xf>
    <xf numFmtId="44" fontId="0" fillId="0" borderId="0" xfId="1" applyFont="1" applyAlignment="1">
      <alignment horizontal="center" vertical="center"/>
    </xf>
    <xf numFmtId="1" fontId="0" fillId="0" borderId="0" xfId="0" applyNumberFormat="1" applyAlignment="1">
      <alignment horizontal="left" vertical="center"/>
    </xf>
    <xf numFmtId="188" fontId="0" fillId="0" borderId="0" xfId="0" applyNumberFormat="1" applyAlignment="1">
      <alignment horizontal="left" vertical="center"/>
    </xf>
    <xf numFmtId="0" fontId="5" fillId="4" borderId="0" xfId="0" applyFont="1" applyFill="1" applyBorder="1" applyAlignment="1">
      <alignment horizontal="right" vertical="center"/>
    </xf>
    <xf numFmtId="0" fontId="5" fillId="3"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0" xfId="0" applyFont="1" applyBorder="1" applyAlignment="1">
      <alignment horizontal="right" vertical="center"/>
    </xf>
    <xf numFmtId="8" fontId="5" fillId="0" borderId="0" xfId="0" applyNumberFormat="1" applyFont="1" applyBorder="1" applyAlignment="1">
      <alignment horizontal="right" vertical="center"/>
    </xf>
    <xf numFmtId="167" fontId="1" fillId="17" borderId="0" xfId="0" applyNumberFormat="1" applyFont="1" applyFill="1" applyAlignment="1">
      <alignment horizontal="center" vertical="center"/>
    </xf>
    <xf numFmtId="3" fontId="3" fillId="0" borderId="0" xfId="0" applyNumberFormat="1" applyFont="1" applyAlignment="1">
      <alignment horizontal="center" vertical="center"/>
    </xf>
    <xf numFmtId="3" fontId="0" fillId="0" borderId="0" xfId="0" applyNumberFormat="1" applyAlignment="1">
      <alignment horizontal="left" vertical="center"/>
    </xf>
    <xf numFmtId="0" fontId="4" fillId="0" borderId="0" xfId="0" applyFont="1" applyFill="1" applyBorder="1" applyAlignment="1">
      <alignment horizontal="lef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167" fontId="5" fillId="0" borderId="1" xfId="0" applyNumberFormat="1" applyFont="1" applyFill="1" applyBorder="1" applyAlignment="1">
      <alignment horizontal="center" vertical="center"/>
    </xf>
    <xf numFmtId="14" fontId="5" fillId="0" borderId="3" xfId="0" applyNumberFormat="1" applyFont="1" applyFill="1" applyBorder="1" applyAlignment="1">
      <alignment horizontal="center" vertical="center"/>
    </xf>
    <xf numFmtId="1" fontId="5" fillId="0" borderId="4" xfId="0" applyNumberFormat="1" applyFont="1" applyFill="1" applyBorder="1" applyAlignment="1">
      <alignment horizontal="center" vertical="center"/>
    </xf>
    <xf numFmtId="14" fontId="5" fillId="0" borderId="3" xfId="0" applyNumberFormat="1" applyFont="1" applyBorder="1" applyAlignment="1">
      <alignment horizontal="center" vertical="center"/>
    </xf>
    <xf numFmtId="167" fontId="5" fillId="0" borderId="5" xfId="0" applyNumberFormat="1" applyFont="1" applyBorder="1" applyAlignment="1">
      <alignment horizontal="center" vertical="center"/>
    </xf>
    <xf numFmtId="167" fontId="5" fillId="0" borderId="8" xfId="0" applyNumberFormat="1" applyFont="1" applyFill="1" applyBorder="1" applyAlignment="1">
      <alignment horizontal="center" vertical="center"/>
    </xf>
    <xf numFmtId="0" fontId="5" fillId="0" borderId="3" xfId="0" applyFont="1" applyBorder="1" applyAlignment="1">
      <alignment horizontal="center" vertical="center"/>
    </xf>
    <xf numFmtId="167" fontId="5" fillId="0" borderId="3" xfId="0" applyNumberFormat="1" applyFont="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3" xfId="0" applyFont="1" applyFill="1" applyBorder="1" applyAlignment="1">
      <alignment horizontal="left"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4" fillId="0" borderId="6" xfId="0" applyFont="1" applyFill="1" applyBorder="1" applyAlignment="1">
      <alignment horizontal="center" vertical="center"/>
    </xf>
    <xf numFmtId="167" fontId="5" fillId="0" borderId="8" xfId="0" applyNumberFormat="1" applyFont="1" applyBorder="1" applyAlignment="1">
      <alignment horizontal="center" vertical="center"/>
    </xf>
    <xf numFmtId="10" fontId="5" fillId="0" borderId="0" xfId="3" applyNumberFormat="1" applyFont="1" applyFill="1" applyBorder="1" applyAlignment="1">
      <alignment horizontal="center" vertical="center"/>
    </xf>
    <xf numFmtId="167" fontId="5" fillId="0" borderId="4" xfId="0" applyNumberFormat="1"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Fill="1" applyBorder="1" applyAlignment="1">
      <alignment horizontal="center" vertical="center"/>
    </xf>
    <xf numFmtId="0" fontId="5" fillId="0" borderId="7" xfId="0" applyFont="1" applyBorder="1" applyAlignment="1">
      <alignment horizontal="center" vertical="center"/>
    </xf>
    <xf numFmtId="14" fontId="0" fillId="0" borderId="0" xfId="0" applyNumberFormat="1"/>
    <xf numFmtId="2" fontId="5" fillId="0" borderId="0" xfId="0" applyNumberFormat="1" applyFont="1" applyFill="1" applyBorder="1" applyAlignment="1">
      <alignment horizontal="center" vertical="center"/>
    </xf>
    <xf numFmtId="165" fontId="5" fillId="0" borderId="0" xfId="0" applyNumberFormat="1" applyFont="1" applyFill="1" applyBorder="1" applyAlignment="1">
      <alignment horizontal="center" vertical="center"/>
    </xf>
    <xf numFmtId="165" fontId="5" fillId="2" borderId="0" xfId="0" applyNumberFormat="1" applyFont="1" applyFill="1" applyBorder="1" applyAlignment="1">
      <alignment horizontal="center" vertical="center"/>
    </xf>
    <xf numFmtId="177" fontId="1" fillId="0" borderId="0" xfId="3" applyNumberFormat="1" applyFont="1" applyAlignment="1">
      <alignment horizontal="center" vertical="center"/>
    </xf>
    <xf numFmtId="177" fontId="0" fillId="0" borderId="0" xfId="3" applyNumberFormat="1" applyFont="1" applyAlignment="1">
      <alignment horizontal="center" vertical="center"/>
    </xf>
    <xf numFmtId="10" fontId="3" fillId="0" borderId="0" xfId="0" applyNumberFormat="1" applyFont="1" applyFill="1" applyAlignment="1">
      <alignment horizontal="center" vertical="center"/>
    </xf>
    <xf numFmtId="0" fontId="8" fillId="0" borderId="0" xfId="0" applyFont="1" applyBorder="1" applyAlignment="1">
      <alignment horizontal="center" vertical="center"/>
    </xf>
    <xf numFmtId="0" fontId="8" fillId="0" borderId="0" xfId="0" applyFont="1" applyAlignment="1">
      <alignment horizontal="center" vertical="center"/>
    </xf>
    <xf numFmtId="167" fontId="8" fillId="0" borderId="0" xfId="0" applyNumberFormat="1" applyFont="1" applyBorder="1" applyAlignment="1">
      <alignment horizontal="center" vertical="center"/>
    </xf>
    <xf numFmtId="2" fontId="8" fillId="0" borderId="0" xfId="0" applyNumberFormat="1" applyFont="1" applyAlignment="1">
      <alignment horizontal="center" vertical="center"/>
    </xf>
    <xf numFmtId="0" fontId="8" fillId="0" borderId="0" xfId="0" applyFont="1" applyFill="1" applyBorder="1" applyAlignment="1">
      <alignment horizontal="center" vertical="center"/>
    </xf>
    <xf numFmtId="167" fontId="8" fillId="0" borderId="0" xfId="0" applyNumberFormat="1" applyFont="1" applyFill="1" applyBorder="1" applyAlignment="1">
      <alignment horizontal="center" vertical="center"/>
    </xf>
    <xf numFmtId="167" fontId="8" fillId="2" borderId="0" xfId="0" applyNumberFormat="1" applyFont="1" applyFill="1" applyBorder="1" applyAlignment="1">
      <alignment horizontal="center" vertical="center"/>
    </xf>
    <xf numFmtId="2" fontId="8" fillId="0" borderId="0" xfId="0" applyNumberFormat="1" applyFont="1" applyBorder="1" applyAlignment="1">
      <alignment horizontal="center" vertical="center"/>
    </xf>
    <xf numFmtId="0" fontId="8" fillId="0" borderId="6"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3" xfId="0" applyFont="1" applyBorder="1" applyAlignment="1">
      <alignment horizontal="center" vertical="center"/>
    </xf>
    <xf numFmtId="167" fontId="8" fillId="2" borderId="3" xfId="0" applyNumberFormat="1" applyFont="1" applyFill="1" applyBorder="1" applyAlignment="1">
      <alignment horizontal="center" vertical="center"/>
    </xf>
    <xf numFmtId="0" fontId="8" fillId="0" borderId="3" xfId="0" applyFont="1" applyFill="1" applyBorder="1" applyAlignment="1">
      <alignment horizontal="center" vertical="center"/>
    </xf>
    <xf numFmtId="2" fontId="8" fillId="0" borderId="4" xfId="0" applyNumberFormat="1" applyFont="1" applyBorder="1" applyAlignment="1">
      <alignment horizontal="center" vertical="center"/>
    </xf>
    <xf numFmtId="10" fontId="8" fillId="0" borderId="0" xfId="3" applyNumberFormat="1" applyFont="1" applyBorder="1" applyAlignment="1">
      <alignment horizontal="center" vertical="center"/>
    </xf>
    <xf numFmtId="2" fontId="8" fillId="0" borderId="0" xfId="0" applyNumberFormat="1" applyFont="1" applyFill="1" applyBorder="1" applyAlignment="1">
      <alignment horizontal="center" vertical="center"/>
    </xf>
    <xf numFmtId="10" fontId="8" fillId="0" borderId="4" xfId="3" applyNumberFormat="1"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167" fontId="8" fillId="0" borderId="0" xfId="0" applyNumberFormat="1" applyFont="1" applyAlignment="1">
      <alignment horizontal="center" vertical="center"/>
    </xf>
    <xf numFmtId="0" fontId="8" fillId="2" borderId="3" xfId="0" applyFont="1" applyFill="1" applyBorder="1" applyAlignment="1">
      <alignment horizontal="center" vertical="center"/>
    </xf>
    <xf numFmtId="167" fontId="8" fillId="0" borderId="7" xfId="0" applyNumberFormat="1" applyFont="1" applyBorder="1" applyAlignment="1">
      <alignment horizontal="center" vertical="center"/>
    </xf>
    <xf numFmtId="167" fontId="8" fillId="0" borderId="0" xfId="0" applyNumberFormat="1" applyFont="1" applyAlignment="1">
      <alignment horizontal="left" vertical="center"/>
    </xf>
    <xf numFmtId="10" fontId="8" fillId="0" borderId="0" xfId="0" applyNumberFormat="1" applyFont="1" applyAlignment="1">
      <alignment horizontal="left" vertical="center"/>
    </xf>
    <xf numFmtId="3" fontId="8" fillId="0" borderId="0" xfId="0" applyNumberFormat="1" applyFont="1" applyAlignment="1">
      <alignment horizontal="center" vertical="center"/>
    </xf>
    <xf numFmtId="1" fontId="8" fillId="0" borderId="0" xfId="0" applyNumberFormat="1" applyFont="1" applyAlignment="1">
      <alignment horizontal="center" vertical="center"/>
    </xf>
    <xf numFmtId="165" fontId="8" fillId="0" borderId="0" xfId="0" applyNumberFormat="1" applyFont="1" applyAlignment="1">
      <alignment horizontal="center" vertical="center"/>
    </xf>
    <xf numFmtId="181" fontId="8" fillId="0" borderId="0" xfId="0" applyNumberFormat="1" applyFont="1" applyAlignment="1">
      <alignment horizontal="center" vertical="center"/>
    </xf>
    <xf numFmtId="0" fontId="8" fillId="0" borderId="0" xfId="0" applyFont="1" applyFill="1" applyAlignment="1">
      <alignment horizontal="center" vertical="center"/>
    </xf>
    <xf numFmtId="167" fontId="8" fillId="0" borderId="10" xfId="0" applyNumberFormat="1" applyFont="1" applyBorder="1" applyAlignment="1">
      <alignment horizontal="center" vertical="center"/>
    </xf>
    <xf numFmtId="4" fontId="8" fillId="0" borderId="0" xfId="0" applyNumberFormat="1" applyFont="1" applyBorder="1" applyAlignment="1">
      <alignment horizontal="center" vertical="center"/>
    </xf>
    <xf numFmtId="167" fontId="8" fillId="0" borderId="6" xfId="0" applyNumberFormat="1" applyFont="1" applyBorder="1" applyAlignment="1">
      <alignment horizontal="center" vertical="center"/>
    </xf>
    <xf numFmtId="3" fontId="8" fillId="0" borderId="6" xfId="0" applyNumberFormat="1" applyFont="1" applyBorder="1" applyAlignment="1">
      <alignment horizontal="center" vertical="center"/>
    </xf>
    <xf numFmtId="1" fontId="8" fillId="0" borderId="6" xfId="0" applyNumberFormat="1" applyFont="1" applyBorder="1" applyAlignment="1">
      <alignment horizontal="center" vertical="center"/>
    </xf>
    <xf numFmtId="10" fontId="8" fillId="0" borderId="3" xfId="0" applyNumberFormat="1" applyFont="1" applyBorder="1" applyAlignment="1">
      <alignment horizontal="left" vertical="center"/>
    </xf>
    <xf numFmtId="3" fontId="8" fillId="0" borderId="0" xfId="0" applyNumberFormat="1" applyFont="1" applyBorder="1" applyAlignment="1">
      <alignment horizontal="center" vertical="center"/>
    </xf>
    <xf numFmtId="1" fontId="8" fillId="0" borderId="0" xfId="0" applyNumberFormat="1" applyFont="1" applyBorder="1" applyAlignment="1">
      <alignment horizontal="center" vertical="center"/>
    </xf>
    <xf numFmtId="10" fontId="8" fillId="0" borderId="0" xfId="0" applyNumberFormat="1" applyFont="1" applyBorder="1" applyAlignment="1">
      <alignment horizontal="center"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167" fontId="8" fillId="0" borderId="4" xfId="0" applyNumberFormat="1" applyFont="1" applyBorder="1" applyAlignment="1">
      <alignment horizontal="center" vertical="center"/>
    </xf>
    <xf numFmtId="0" fontId="8" fillId="0" borderId="0" xfId="0" applyFont="1" applyAlignment="1">
      <alignment horizontal="left" vertical="center"/>
    </xf>
    <xf numFmtId="0" fontId="8" fillId="2" borderId="0" xfId="0" applyFont="1" applyFill="1" applyBorder="1" applyAlignment="1">
      <alignment horizontal="center" vertical="center"/>
    </xf>
    <xf numFmtId="167" fontId="8" fillId="0" borderId="3" xfId="0" applyNumberFormat="1" applyFont="1" applyBorder="1" applyAlignment="1">
      <alignment horizontal="center" vertical="center"/>
    </xf>
    <xf numFmtId="167" fontId="8" fillId="2" borderId="4" xfId="0" applyNumberFormat="1" applyFont="1" applyFill="1" applyBorder="1" applyAlignment="1">
      <alignment horizontal="center" vertical="center"/>
    </xf>
    <xf numFmtId="0" fontId="8" fillId="0" borderId="5" xfId="0" applyFont="1" applyBorder="1" applyAlignment="1">
      <alignment horizontal="center" vertical="center"/>
    </xf>
    <xf numFmtId="167" fontId="8" fillId="0" borderId="8" xfId="0" applyNumberFormat="1" applyFont="1" applyBorder="1" applyAlignment="1">
      <alignment horizontal="center" vertical="center"/>
    </xf>
    <xf numFmtId="10" fontId="8" fillId="0" borderId="0" xfId="0" applyNumberFormat="1" applyFont="1" applyAlignment="1">
      <alignment horizontal="center" vertical="center"/>
    </xf>
    <xf numFmtId="4" fontId="8" fillId="0" borderId="3" xfId="0" applyNumberFormat="1" applyFont="1" applyBorder="1" applyAlignment="1">
      <alignment horizontal="center" vertical="center"/>
    </xf>
    <xf numFmtId="0" fontId="8" fillId="0" borderId="1" xfId="0" applyFont="1" applyBorder="1" applyAlignment="1">
      <alignment horizontal="center" vertical="center"/>
    </xf>
    <xf numFmtId="0" fontId="8" fillId="2" borderId="6" xfId="0" applyFont="1" applyFill="1" applyBorder="1" applyAlignment="1">
      <alignment horizontal="center" vertical="center"/>
    </xf>
    <xf numFmtId="4" fontId="8" fillId="0" borderId="6" xfId="0" applyNumberFormat="1" applyFont="1" applyBorder="1" applyAlignment="1">
      <alignment horizontal="center" vertical="center"/>
    </xf>
    <xf numFmtId="4" fontId="8" fillId="0" borderId="0" xfId="0" applyNumberFormat="1" applyFont="1" applyFill="1" applyBorder="1" applyAlignment="1">
      <alignment horizontal="center" vertical="center"/>
    </xf>
    <xf numFmtId="4" fontId="8" fillId="2" borderId="3" xfId="0" applyNumberFormat="1" applyFont="1" applyFill="1" applyBorder="1" applyAlignment="1">
      <alignment horizontal="center" vertical="center"/>
    </xf>
    <xf numFmtId="4" fontId="8" fillId="2" borderId="4" xfId="0" applyNumberFormat="1" applyFont="1" applyFill="1" applyBorder="1" applyAlignment="1">
      <alignment horizontal="center" vertical="center"/>
    </xf>
    <xf numFmtId="167" fontId="8" fillId="0" borderId="3" xfId="0" applyNumberFormat="1" applyFont="1" applyBorder="1" applyAlignment="1">
      <alignment horizontal="left" vertical="center"/>
    </xf>
    <xf numFmtId="0" fontId="8" fillId="0" borderId="0" xfId="0" applyFont="1" applyBorder="1" applyAlignment="1">
      <alignment horizontal="left" vertical="center"/>
    </xf>
    <xf numFmtId="49" fontId="8" fillId="0" borderId="3" xfId="0" applyNumberFormat="1" applyFont="1" applyFill="1" applyBorder="1" applyAlignment="1">
      <alignment horizontal="center" vertical="center"/>
    </xf>
    <xf numFmtId="0" fontId="8" fillId="0" borderId="0" xfId="0" applyFont="1" applyFill="1" applyBorder="1" applyAlignment="1">
      <alignment horizontal="left" vertical="center"/>
    </xf>
    <xf numFmtId="0" fontId="9" fillId="0" borderId="0" xfId="0" applyFont="1" applyAlignment="1">
      <alignment horizontal="left" vertical="center"/>
    </xf>
    <xf numFmtId="167" fontId="8" fillId="12" borderId="3" xfId="0" applyNumberFormat="1" applyFont="1" applyFill="1" applyBorder="1" applyAlignment="1">
      <alignment horizontal="center" vertical="center"/>
    </xf>
    <xf numFmtId="167" fontId="8" fillId="9" borderId="3" xfId="0" applyNumberFormat="1" applyFont="1" applyFill="1" applyBorder="1" applyAlignment="1">
      <alignment horizontal="center" vertical="center"/>
    </xf>
    <xf numFmtId="167" fontId="8" fillId="0" borderId="0" xfId="0" applyNumberFormat="1" applyFont="1" applyBorder="1" applyAlignment="1">
      <alignment horizontal="left" vertical="center"/>
    </xf>
    <xf numFmtId="167" fontId="8" fillId="0" borderId="0" xfId="0" applyNumberFormat="1" applyFont="1" applyFill="1" applyBorder="1" applyAlignment="1">
      <alignment horizontal="left" vertical="center"/>
    </xf>
    <xf numFmtId="4" fontId="8" fillId="0" borderId="0" xfId="0" applyNumberFormat="1" applyFont="1" applyAlignment="1">
      <alignment horizontal="left" vertical="center"/>
    </xf>
    <xf numFmtId="0" fontId="8" fillId="0" borderId="7" xfId="0" applyFont="1" applyBorder="1" applyAlignment="1">
      <alignment horizontal="left" vertical="center"/>
    </xf>
    <xf numFmtId="4" fontId="8" fillId="0" borderId="4" xfId="0" applyNumberFormat="1" applyFont="1" applyBorder="1" applyAlignment="1">
      <alignment horizontal="center" vertical="center"/>
    </xf>
    <xf numFmtId="167" fontId="8" fillId="0" borderId="4" xfId="0" applyNumberFormat="1" applyFont="1" applyBorder="1" applyAlignment="1">
      <alignment horizontal="left" vertical="center"/>
    </xf>
    <xf numFmtId="167" fontId="8" fillId="0" borderId="0" xfId="0" applyNumberFormat="1" applyFont="1" applyFill="1" applyAlignment="1">
      <alignment horizontal="center" vertical="center"/>
    </xf>
    <xf numFmtId="4" fontId="8" fillId="0" borderId="3" xfId="0" applyNumberFormat="1" applyFont="1" applyBorder="1" applyAlignment="1">
      <alignment horizontal="left" vertical="center"/>
    </xf>
    <xf numFmtId="3" fontId="8" fillId="0" borderId="0" xfId="0" applyNumberFormat="1" applyFont="1" applyFill="1" applyBorder="1" applyAlignment="1">
      <alignment horizontal="center" vertical="center"/>
    </xf>
    <xf numFmtId="4" fontId="8" fillId="2" borderId="0" xfId="0" applyNumberFormat="1" applyFont="1" applyFill="1" applyBorder="1" applyAlignment="1">
      <alignment horizontal="center" vertical="center"/>
    </xf>
    <xf numFmtId="167" fontId="8" fillId="0" borderId="4" xfId="0" applyNumberFormat="1" applyFont="1" applyFill="1" applyBorder="1" applyAlignment="1">
      <alignment horizontal="center" vertical="center"/>
    </xf>
    <xf numFmtId="167" fontId="8" fillId="0" borderId="5" xfId="0" applyNumberFormat="1" applyFont="1" applyBorder="1" applyAlignment="1">
      <alignment horizontal="center" vertical="center"/>
    </xf>
    <xf numFmtId="4" fontId="8" fillId="0" borderId="7" xfId="0" applyNumberFormat="1" applyFont="1" applyBorder="1" applyAlignment="1">
      <alignment horizontal="center" vertical="center"/>
    </xf>
    <xf numFmtId="4" fontId="8" fillId="0" borderId="3" xfId="0" applyNumberFormat="1" applyFont="1" applyFill="1" applyBorder="1" applyAlignment="1">
      <alignment horizontal="center" vertical="center"/>
    </xf>
    <xf numFmtId="10" fontId="8" fillId="0" borderId="5" xfId="0" applyNumberFormat="1" applyFont="1" applyBorder="1" applyAlignment="1">
      <alignment horizontal="left" vertical="center"/>
    </xf>
    <xf numFmtId="3" fontId="8" fillId="0" borderId="7" xfId="0" applyNumberFormat="1" applyFont="1" applyBorder="1" applyAlignment="1">
      <alignment horizontal="center" vertical="center"/>
    </xf>
    <xf numFmtId="1" fontId="8" fillId="0" borderId="7" xfId="0" applyNumberFormat="1" applyFont="1" applyBorder="1" applyAlignment="1">
      <alignment horizontal="center" vertical="center"/>
    </xf>
    <xf numFmtId="167" fontId="8" fillId="0" borderId="7" xfId="0" applyNumberFormat="1" applyFont="1" applyFill="1" applyBorder="1" applyAlignment="1">
      <alignment horizontal="center" vertical="center"/>
    </xf>
    <xf numFmtId="0" fontId="8" fillId="0" borderId="4" xfId="0" applyFont="1" applyFill="1" applyBorder="1" applyAlignment="1">
      <alignment horizontal="center" vertical="center"/>
    </xf>
    <xf numFmtId="0" fontId="9" fillId="0" borderId="0" xfId="0" applyFont="1" applyBorder="1" applyAlignment="1">
      <alignment horizontal="left" vertical="center"/>
    </xf>
    <xf numFmtId="0" fontId="8" fillId="12" borderId="3" xfId="0" applyFont="1" applyFill="1" applyBorder="1" applyAlignment="1">
      <alignment horizontal="center" vertical="center"/>
    </xf>
    <xf numFmtId="0" fontId="8" fillId="9" borderId="3" xfId="0" applyFont="1" applyFill="1" applyBorder="1" applyAlignment="1">
      <alignment horizontal="center" vertical="center"/>
    </xf>
    <xf numFmtId="10" fontId="8" fillId="0" borderId="3" xfId="0" applyNumberFormat="1" applyFont="1" applyFill="1" applyBorder="1" applyAlignment="1">
      <alignment horizontal="left" vertical="center"/>
    </xf>
    <xf numFmtId="0" fontId="9" fillId="0" borderId="3" xfId="0" applyFont="1" applyBorder="1" applyAlignment="1">
      <alignment horizontal="left" vertical="center"/>
    </xf>
    <xf numFmtId="4" fontId="8" fillId="0" borderId="0" xfId="0" applyNumberFormat="1" applyFont="1" applyBorder="1" applyAlignment="1">
      <alignment horizontal="left" vertical="center"/>
    </xf>
    <xf numFmtId="0" fontId="8" fillId="0" borderId="10" xfId="0" applyFont="1" applyBorder="1" applyAlignment="1">
      <alignment horizontal="center" vertical="center"/>
    </xf>
    <xf numFmtId="10" fontId="8" fillId="0" borderId="4" xfId="0" applyNumberFormat="1" applyFont="1" applyBorder="1" applyAlignment="1">
      <alignment horizontal="center" vertical="center"/>
    </xf>
    <xf numFmtId="167" fontId="8" fillId="2" borderId="5" xfId="0" applyNumberFormat="1" applyFont="1" applyFill="1" applyBorder="1" applyAlignment="1">
      <alignment horizontal="center" vertical="center"/>
    </xf>
    <xf numFmtId="167" fontId="8" fillId="0" borderId="2" xfId="0" applyNumberFormat="1" applyFont="1" applyBorder="1" applyAlignment="1">
      <alignment horizontal="center" vertical="center"/>
    </xf>
    <xf numFmtId="10" fontId="8" fillId="0" borderId="0" xfId="3" applyNumberFormat="1" applyFont="1" applyFill="1" applyBorder="1" applyAlignment="1">
      <alignment horizontal="center" vertical="center"/>
    </xf>
    <xf numFmtId="167" fontId="8" fillId="0" borderId="6" xfId="0" applyNumberFormat="1" applyFont="1" applyBorder="1" applyAlignment="1">
      <alignment horizontal="left" vertical="center"/>
    </xf>
    <xf numFmtId="167" fontId="9" fillId="0" borderId="0" xfId="0" applyNumberFormat="1" applyFont="1" applyBorder="1" applyAlignment="1">
      <alignment horizontal="center" vertical="center"/>
    </xf>
    <xf numFmtId="10" fontId="8" fillId="0" borderId="7" xfId="0" applyNumberFormat="1" applyFont="1" applyBorder="1" applyAlignment="1">
      <alignment horizontal="center" vertical="center"/>
    </xf>
    <xf numFmtId="10" fontId="8" fillId="0" borderId="0" xfId="0" applyNumberFormat="1" applyFont="1" applyBorder="1" applyAlignment="1">
      <alignment horizontal="left" vertical="center"/>
    </xf>
    <xf numFmtId="10" fontId="8" fillId="0" borderId="2" xfId="0" applyNumberFormat="1" applyFont="1" applyBorder="1" applyAlignment="1">
      <alignment horizontal="left" vertical="center"/>
    </xf>
    <xf numFmtId="10" fontId="8" fillId="0" borderId="4" xfId="0" applyNumberFormat="1" applyFont="1" applyBorder="1" applyAlignment="1">
      <alignment horizontal="left" vertical="center"/>
    </xf>
    <xf numFmtId="3" fontId="8" fillId="0" borderId="0" xfId="0" applyNumberFormat="1" applyFont="1" applyBorder="1" applyAlignment="1">
      <alignment horizontal="left" vertical="center"/>
    </xf>
    <xf numFmtId="167" fontId="8" fillId="0" borderId="3" xfId="0" applyNumberFormat="1" applyFont="1" applyFill="1" applyBorder="1" applyAlignment="1">
      <alignment horizontal="left" vertical="center"/>
    </xf>
    <xf numFmtId="3" fontId="8" fillId="0" borderId="4" xfId="0" applyNumberFormat="1" applyFont="1" applyBorder="1" applyAlignment="1">
      <alignment horizontal="center" vertical="center"/>
    </xf>
    <xf numFmtId="0" fontId="8" fillId="2" borderId="4" xfId="0" applyFont="1" applyFill="1" applyBorder="1" applyAlignment="1">
      <alignment horizontal="center" vertical="center"/>
    </xf>
    <xf numFmtId="14" fontId="8" fillId="0" borderId="0" xfId="0" applyNumberFormat="1" applyFont="1" applyBorder="1" applyAlignment="1">
      <alignment horizontal="center" vertical="center"/>
    </xf>
    <xf numFmtId="10" fontId="0" fillId="0" borderId="0" xfId="3" applyNumberFormat="1" applyFont="1" applyBorder="1" applyAlignment="1">
      <alignment horizontal="left" vertical="center"/>
    </xf>
    <xf numFmtId="10" fontId="0" fillId="2" borderId="7" xfId="0" applyNumberFormat="1" applyFill="1" applyBorder="1" applyAlignment="1">
      <alignment horizontal="center" vertical="center"/>
    </xf>
    <xf numFmtId="167" fontId="1" fillId="0" borderId="6" xfId="0" applyNumberFormat="1" applyFont="1" applyBorder="1" applyAlignment="1">
      <alignment horizontal="center" vertical="center"/>
    </xf>
    <xf numFmtId="10" fontId="0" fillId="0" borderId="7" xfId="0" applyNumberFormat="1" applyBorder="1" applyAlignment="1">
      <alignment horizontal="center" vertical="center"/>
    </xf>
    <xf numFmtId="10" fontId="0" fillId="0" borderId="8" xfId="0" applyNumberFormat="1" applyBorder="1" applyAlignment="1">
      <alignment horizontal="center" vertical="center"/>
    </xf>
    <xf numFmtId="4" fontId="0" fillId="0" borderId="0" xfId="0" applyNumberFormat="1" applyAlignment="1">
      <alignment horizontal="center" vertical="center"/>
    </xf>
    <xf numFmtId="167" fontId="1" fillId="0" borderId="2" xfId="0" applyNumberFormat="1" applyFont="1" applyBorder="1" applyAlignment="1">
      <alignment horizontal="center" vertical="center"/>
    </xf>
    <xf numFmtId="167" fontId="1" fillId="0" borderId="4" xfId="0" applyNumberFormat="1" applyFont="1" applyBorder="1" applyAlignment="1">
      <alignment horizontal="center" vertical="center"/>
    </xf>
    <xf numFmtId="173" fontId="0" fillId="0" borderId="7" xfId="0" applyNumberFormat="1" applyBorder="1" applyAlignment="1">
      <alignment horizontal="center" vertical="center"/>
    </xf>
    <xf numFmtId="3" fontId="1" fillId="0" borderId="6" xfId="0" applyNumberFormat="1" applyFont="1" applyBorder="1" applyAlignment="1">
      <alignment horizontal="center" vertical="center"/>
    </xf>
    <xf numFmtId="3" fontId="1" fillId="0" borderId="2" xfId="0" applyNumberFormat="1" applyFont="1" applyBorder="1" applyAlignment="1">
      <alignment horizontal="center" vertical="center"/>
    </xf>
    <xf numFmtId="3" fontId="1" fillId="0" borderId="3" xfId="0" applyNumberFormat="1" applyFont="1" applyBorder="1" applyAlignment="1">
      <alignment horizontal="center" vertical="center"/>
    </xf>
    <xf numFmtId="4" fontId="0" fillId="0" borderId="0" xfId="0" applyNumberFormat="1" applyBorder="1" applyAlignment="1">
      <alignment horizontal="center" vertical="center"/>
    </xf>
    <xf numFmtId="4" fontId="0" fillId="0" borderId="4" xfId="0" applyNumberFormat="1" applyBorder="1" applyAlignment="1">
      <alignment horizontal="center" vertical="center"/>
    </xf>
    <xf numFmtId="4" fontId="1" fillId="0" borderId="0" xfId="0" applyNumberFormat="1" applyFont="1" applyBorder="1" applyAlignment="1">
      <alignment horizontal="center" vertical="center"/>
    </xf>
    <xf numFmtId="4" fontId="1" fillId="0" borderId="4" xfId="0" applyNumberFormat="1" applyFont="1" applyBorder="1" applyAlignment="1">
      <alignment horizontal="center" vertical="center"/>
    </xf>
    <xf numFmtId="3" fontId="1" fillId="0" borderId="5" xfId="0" applyNumberFormat="1" applyFont="1" applyBorder="1" applyAlignment="1">
      <alignment horizontal="center" vertical="center"/>
    </xf>
    <xf numFmtId="0" fontId="3" fillId="3" borderId="0" xfId="0" applyFont="1" applyFill="1" applyAlignment="1">
      <alignment horizontal="left" vertical="center"/>
    </xf>
    <xf numFmtId="10" fontId="1" fillId="2" borderId="0" xfId="0" applyNumberFormat="1" applyFont="1" applyFill="1" applyAlignment="1">
      <alignment horizontal="center" vertical="center"/>
    </xf>
    <xf numFmtId="167" fontId="9" fillId="0" borderId="0" xfId="0" applyNumberFormat="1" applyFont="1" applyAlignment="1">
      <alignment horizontal="left" vertical="center"/>
    </xf>
    <xf numFmtId="10" fontId="8" fillId="0" borderId="0" xfId="0" applyNumberFormat="1" applyFont="1" applyFill="1" applyBorder="1" applyAlignment="1">
      <alignment horizontal="left" vertical="center"/>
    </xf>
    <xf numFmtId="186" fontId="1" fillId="0" borderId="0" xfId="0" applyNumberFormat="1" applyFont="1" applyFill="1" applyAlignment="1">
      <alignment horizontal="center" vertical="center"/>
    </xf>
    <xf numFmtId="168" fontId="12" fillId="2" borderId="0" xfId="0" applyNumberFormat="1" applyFont="1" applyFill="1" applyAlignment="1">
      <alignment horizontal="center" vertical="center"/>
    </xf>
    <xf numFmtId="0" fontId="5" fillId="0" borderId="0" xfId="0" applyFont="1" applyAlignment="1">
      <alignment horizontal="center" vertical="center"/>
    </xf>
    <xf numFmtId="38" fontId="5" fillId="0" borderId="0" xfId="0" applyNumberFormat="1" applyFont="1" applyAlignment="1">
      <alignment horizontal="center" vertical="center"/>
    </xf>
    <xf numFmtId="9" fontId="0" fillId="0" borderId="0" xfId="3" applyFont="1" applyAlignment="1">
      <alignment horizontal="center" vertical="center"/>
    </xf>
    <xf numFmtId="0" fontId="5" fillId="0" borderId="1" xfId="0" applyFont="1" applyBorder="1" applyAlignment="1">
      <alignment horizontal="center" vertical="center"/>
    </xf>
    <xf numFmtId="0" fontId="0" fillId="0" borderId="8" xfId="0" applyBorder="1" applyAlignment="1">
      <alignment horizontal="center" vertical="center"/>
    </xf>
    <xf numFmtId="167" fontId="1" fillId="0" borderId="7" xfId="0" applyNumberFormat="1" applyFont="1" applyBorder="1" applyAlignment="1">
      <alignment horizontal="center" vertical="center"/>
    </xf>
    <xf numFmtId="167" fontId="1" fillId="0" borderId="8" xfId="0" applyNumberFormat="1" applyFont="1" applyBorder="1" applyAlignment="1">
      <alignment horizontal="center" vertical="center"/>
    </xf>
    <xf numFmtId="3" fontId="1" fillId="0" borderId="0" xfId="0" applyNumberFormat="1" applyFont="1" applyAlignment="1">
      <alignment horizontal="center" vertical="center"/>
    </xf>
    <xf numFmtId="179" fontId="0" fillId="0" borderId="0" xfId="0" applyNumberFormat="1" applyAlignment="1">
      <alignment horizontal="left" vertical="center"/>
    </xf>
    <xf numFmtId="179" fontId="0" fillId="0" borderId="0" xfId="0" applyNumberFormat="1" applyAlignment="1">
      <alignment horizontal="center" vertical="center"/>
    </xf>
    <xf numFmtId="4" fontId="8" fillId="0" borderId="2" xfId="0" applyNumberFormat="1" applyFont="1" applyBorder="1" applyAlignment="1">
      <alignment horizontal="center" vertical="center"/>
    </xf>
    <xf numFmtId="4" fontId="8" fillId="0" borderId="8" xfId="0" applyNumberFormat="1" applyFont="1" applyBorder="1" applyAlignment="1">
      <alignment horizontal="center" vertical="center"/>
    </xf>
    <xf numFmtId="0" fontId="3" fillId="0" borderId="0" xfId="0" applyFont="1" applyFill="1" applyAlignment="1">
      <alignment horizontal="center" vertical="center"/>
    </xf>
    <xf numFmtId="10" fontId="0" fillId="0" borderId="0" xfId="3" applyNumberFormat="1" applyFont="1" applyAlignment="1">
      <alignment horizontal="center" vertical="center"/>
    </xf>
    <xf numFmtId="10" fontId="0" fillId="0" borderId="0" xfId="3" applyNumberFormat="1"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179" fontId="1" fillId="0" borderId="0" xfId="0" applyNumberFormat="1" applyFont="1" applyAlignment="1">
      <alignment horizontal="center" vertical="center"/>
    </xf>
    <xf numFmtId="3" fontId="1" fillId="0" borderId="0" xfId="0" applyNumberFormat="1" applyFont="1" applyBorder="1" applyAlignment="1">
      <alignment horizontal="center" vertical="center"/>
    </xf>
    <xf numFmtId="44" fontId="0" fillId="0" borderId="0" xfId="1" applyFont="1" applyAlignment="1">
      <alignment horizontal="left" vertical="center"/>
    </xf>
    <xf numFmtId="0" fontId="1" fillId="18" borderId="0" xfId="0" applyFont="1" applyFill="1" applyAlignment="1">
      <alignment horizontal="left" vertical="center"/>
    </xf>
    <xf numFmtId="0" fontId="1" fillId="0" borderId="13" xfId="0" applyFont="1" applyBorder="1" applyAlignment="1">
      <alignment horizontal="center" vertical="center"/>
    </xf>
    <xf numFmtId="166" fontId="5" fillId="2" borderId="0" xfId="0" applyNumberFormat="1" applyFont="1" applyFill="1" applyBorder="1" applyAlignment="1">
      <alignment horizontal="center" vertical="center"/>
    </xf>
    <xf numFmtId="166" fontId="5" fillId="4" borderId="0" xfId="0" applyNumberFormat="1" applyFont="1" applyFill="1" applyBorder="1" applyAlignment="1">
      <alignment horizontal="center" vertical="center"/>
    </xf>
    <xf numFmtId="10" fontId="1" fillId="0" borderId="0" xfId="3" applyNumberFormat="1" applyFont="1" applyAlignment="1">
      <alignment horizontal="center" vertical="center"/>
    </xf>
    <xf numFmtId="0" fontId="1" fillId="0" borderId="4" xfId="0" applyFont="1" applyBorder="1" applyAlignment="1">
      <alignment horizontal="center" vertical="center"/>
    </xf>
    <xf numFmtId="166" fontId="5" fillId="3" borderId="0" xfId="0" applyNumberFormat="1" applyFont="1" applyFill="1" applyBorder="1" applyAlignment="1">
      <alignment horizontal="center" vertical="center"/>
    </xf>
    <xf numFmtId="167" fontId="5" fillId="0" borderId="6" xfId="0" applyNumberFormat="1" applyFont="1" applyFill="1" applyBorder="1" applyAlignment="1">
      <alignment horizontal="center" vertical="center"/>
    </xf>
    <xf numFmtId="10" fontId="5" fillId="0" borderId="4" xfId="0" applyNumberFormat="1" applyFont="1" applyFill="1" applyBorder="1" applyAlignment="1">
      <alignment horizontal="center" vertical="center"/>
    </xf>
    <xf numFmtId="10" fontId="5" fillId="0" borderId="3" xfId="0" applyNumberFormat="1" applyFont="1" applyFill="1" applyBorder="1" applyAlignment="1">
      <alignment horizontal="center" vertical="center"/>
    </xf>
    <xf numFmtId="180" fontId="4" fillId="0" borderId="1" xfId="0" applyNumberFormat="1" applyFont="1" applyBorder="1" applyAlignment="1">
      <alignment horizontal="center" vertical="center"/>
    </xf>
    <xf numFmtId="180" fontId="4" fillId="0" borderId="6" xfId="0" applyNumberFormat="1" applyFont="1" applyBorder="1" applyAlignment="1">
      <alignment horizontal="center" vertical="center"/>
    </xf>
    <xf numFmtId="1" fontId="4" fillId="0" borderId="6" xfId="0" applyNumberFormat="1" applyFont="1" applyBorder="1" applyAlignment="1">
      <alignment horizontal="center" vertical="center"/>
    </xf>
    <xf numFmtId="180" fontId="5" fillId="0" borderId="3" xfId="0" applyNumberFormat="1" applyFont="1" applyBorder="1" applyAlignment="1">
      <alignment horizontal="center" vertical="center"/>
    </xf>
    <xf numFmtId="3" fontId="5" fillId="0" borderId="7" xfId="0" applyNumberFormat="1" applyFont="1" applyBorder="1" applyAlignment="1">
      <alignment horizontal="center" vertical="center"/>
    </xf>
    <xf numFmtId="10" fontId="5" fillId="0" borderId="7" xfId="0" applyNumberFormat="1" applyFont="1" applyBorder="1" applyAlignment="1">
      <alignment horizontal="center" vertical="center"/>
    </xf>
    <xf numFmtId="10" fontId="5" fillId="0" borderId="6" xfId="0" applyNumberFormat="1" applyFont="1" applyFill="1" applyBorder="1" applyAlignment="1">
      <alignment horizontal="center" vertical="center"/>
    </xf>
    <xf numFmtId="7" fontId="5" fillId="0" borderId="0" xfId="0" applyNumberFormat="1" applyFont="1" applyFill="1" applyBorder="1" applyAlignment="1">
      <alignment horizontal="center" vertical="center"/>
    </xf>
    <xf numFmtId="193" fontId="5" fillId="0" borderId="0" xfId="0" applyNumberFormat="1" applyFont="1" applyFill="1" applyBorder="1" applyAlignment="1">
      <alignment horizontal="center" vertical="center"/>
    </xf>
    <xf numFmtId="7" fontId="5" fillId="2" borderId="0" xfId="0" applyNumberFormat="1" applyFont="1" applyFill="1" applyBorder="1" applyAlignment="1">
      <alignment horizontal="center" vertical="center"/>
    </xf>
    <xf numFmtId="167" fontId="4" fillId="0" borderId="1" xfId="0" applyNumberFormat="1" applyFont="1" applyFill="1" applyBorder="1" applyAlignment="1">
      <alignment horizontal="left" vertical="center"/>
    </xf>
    <xf numFmtId="9" fontId="5" fillId="2" borderId="0" xfId="3" applyFont="1" applyFill="1" applyBorder="1" applyAlignment="1">
      <alignment horizontal="center" vertical="center"/>
    </xf>
    <xf numFmtId="167" fontId="5" fillId="0" borderId="23" xfId="0" applyNumberFormat="1" applyFont="1" applyFill="1" applyBorder="1" applyAlignment="1">
      <alignment horizontal="center" vertical="center"/>
    </xf>
    <xf numFmtId="167" fontId="5" fillId="0" borderId="25" xfId="0" applyNumberFormat="1" applyFont="1" applyFill="1" applyBorder="1" applyAlignment="1">
      <alignment horizontal="center" vertical="center"/>
    </xf>
    <xf numFmtId="0" fontId="5" fillId="9" borderId="0" xfId="0" applyNumberFormat="1" applyFont="1" applyFill="1" applyBorder="1" applyAlignment="1">
      <alignment horizontal="center" vertical="center"/>
    </xf>
    <xf numFmtId="10" fontId="5" fillId="0" borderId="23" xfId="0" applyNumberFormat="1" applyFont="1" applyFill="1" applyBorder="1" applyAlignment="1">
      <alignment horizontal="center" vertical="center"/>
    </xf>
    <xf numFmtId="4" fontId="5" fillId="0" borderId="25" xfId="0" applyNumberFormat="1" applyFont="1" applyFill="1" applyBorder="1" applyAlignment="1">
      <alignment horizontal="center" vertical="center"/>
    </xf>
    <xf numFmtId="0" fontId="5" fillId="0" borderId="0" xfId="0" applyFont="1" applyBorder="1" applyAlignment="1">
      <alignment horizontal="center" vertical="center"/>
    </xf>
    <xf numFmtId="10" fontId="5" fillId="0" borderId="0" xfId="0" applyNumberFormat="1" applyFont="1" applyFill="1" applyBorder="1" applyAlignment="1">
      <alignment horizontal="left" vertical="center"/>
    </xf>
    <xf numFmtId="9" fontId="5" fillId="0" borderId="4" xfId="3" applyFont="1" applyBorder="1" applyAlignment="1">
      <alignment horizontal="center" vertical="center"/>
    </xf>
    <xf numFmtId="0" fontId="5" fillId="12" borderId="0" xfId="0" applyNumberFormat="1" applyFont="1" applyFill="1" applyBorder="1" applyAlignment="1">
      <alignment horizontal="center" vertical="center"/>
    </xf>
    <xf numFmtId="178" fontId="0" fillId="0" borderId="0" xfId="3" applyNumberFormat="1" applyFont="1" applyAlignment="1">
      <alignment horizontal="center" vertical="center"/>
    </xf>
    <xf numFmtId="165" fontId="5" fillId="0" borderId="0" xfId="0" applyNumberFormat="1" applyFont="1" applyBorder="1" applyAlignment="1">
      <alignment horizontal="center" vertical="center"/>
    </xf>
    <xf numFmtId="194" fontId="0" fillId="0" borderId="0" xfId="0" applyNumberFormat="1" applyAlignment="1">
      <alignment horizontal="left" vertical="center"/>
    </xf>
    <xf numFmtId="0" fontId="5" fillId="0" borderId="23" xfId="0" applyFont="1" applyFill="1" applyBorder="1" applyAlignment="1">
      <alignment horizontal="center" vertical="center"/>
    </xf>
    <xf numFmtId="0" fontId="5" fillId="0" borderId="6" xfId="0" applyFont="1" applyBorder="1" applyAlignment="1">
      <alignment horizontal="center" vertical="center"/>
    </xf>
    <xf numFmtId="10" fontId="5" fillId="0" borderId="6" xfId="0" applyNumberFormat="1" applyFont="1" applyBorder="1" applyAlignment="1">
      <alignment horizontal="center" vertical="center"/>
    </xf>
    <xf numFmtId="176" fontId="0" fillId="2" borderId="0" xfId="0" applyNumberFormat="1" applyFill="1" applyBorder="1" applyAlignment="1">
      <alignment horizontal="center" vertical="center"/>
    </xf>
    <xf numFmtId="181" fontId="0" fillId="0" borderId="0" xfId="0" applyNumberFormat="1" applyAlignment="1">
      <alignment horizontal="center" vertical="center"/>
    </xf>
    <xf numFmtId="167" fontId="5" fillId="0" borderId="7" xfId="0" applyNumberFormat="1" applyFont="1" applyBorder="1" applyAlignment="1">
      <alignment horizontal="center" vertical="center"/>
    </xf>
    <xf numFmtId="2" fontId="5" fillId="0" borderId="3" xfId="0" applyNumberFormat="1" applyFont="1" applyFill="1" applyBorder="1" applyAlignment="1">
      <alignment horizontal="center" vertical="center"/>
    </xf>
    <xf numFmtId="7" fontId="5" fillId="0" borderId="5" xfId="0" applyNumberFormat="1" applyFont="1" applyFill="1" applyBorder="1" applyAlignment="1">
      <alignment horizontal="center" vertical="center"/>
    </xf>
    <xf numFmtId="168" fontId="3" fillId="0" borderId="0" xfId="0" applyNumberFormat="1" applyFont="1" applyAlignment="1">
      <alignment horizontal="center" vertical="center"/>
    </xf>
    <xf numFmtId="10" fontId="0" fillId="0" borderId="0" xfId="3" applyNumberFormat="1" applyFont="1" applyAlignment="1">
      <alignment horizontal="left" vertical="center"/>
    </xf>
    <xf numFmtId="0" fontId="3" fillId="0" borderId="0" xfId="0" applyFont="1" applyFill="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0" fontId="5" fillId="0" borderId="5" xfId="0" applyFont="1" applyBorder="1" applyAlignment="1">
      <alignment horizontal="center" vertical="center"/>
    </xf>
    <xf numFmtId="165" fontId="5" fillId="0" borderId="0" xfId="0" applyNumberFormat="1" applyFont="1" applyFill="1" applyAlignment="1">
      <alignment horizontal="center"/>
    </xf>
    <xf numFmtId="0" fontId="5" fillId="0" borderId="0" xfId="0" applyFont="1" applyFill="1" applyAlignment="1">
      <alignment horizontal="center" vertical="center"/>
    </xf>
    <xf numFmtId="44" fontId="4" fillId="0" borderId="0" xfId="0" applyNumberFormat="1" applyFont="1" applyFill="1" applyBorder="1" applyAlignment="1">
      <alignment horizontal="center" vertical="center"/>
    </xf>
    <xf numFmtId="0" fontId="4" fillId="0" borderId="3" xfId="0" applyFont="1" applyBorder="1" applyAlignment="1">
      <alignment horizontal="center" vertical="center"/>
    </xf>
    <xf numFmtId="167" fontId="4" fillId="0" borderId="6" xfId="0" applyNumberFormat="1" applyFont="1" applyFill="1" applyBorder="1" applyAlignment="1">
      <alignment horizontal="center" vertical="center"/>
    </xf>
    <xf numFmtId="0" fontId="5" fillId="0" borderId="6" xfId="0" applyFont="1" applyFill="1" applyBorder="1" applyAlignment="1">
      <alignment horizontal="center" vertical="center"/>
    </xf>
    <xf numFmtId="167" fontId="5" fillId="0" borderId="26" xfId="0" applyNumberFormat="1" applyFont="1" applyFill="1" applyBorder="1" applyAlignment="1">
      <alignment horizontal="center" vertical="center"/>
    </xf>
    <xf numFmtId="0" fontId="5" fillId="0" borderId="27" xfId="0" applyFont="1" applyFill="1" applyBorder="1" applyAlignment="1">
      <alignment horizontal="center" vertical="center"/>
    </xf>
    <xf numFmtId="0" fontId="5" fillId="3" borderId="3" xfId="0" applyFont="1" applyFill="1" applyBorder="1" applyAlignment="1">
      <alignment horizontal="center" vertical="center"/>
    </xf>
    <xf numFmtId="167" fontId="5" fillId="0" borderId="27" xfId="0" applyNumberFormat="1" applyFont="1" applyFill="1" applyBorder="1" applyAlignment="1">
      <alignment horizontal="center" vertical="center"/>
    </xf>
    <xf numFmtId="167" fontId="4" fillId="0" borderId="4" xfId="0" applyNumberFormat="1" applyFont="1" applyFill="1" applyBorder="1" applyAlignment="1">
      <alignment horizontal="center" vertical="center"/>
    </xf>
    <xf numFmtId="3" fontId="5" fillId="0" borderId="4" xfId="0" applyNumberFormat="1" applyFont="1" applyBorder="1" applyAlignment="1">
      <alignment horizontal="center" vertical="center"/>
    </xf>
    <xf numFmtId="167" fontId="0" fillId="2" borderId="5" xfId="0" applyNumberFormat="1" applyFill="1" applyBorder="1" applyAlignment="1">
      <alignment horizontal="center" vertical="center"/>
    </xf>
    <xf numFmtId="0" fontId="1" fillId="0" borderId="2" xfId="0" applyFont="1" applyBorder="1" applyAlignment="1">
      <alignment horizontal="center" vertical="center"/>
    </xf>
    <xf numFmtId="173" fontId="1" fillId="0" borderId="8" xfId="0" applyNumberFormat="1" applyFont="1" applyBorder="1" applyAlignment="1">
      <alignment horizontal="center" vertical="center"/>
    </xf>
    <xf numFmtId="166" fontId="5" fillId="0" borderId="25" xfId="0" applyNumberFormat="1" applyFont="1" applyFill="1" applyBorder="1" applyAlignment="1">
      <alignment horizontal="center" vertical="center"/>
    </xf>
    <xf numFmtId="4" fontId="9" fillId="0" borderId="0" xfId="0" applyNumberFormat="1" applyFont="1" applyBorder="1" applyAlignment="1">
      <alignment horizontal="center" vertical="center"/>
    </xf>
    <xf numFmtId="8" fontId="1" fillId="0" borderId="0" xfId="0" applyNumberFormat="1" applyFont="1" applyBorder="1" applyAlignment="1">
      <alignment horizontal="left" vertical="center"/>
    </xf>
    <xf numFmtId="0" fontId="8" fillId="0" borderId="3" xfId="0" applyFont="1" applyBorder="1" applyAlignment="1">
      <alignment horizontal="right" vertical="center"/>
    </xf>
    <xf numFmtId="0" fontId="1" fillId="0" borderId="23" xfId="0" applyFont="1" applyBorder="1" applyAlignment="1">
      <alignment horizontal="center" vertical="center"/>
    </xf>
    <xf numFmtId="0" fontId="0" fillId="0" borderId="24" xfId="0" applyBorder="1" applyAlignment="1">
      <alignment horizontal="center" vertical="center"/>
    </xf>
    <xf numFmtId="0" fontId="0" fillId="0" borderId="24" xfId="0" applyBorder="1" applyAlignment="1">
      <alignment horizontal="left" vertical="center"/>
    </xf>
    <xf numFmtId="0" fontId="3" fillId="0" borderId="24" xfId="0" applyFont="1" applyBorder="1" applyAlignment="1">
      <alignment horizontal="center" vertical="center"/>
    </xf>
    <xf numFmtId="0" fontId="0" fillId="2" borderId="24" xfId="0" applyFill="1" applyBorder="1" applyAlignment="1">
      <alignment horizontal="center" vertical="center"/>
    </xf>
    <xf numFmtId="0" fontId="1" fillId="0" borderId="24" xfId="0" applyFont="1" applyBorder="1" applyAlignment="1">
      <alignment horizontal="center" vertical="center"/>
    </xf>
    <xf numFmtId="10" fontId="0" fillId="0" borderId="25" xfId="0" applyNumberFormat="1" applyBorder="1" applyAlignment="1">
      <alignment horizontal="center" vertical="center"/>
    </xf>
    <xf numFmtId="168" fontId="5" fillId="0" borderId="0" xfId="3" applyNumberFormat="1" applyFont="1" applyFill="1" applyBorder="1" applyAlignment="1">
      <alignment horizontal="center" vertical="center"/>
    </xf>
    <xf numFmtId="174" fontId="5" fillId="0" borderId="0" xfId="0" applyNumberFormat="1" applyFont="1" applyBorder="1" applyAlignment="1">
      <alignment horizontal="center" vertical="center"/>
    </xf>
    <xf numFmtId="7" fontId="5" fillId="0" borderId="4" xfId="0" applyNumberFormat="1" applyFont="1" applyBorder="1" applyAlignment="1">
      <alignment horizontal="center" vertical="center"/>
    </xf>
    <xf numFmtId="167" fontId="4" fillId="0" borderId="1" xfId="0" applyNumberFormat="1" applyFont="1" applyFill="1" applyBorder="1" applyAlignment="1">
      <alignment horizontal="center" vertical="center"/>
    </xf>
    <xf numFmtId="0" fontId="0" fillId="0" borderId="0" xfId="0" applyAlignment="1">
      <alignment horizontal="right" vertical="center"/>
    </xf>
    <xf numFmtId="14" fontId="0" fillId="0" borderId="0" xfId="0" applyNumberFormat="1" applyAlignment="1">
      <alignment vertical="center"/>
    </xf>
    <xf numFmtId="8" fontId="0" fillId="0" borderId="0" xfId="0" applyNumberFormat="1" applyAlignment="1">
      <alignment vertical="center"/>
    </xf>
    <xf numFmtId="3" fontId="0" fillId="0" borderId="0" xfId="0" applyNumberFormat="1" applyAlignment="1">
      <alignment vertical="center"/>
    </xf>
    <xf numFmtId="0" fontId="0" fillId="0" borderId="0" xfId="0" applyAlignment="1">
      <alignment vertical="center"/>
    </xf>
    <xf numFmtId="0" fontId="0" fillId="0" borderId="0" xfId="0" applyAlignment="1">
      <alignment horizontal="right" vertical="center" wrapText="1"/>
    </xf>
    <xf numFmtId="0" fontId="1" fillId="0" borderId="0" xfId="0" applyFont="1" applyAlignment="1">
      <alignment vertical="center" wrapText="1"/>
    </xf>
    <xf numFmtId="0" fontId="3" fillId="0" borderId="0" xfId="0" applyFont="1" applyAlignment="1">
      <alignment vertical="center" wrapText="1"/>
    </xf>
    <xf numFmtId="178" fontId="1" fillId="0" borderId="0" xfId="0" applyNumberFormat="1" applyFont="1" applyAlignment="1">
      <alignment horizontal="center" vertical="center"/>
    </xf>
    <xf numFmtId="186" fontId="0" fillId="0" borderId="0" xfId="0" applyNumberFormat="1" applyAlignment="1">
      <alignment horizontal="center" vertical="center"/>
    </xf>
    <xf numFmtId="14" fontId="5" fillId="0" borderId="0" xfId="0" applyNumberFormat="1" applyFont="1" applyFill="1" applyBorder="1" applyAlignment="1">
      <alignment horizontal="center" vertical="center"/>
    </xf>
    <xf numFmtId="195" fontId="1" fillId="0" borderId="0" xfId="0" applyNumberFormat="1" applyFont="1" applyAlignment="1">
      <alignment horizontal="center" vertical="center"/>
    </xf>
    <xf numFmtId="189" fontId="0" fillId="0" borderId="0" xfId="0" applyNumberFormat="1" applyBorder="1" applyAlignment="1">
      <alignment horizontal="center" vertical="center"/>
    </xf>
    <xf numFmtId="189" fontId="0" fillId="0" borderId="7" xfId="0" applyNumberFormat="1" applyBorder="1" applyAlignment="1">
      <alignment horizontal="center" vertical="center"/>
    </xf>
    <xf numFmtId="1" fontId="1" fillId="0" borderId="0" xfId="0" applyNumberFormat="1" applyFont="1" applyBorder="1" applyAlignment="1">
      <alignment horizontal="center" vertical="center"/>
    </xf>
    <xf numFmtId="0" fontId="3" fillId="0" borderId="3" xfId="0" applyFont="1" applyBorder="1" applyAlignment="1">
      <alignment horizontal="center" vertical="center"/>
    </xf>
    <xf numFmtId="174" fontId="0" fillId="0" borderId="0" xfId="0" applyNumberFormat="1" applyAlignment="1">
      <alignment horizontal="left" vertical="center"/>
    </xf>
    <xf numFmtId="10" fontId="3" fillId="0" borderId="0" xfId="0" applyNumberFormat="1" applyFont="1" applyBorder="1" applyAlignment="1">
      <alignment horizontal="center" vertical="center"/>
    </xf>
    <xf numFmtId="196" fontId="0" fillId="0" borderId="0" xfId="0" applyNumberFormat="1" applyBorder="1" applyAlignment="1">
      <alignment horizontal="left" vertical="center"/>
    </xf>
    <xf numFmtId="167" fontId="5" fillId="0" borderId="0" xfId="0" applyNumberFormat="1" applyFont="1" applyBorder="1" applyAlignment="1">
      <alignment horizontal="left" vertical="center"/>
    </xf>
    <xf numFmtId="3" fontId="5" fillId="2" borderId="25"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5" fillId="0" borderId="4" xfId="0" applyNumberFormat="1" applyFont="1" applyFill="1" applyBorder="1" applyAlignment="1">
      <alignment horizontal="center" vertical="center"/>
    </xf>
    <xf numFmtId="167" fontId="5" fillId="2" borderId="25"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0" fontId="0" fillId="0" borderId="3" xfId="0" applyBorder="1" applyAlignment="1">
      <alignment horizontal="left" vertical="center"/>
    </xf>
    <xf numFmtId="0" fontId="5" fillId="20" borderId="0" xfId="0" applyFont="1" applyFill="1" applyBorder="1" applyAlignment="1">
      <alignment horizontal="center" vertical="center"/>
    </xf>
    <xf numFmtId="0" fontId="5" fillId="23" borderId="0" xfId="0" applyFont="1" applyFill="1" applyBorder="1" applyAlignment="1">
      <alignment horizontal="center" vertical="center"/>
    </xf>
    <xf numFmtId="4" fontId="8" fillId="0" borderId="4" xfId="0" applyNumberFormat="1" applyFont="1" applyFill="1" applyBorder="1" applyAlignment="1">
      <alignment horizontal="center" vertical="center"/>
    </xf>
    <xf numFmtId="0" fontId="9" fillId="0" borderId="1" xfId="0" applyFont="1" applyBorder="1" applyAlignment="1">
      <alignment horizontal="left" vertical="center"/>
    </xf>
    <xf numFmtId="44" fontId="5" fillId="0" borderId="0" xfId="0" applyNumberFormat="1" applyFont="1" applyFill="1" applyBorder="1" applyAlignment="1">
      <alignment horizontal="center" vertical="center"/>
    </xf>
    <xf numFmtId="166" fontId="4" fillId="0" borderId="0" xfId="0" applyNumberFormat="1" applyFont="1" applyBorder="1" applyAlignment="1">
      <alignment horizontal="center" vertical="center"/>
    </xf>
    <xf numFmtId="164" fontId="5" fillId="0" borderId="0" xfId="3" applyNumberFormat="1" applyFont="1" applyBorder="1" applyAlignment="1">
      <alignment horizontal="center" vertical="center"/>
    </xf>
    <xf numFmtId="2" fontId="8" fillId="0" borderId="8" xfId="0" applyNumberFormat="1" applyFont="1" applyBorder="1" applyAlignment="1">
      <alignment horizontal="center" vertical="center"/>
    </xf>
    <xf numFmtId="9" fontId="4" fillId="0" borderId="0" xfId="0" applyNumberFormat="1" applyFont="1" applyBorder="1" applyAlignment="1">
      <alignment horizontal="center" vertical="center"/>
    </xf>
    <xf numFmtId="9" fontId="5" fillId="0" borderId="0"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0" fontId="5" fillId="0" borderId="0" xfId="0" applyFont="1" applyFill="1" applyAlignment="1">
      <alignment horizontal="left"/>
    </xf>
    <xf numFmtId="0" fontId="5" fillId="0" borderId="0" xfId="0" quotePrefix="1" applyFont="1" applyFill="1" applyBorder="1" applyAlignment="1">
      <alignment horizontal="center" vertical="center"/>
    </xf>
    <xf numFmtId="173" fontId="5" fillId="0" borderId="0" xfId="0" applyNumberFormat="1" applyFont="1" applyFill="1" applyBorder="1" applyAlignment="1">
      <alignment horizontal="center" vertical="center"/>
    </xf>
    <xf numFmtId="8" fontId="5" fillId="0" borderId="0" xfId="0" applyNumberFormat="1" applyFont="1" applyFill="1" applyBorder="1" applyAlignment="1">
      <alignment horizontal="center" vertical="center"/>
    </xf>
    <xf numFmtId="15" fontId="5" fillId="0" borderId="0" xfId="0" applyNumberFormat="1" applyFont="1" applyBorder="1" applyAlignment="1">
      <alignment horizontal="center" vertical="center"/>
    </xf>
    <xf numFmtId="0" fontId="4" fillId="0" borderId="5" xfId="0" applyFont="1" applyBorder="1" applyAlignment="1">
      <alignment horizontal="center" vertical="center"/>
    </xf>
    <xf numFmtId="167" fontId="4" fillId="0" borderId="7" xfId="0" applyNumberFormat="1" applyFont="1" applyBorder="1" applyAlignment="1">
      <alignment horizontal="center" vertical="center"/>
    </xf>
    <xf numFmtId="10" fontId="5" fillId="2" borderId="3" xfId="3" applyNumberFormat="1" applyFont="1" applyFill="1" applyBorder="1" applyAlignment="1">
      <alignment horizontal="center" vertical="center"/>
    </xf>
    <xf numFmtId="189" fontId="0" fillId="0" borderId="0" xfId="0" applyNumberFormat="1" applyAlignment="1">
      <alignment horizontal="center" vertical="center"/>
    </xf>
    <xf numFmtId="0" fontId="8" fillId="0" borderId="10" xfId="0" applyFont="1" applyFill="1" applyBorder="1" applyAlignment="1">
      <alignment horizontal="center" vertical="center"/>
    </xf>
    <xf numFmtId="0" fontId="1" fillId="0" borderId="12" xfId="0" applyFont="1" applyBorder="1" applyAlignment="1">
      <alignment horizontal="center" vertical="center"/>
    </xf>
    <xf numFmtId="173" fontId="0" fillId="0" borderId="12" xfId="0" applyNumberFormat="1" applyBorder="1" applyAlignment="1">
      <alignment horizontal="center" vertical="center"/>
    </xf>
    <xf numFmtId="173" fontId="0" fillId="0" borderId="12" xfId="0" applyNumberFormat="1" applyFill="1" applyBorder="1" applyAlignment="1">
      <alignment horizontal="center" vertical="center"/>
    </xf>
    <xf numFmtId="167" fontId="1" fillId="0" borderId="14" xfId="0" applyNumberFormat="1" applyFont="1" applyBorder="1" applyAlignment="1">
      <alignment horizontal="center" vertical="center"/>
    </xf>
    <xf numFmtId="167" fontId="0" fillId="0" borderId="14" xfId="0" applyNumberFormat="1" applyBorder="1" applyAlignment="1">
      <alignment horizontal="center" vertical="center"/>
    </xf>
    <xf numFmtId="9" fontId="0" fillId="0" borderId="14" xfId="3" applyFont="1" applyBorder="1" applyAlignment="1">
      <alignment horizontal="center" vertical="center"/>
    </xf>
    <xf numFmtId="173" fontId="1" fillId="0" borderId="14" xfId="0" applyNumberFormat="1"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0" borderId="16" xfId="0" applyBorder="1" applyAlignment="1">
      <alignment horizontal="center" vertical="center"/>
    </xf>
    <xf numFmtId="0" fontId="1" fillId="0" borderId="17" xfId="0" applyFont="1" applyBorder="1" applyAlignment="1">
      <alignment horizontal="center" vertical="center"/>
    </xf>
    <xf numFmtId="173" fontId="0" fillId="0" borderId="17" xfId="0" applyNumberFormat="1" applyBorder="1" applyAlignment="1">
      <alignment horizontal="center" vertical="center"/>
    </xf>
    <xf numFmtId="0" fontId="5" fillId="26" borderId="0" xfId="0" applyFont="1" applyFill="1" applyBorder="1" applyAlignment="1">
      <alignment horizontal="center" vertical="center"/>
    </xf>
    <xf numFmtId="0" fontId="8" fillId="26" borderId="4" xfId="0" applyFont="1" applyFill="1" applyBorder="1" applyAlignment="1">
      <alignment horizontal="center" vertical="center"/>
    </xf>
    <xf numFmtId="0" fontId="4" fillId="0" borderId="4" xfId="0" applyFont="1" applyFill="1" applyBorder="1" applyAlignment="1">
      <alignment horizontal="center" vertical="center"/>
    </xf>
    <xf numFmtId="4" fontId="8" fillId="0" borderId="5" xfId="0" applyNumberFormat="1" applyFont="1" applyFill="1" applyBorder="1" applyAlignment="1">
      <alignment horizontal="center" vertical="center"/>
    </xf>
    <xf numFmtId="0" fontId="8" fillId="0" borderId="8" xfId="0" applyFont="1" applyFill="1" applyBorder="1" applyAlignment="1">
      <alignment horizontal="center" vertical="center"/>
    </xf>
    <xf numFmtId="167" fontId="0" fillId="0" borderId="4" xfId="0" applyNumberFormat="1" applyBorder="1" applyAlignment="1">
      <alignment horizontal="left" vertical="center"/>
    </xf>
    <xf numFmtId="167" fontId="5" fillId="0" borderId="7" xfId="0" applyNumberFormat="1" applyFont="1" applyFill="1" applyBorder="1" applyAlignment="1">
      <alignment horizontal="center" vertical="center"/>
    </xf>
    <xf numFmtId="0" fontId="4" fillId="0" borderId="10" xfId="0" applyFont="1" applyBorder="1" applyAlignment="1">
      <alignment horizontal="center" vertical="center"/>
    </xf>
    <xf numFmtId="167" fontId="5" fillId="0" borderId="10" xfId="0" applyNumberFormat="1" applyFont="1" applyBorder="1" applyAlignment="1">
      <alignment horizontal="center" vertical="center"/>
    </xf>
    <xf numFmtId="0" fontId="5" fillId="0" borderId="10" xfId="0" applyFont="1" applyBorder="1" applyAlignment="1">
      <alignment horizontal="center" vertical="center"/>
    </xf>
    <xf numFmtId="2" fontId="5" fillId="0" borderId="10" xfId="0" applyNumberFormat="1" applyFont="1" applyBorder="1" applyAlignment="1">
      <alignment horizontal="center" vertical="center"/>
    </xf>
    <xf numFmtId="167" fontId="4" fillId="0" borderId="10" xfId="0" applyNumberFormat="1" applyFont="1" applyBorder="1" applyAlignment="1">
      <alignment horizontal="center" vertical="center"/>
    </xf>
    <xf numFmtId="176" fontId="0" fillId="0" borderId="0" xfId="0" applyNumberFormat="1" applyAlignment="1">
      <alignment horizontal="left" vertical="center"/>
    </xf>
    <xf numFmtId="167" fontId="0" fillId="0" borderId="0" xfId="3" applyNumberFormat="1" applyFont="1" applyBorder="1" applyAlignment="1">
      <alignment horizontal="center" vertical="center"/>
    </xf>
    <xf numFmtId="0" fontId="3" fillId="0" borderId="1" xfId="0" applyFont="1" applyBorder="1" applyAlignment="1">
      <alignment horizontal="center" vertical="center"/>
    </xf>
    <xf numFmtId="178" fontId="1" fillId="0" borderId="5" xfId="0" applyNumberFormat="1" applyFont="1" applyBorder="1" applyAlignment="1">
      <alignment horizontal="center" vertical="center"/>
    </xf>
    <xf numFmtId="167" fontId="0" fillId="0" borderId="7" xfId="3" applyNumberFormat="1" applyFont="1" applyBorder="1" applyAlignment="1">
      <alignment horizontal="center" vertical="center"/>
    </xf>
    <xf numFmtId="4" fontId="0" fillId="0" borderId="0" xfId="0" applyNumberFormat="1" applyAlignment="1">
      <alignment horizontal="left" vertical="center"/>
    </xf>
    <xf numFmtId="9" fontId="1" fillId="0" borderId="0" xfId="3" applyFont="1" applyAlignment="1">
      <alignment horizontal="center" vertical="center"/>
    </xf>
    <xf numFmtId="1" fontId="0" fillId="0" borderId="0" xfId="0" applyNumberFormat="1" applyFill="1" applyBorder="1" applyAlignment="1">
      <alignment horizontal="center" vertical="center"/>
    </xf>
    <xf numFmtId="0" fontId="0" fillId="18" borderId="0" xfId="0" applyFill="1" applyAlignment="1" applyProtection="1">
      <alignment horizontal="left" vertical="center"/>
      <protection locked="0"/>
    </xf>
    <xf numFmtId="0" fontId="0" fillId="0" borderId="0" xfId="0" applyFill="1" applyAlignment="1" applyProtection="1">
      <alignment horizontal="center" vertical="center"/>
      <protection locked="0"/>
    </xf>
    <xf numFmtId="4" fontId="5" fillId="0" borderId="4" xfId="0" applyNumberFormat="1" applyFont="1" applyBorder="1" applyAlignment="1">
      <alignment horizontal="center" vertical="center"/>
    </xf>
    <xf numFmtId="193" fontId="5" fillId="0" borderId="0" xfId="0" applyNumberFormat="1" applyFont="1" applyBorder="1" applyAlignment="1">
      <alignment horizontal="center" vertical="center"/>
    </xf>
    <xf numFmtId="167" fontId="5" fillId="0" borderId="0" xfId="3" applyNumberFormat="1" applyFont="1" applyFill="1" applyBorder="1" applyAlignment="1">
      <alignment horizontal="center" vertical="center"/>
    </xf>
    <xf numFmtId="3" fontId="5" fillId="25" borderId="0" xfId="0" applyNumberFormat="1" applyFont="1" applyFill="1" applyBorder="1" applyAlignment="1">
      <alignment horizontal="left" vertical="center"/>
    </xf>
    <xf numFmtId="172" fontId="5" fillId="0" borderId="4" xfId="3" applyNumberFormat="1" applyFont="1" applyBorder="1" applyAlignment="1">
      <alignment horizontal="center" vertical="center"/>
    </xf>
    <xf numFmtId="9" fontId="5" fillId="0" borderId="0" xfId="3" applyNumberFormat="1" applyFont="1" applyFill="1" applyBorder="1" applyAlignment="1">
      <alignment horizontal="center" vertical="center"/>
    </xf>
    <xf numFmtId="0" fontId="5" fillId="2" borderId="3" xfId="0" applyFont="1" applyFill="1" applyBorder="1" applyAlignment="1">
      <alignment horizontal="center" vertical="center"/>
    </xf>
    <xf numFmtId="9" fontId="5" fillId="0" borderId="7" xfId="3" applyNumberFormat="1" applyFont="1" applyFill="1" applyBorder="1" applyAlignment="1">
      <alignment horizontal="center" vertical="center"/>
    </xf>
    <xf numFmtId="168" fontId="5" fillId="25" borderId="0" xfId="0" applyNumberFormat="1" applyFont="1" applyFill="1" applyBorder="1" applyAlignment="1">
      <alignment horizontal="left" vertical="center"/>
    </xf>
    <xf numFmtId="197" fontId="5" fillId="25" borderId="0" xfId="0" applyNumberFormat="1" applyFont="1" applyFill="1" applyBorder="1" applyAlignment="1">
      <alignment horizontal="left" vertical="center"/>
    </xf>
    <xf numFmtId="169" fontId="5" fillId="25" borderId="7" xfId="0" applyNumberFormat="1" applyFont="1" applyFill="1" applyBorder="1" applyAlignment="1">
      <alignment horizontal="left" vertical="center"/>
    </xf>
    <xf numFmtId="167" fontId="5" fillId="2" borderId="3" xfId="0" applyNumberFormat="1" applyFont="1" applyFill="1" applyBorder="1" applyAlignment="1">
      <alignment horizontal="center" vertical="center"/>
    </xf>
    <xf numFmtId="169" fontId="5" fillId="25" borderId="0" xfId="0" applyNumberFormat="1" applyFont="1" applyFill="1" applyBorder="1" applyAlignment="1">
      <alignment horizontal="left" vertical="center"/>
    </xf>
    <xf numFmtId="193" fontId="4" fillId="0" borderId="6" xfId="0" applyNumberFormat="1" applyFont="1" applyFill="1" applyBorder="1" applyAlignment="1">
      <alignment horizontal="center" vertical="center"/>
    </xf>
    <xf numFmtId="4" fontId="5" fillId="2" borderId="3" xfId="0" applyNumberFormat="1" applyFont="1" applyFill="1" applyBorder="1" applyAlignment="1">
      <alignment horizontal="center" vertical="center"/>
    </xf>
    <xf numFmtId="193" fontId="5" fillId="25" borderId="0" xfId="0" applyNumberFormat="1" applyFont="1" applyFill="1" applyBorder="1" applyAlignment="1">
      <alignment horizontal="left" vertical="center"/>
    </xf>
    <xf numFmtId="3" fontId="5" fillId="0" borderId="3" xfId="0" applyNumberFormat="1" applyFont="1" applyBorder="1" applyAlignment="1">
      <alignment horizontal="center" vertical="center"/>
    </xf>
    <xf numFmtId="189" fontId="5" fillId="0" borderId="0" xfId="0" applyNumberFormat="1" applyFont="1" applyFill="1" applyBorder="1" applyAlignment="1">
      <alignment horizontal="center" vertical="center"/>
    </xf>
    <xf numFmtId="177" fontId="5" fillId="0" borderId="0" xfId="3" applyNumberFormat="1" applyFont="1" applyBorder="1" applyAlignment="1">
      <alignment horizontal="center" vertical="center"/>
    </xf>
    <xf numFmtId="0" fontId="4" fillId="0" borderId="2" xfId="0" applyFont="1" applyBorder="1" applyAlignment="1">
      <alignment horizontal="left" vertical="center"/>
    </xf>
    <xf numFmtId="9" fontId="5" fillId="0" borderId="0" xfId="3" applyFont="1" applyBorder="1" applyAlignment="1">
      <alignment horizontal="center" vertical="center"/>
    </xf>
    <xf numFmtId="3" fontId="5" fillId="0" borderId="3" xfId="0" applyNumberFormat="1" applyFont="1" applyFill="1" applyBorder="1" applyAlignment="1">
      <alignment horizontal="center" vertical="center"/>
    </xf>
    <xf numFmtId="4" fontId="5" fillId="0" borderId="3" xfId="0" applyNumberFormat="1" applyFont="1" applyFill="1" applyBorder="1" applyAlignment="1">
      <alignment horizontal="center" vertical="center"/>
    </xf>
    <xf numFmtId="168" fontId="12" fillId="0" borderId="0" xfId="0" applyNumberFormat="1" applyFont="1" applyFill="1" applyAlignment="1">
      <alignment horizontal="center" vertical="center"/>
    </xf>
    <xf numFmtId="168" fontId="12" fillId="0" borderId="0" xfId="0" applyNumberFormat="1" applyFont="1" applyFill="1" applyAlignment="1">
      <alignment horizontal="left" vertical="center"/>
    </xf>
    <xf numFmtId="2" fontId="4" fillId="0" borderId="0" xfId="0" applyNumberFormat="1" applyFont="1" applyBorder="1" applyAlignment="1">
      <alignment horizontal="center" vertical="center"/>
    </xf>
    <xf numFmtId="14" fontId="0" fillId="2" borderId="0" xfId="0" applyNumberFormat="1" applyFill="1" applyAlignment="1">
      <alignment horizontal="center" vertical="center"/>
    </xf>
    <xf numFmtId="4" fontId="0" fillId="0" borderId="0" xfId="3" applyNumberFormat="1" applyFont="1" applyAlignment="1">
      <alignment horizontal="center" vertical="center"/>
    </xf>
    <xf numFmtId="169" fontId="0" fillId="0" borderId="0" xfId="0" applyNumberFormat="1" applyAlignment="1">
      <alignment horizontal="left" vertical="center"/>
    </xf>
    <xf numFmtId="10" fontId="1" fillId="0" borderId="0" xfId="0" applyNumberFormat="1" applyFont="1" applyAlignment="1">
      <alignment horizontal="center" vertical="center"/>
    </xf>
    <xf numFmtId="49" fontId="1" fillId="0" borderId="0" xfId="0" applyNumberFormat="1" applyFont="1" applyAlignment="1">
      <alignment horizontal="center" vertical="center"/>
    </xf>
    <xf numFmtId="49" fontId="1" fillId="0" borderId="0" xfId="0" quotePrefix="1" applyNumberFormat="1" applyFont="1" applyAlignment="1">
      <alignment horizontal="center" vertical="center"/>
    </xf>
    <xf numFmtId="167" fontId="1" fillId="2" borderId="0" xfId="0" applyNumberFormat="1" applyFont="1" applyFill="1" applyAlignment="1">
      <alignment horizontal="center" vertical="center"/>
    </xf>
    <xf numFmtId="0" fontId="5" fillId="21" borderId="0" xfId="0" applyFont="1" applyFill="1" applyBorder="1" applyAlignment="1">
      <alignment horizontal="center" vertical="center"/>
    </xf>
    <xf numFmtId="0" fontId="3" fillId="0" borderId="0" xfId="0" applyFont="1" applyAlignment="1">
      <alignment horizontal="left" vertical="center"/>
    </xf>
    <xf numFmtId="44" fontId="1" fillId="0" borderId="0" xfId="1" applyFont="1" applyAlignment="1">
      <alignment horizontal="center" vertical="center"/>
    </xf>
    <xf numFmtId="167" fontId="5" fillId="0" borderId="0" xfId="5" applyNumberFormat="1" applyFont="1" applyBorder="1" applyAlignment="1">
      <alignment horizontal="center" vertical="center"/>
    </xf>
    <xf numFmtId="7" fontId="1" fillId="0" borderId="0" xfId="1" applyNumberFormat="1" applyFont="1" applyFill="1" applyAlignment="1">
      <alignment horizontal="center" vertical="center"/>
    </xf>
    <xf numFmtId="10" fontId="5" fillId="0" borderId="4" xfId="0" applyNumberFormat="1" applyFont="1" applyBorder="1" applyAlignment="1">
      <alignment horizontal="center" vertical="center"/>
    </xf>
    <xf numFmtId="0" fontId="4" fillId="0" borderId="2" xfId="0" applyFont="1" applyBorder="1" applyAlignment="1">
      <alignment horizontal="center" vertical="center"/>
    </xf>
    <xf numFmtId="1" fontId="5" fillId="0" borderId="0" xfId="0" applyNumberFormat="1" applyFont="1" applyBorder="1" applyAlignment="1">
      <alignment horizontal="center" vertical="center"/>
    </xf>
    <xf numFmtId="10" fontId="5" fillId="0" borderId="7" xfId="3" applyNumberFormat="1" applyFont="1" applyFill="1" applyBorder="1" applyAlignment="1">
      <alignment horizontal="center" vertical="center"/>
    </xf>
    <xf numFmtId="44" fontId="5" fillId="0" borderId="0" xfId="1" applyNumberFormat="1" applyFont="1" applyBorder="1" applyAlignment="1">
      <alignment horizontal="center" vertical="center"/>
    </xf>
    <xf numFmtId="183" fontId="1" fillId="0" borderId="0" xfId="0" applyNumberFormat="1" applyFont="1" applyAlignment="1">
      <alignment horizontal="center" vertical="center"/>
    </xf>
    <xf numFmtId="14" fontId="1" fillId="0" borderId="0" xfId="0" applyNumberFormat="1" applyFont="1" applyBorder="1" applyAlignment="1">
      <alignment horizontal="center" vertical="center"/>
    </xf>
    <xf numFmtId="49" fontId="1" fillId="0" borderId="0" xfId="0" applyNumberFormat="1" applyFont="1" applyBorder="1" applyAlignment="1">
      <alignment horizontal="center" vertical="center"/>
    </xf>
    <xf numFmtId="10" fontId="1" fillId="0" borderId="0" xfId="0" applyNumberFormat="1" applyFont="1" applyBorder="1" applyAlignment="1">
      <alignment horizontal="center" vertical="center"/>
    </xf>
    <xf numFmtId="7" fontId="5" fillId="0" borderId="8" xfId="1" applyNumberFormat="1" applyFont="1" applyFill="1" applyBorder="1" applyAlignment="1">
      <alignment horizontal="center" vertical="center"/>
    </xf>
    <xf numFmtId="167" fontId="5" fillId="2" borderId="2" xfId="0" applyNumberFormat="1" applyFont="1" applyFill="1" applyBorder="1" applyAlignment="1">
      <alignment horizontal="center" vertical="center"/>
    </xf>
    <xf numFmtId="4" fontId="5" fillId="0" borderId="4" xfId="0" applyNumberFormat="1" applyFont="1" applyFill="1" applyBorder="1" applyAlignment="1">
      <alignment horizontal="center" vertical="center"/>
    </xf>
    <xf numFmtId="10" fontId="5" fillId="0" borderId="2" xfId="0" applyNumberFormat="1" applyFont="1" applyFill="1" applyBorder="1" applyAlignment="1">
      <alignment horizontal="center" vertical="center"/>
    </xf>
    <xf numFmtId="7" fontId="5" fillId="0" borderId="4" xfId="0" applyNumberFormat="1" applyFont="1" applyFill="1" applyBorder="1" applyAlignment="1">
      <alignment horizontal="center" vertical="center"/>
    </xf>
    <xf numFmtId="10" fontId="5" fillId="0" borderId="5" xfId="0" applyNumberFormat="1" applyFont="1" applyFill="1" applyBorder="1" applyAlignment="1">
      <alignment horizontal="center" vertical="center"/>
    </xf>
    <xf numFmtId="10" fontId="5" fillId="0" borderId="8" xfId="0" applyNumberFormat="1" applyFont="1" applyFill="1" applyBorder="1" applyAlignment="1">
      <alignment horizontal="center" vertical="center"/>
    </xf>
    <xf numFmtId="0" fontId="1" fillId="3" borderId="0"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7" xfId="0" applyFont="1" applyFill="1" applyBorder="1" applyAlignment="1">
      <alignment horizontal="center" vertical="center"/>
    </xf>
    <xf numFmtId="7" fontId="1" fillId="0" borderId="0" xfId="0" applyNumberFormat="1" applyFont="1" applyAlignment="1">
      <alignment horizontal="center" vertical="center"/>
    </xf>
    <xf numFmtId="177" fontId="0" fillId="2" borderId="0" xfId="0" applyNumberFormat="1" applyFill="1" applyBorder="1" applyAlignment="1">
      <alignment horizontal="center" vertical="center"/>
    </xf>
    <xf numFmtId="177" fontId="0" fillId="0" borderId="0" xfId="0" applyNumberFormat="1" applyBorder="1" applyAlignment="1">
      <alignment horizontal="center" vertical="center"/>
    </xf>
    <xf numFmtId="177" fontId="0" fillId="0" borderId="4" xfId="0" applyNumberFormat="1" applyBorder="1" applyAlignment="1">
      <alignment horizontal="center" vertical="center"/>
    </xf>
    <xf numFmtId="177" fontId="0" fillId="0" borderId="7" xfId="0" applyNumberFormat="1" applyBorder="1" applyAlignment="1">
      <alignment horizontal="center" vertical="center"/>
    </xf>
    <xf numFmtId="177" fontId="0" fillId="2" borderId="8" xfId="0" applyNumberFormat="1" applyFill="1" applyBorder="1" applyAlignment="1">
      <alignment horizontal="center" vertical="center"/>
    </xf>
    <xf numFmtId="175" fontId="1" fillId="0" borderId="0" xfId="3" applyNumberFormat="1" applyFont="1" applyAlignment="1">
      <alignment horizontal="center" vertical="center"/>
    </xf>
    <xf numFmtId="3" fontId="8" fillId="0" borderId="3" xfId="0" applyNumberFormat="1" applyFont="1" applyBorder="1" applyAlignment="1">
      <alignment horizontal="center" vertical="center"/>
    </xf>
    <xf numFmtId="3" fontId="8" fillId="0" borderId="3" xfId="0" applyNumberFormat="1" applyFont="1" applyFill="1" applyBorder="1" applyAlignment="1">
      <alignment horizontal="center" vertical="center"/>
    </xf>
    <xf numFmtId="191" fontId="5" fillId="0" borderId="0" xfId="0" applyNumberFormat="1" applyFont="1" applyBorder="1" applyAlignment="1">
      <alignment horizontal="center" vertical="center"/>
    </xf>
    <xf numFmtId="38" fontId="5" fillId="0" borderId="0" xfId="0" applyNumberFormat="1" applyFont="1" applyBorder="1" applyAlignment="1">
      <alignment horizontal="center" vertical="center"/>
    </xf>
    <xf numFmtId="8" fontId="5" fillId="0" borderId="6" xfId="0" applyNumberFormat="1" applyFont="1" applyBorder="1" applyAlignment="1">
      <alignment horizontal="center" vertical="center"/>
    </xf>
    <xf numFmtId="8" fontId="5" fillId="0" borderId="2" xfId="0" applyNumberFormat="1" applyFont="1" applyBorder="1" applyAlignment="1">
      <alignment horizontal="center" vertical="center"/>
    </xf>
    <xf numFmtId="8" fontId="5" fillId="0" borderId="4" xfId="0" applyNumberFormat="1" applyFont="1" applyBorder="1" applyAlignment="1">
      <alignment horizontal="center" vertical="center"/>
    </xf>
    <xf numFmtId="191" fontId="5" fillId="0" borderId="7" xfId="0" applyNumberFormat="1" applyFont="1" applyBorder="1" applyAlignment="1">
      <alignment horizontal="center" vertical="center"/>
    </xf>
    <xf numFmtId="198" fontId="5" fillId="0" borderId="4" xfId="0" applyNumberFormat="1" applyFont="1" applyBorder="1" applyAlignment="1">
      <alignment horizontal="center" vertical="center"/>
    </xf>
    <xf numFmtId="38" fontId="5" fillId="0" borderId="7" xfId="0" applyNumberFormat="1" applyFont="1" applyBorder="1" applyAlignment="1">
      <alignment horizontal="center" vertical="center"/>
    </xf>
    <xf numFmtId="198" fontId="5" fillId="0" borderId="8" xfId="0" applyNumberFormat="1" applyFont="1" applyBorder="1" applyAlignment="1">
      <alignment horizontal="center" vertical="center"/>
    </xf>
    <xf numFmtId="10" fontId="5" fillId="0" borderId="8" xfId="0" applyNumberFormat="1" applyFont="1" applyBorder="1" applyAlignment="1">
      <alignment horizontal="center" vertical="center"/>
    </xf>
    <xf numFmtId="168" fontId="5" fillId="2" borderId="3"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5" fillId="0" borderId="2" xfId="0" applyFont="1" applyBorder="1" applyAlignment="1">
      <alignment horizontal="left" vertical="center"/>
    </xf>
    <xf numFmtId="0" fontId="4" fillId="0" borderId="4" xfId="0" applyFont="1" applyBorder="1" applyAlignment="1">
      <alignment horizontal="center" vertical="center"/>
    </xf>
    <xf numFmtId="167" fontId="4" fillId="0" borderId="8" xfId="0" applyNumberFormat="1" applyFont="1" applyBorder="1" applyAlignment="1">
      <alignment horizontal="center" vertical="center"/>
    </xf>
    <xf numFmtId="10" fontId="0" fillId="0" borderId="8" xfId="3" applyNumberFormat="1" applyFont="1" applyBorder="1" applyAlignment="1">
      <alignment horizontal="center" vertical="center"/>
    </xf>
    <xf numFmtId="0" fontId="1" fillId="0" borderId="7" xfId="0" applyFont="1" applyBorder="1" applyAlignment="1">
      <alignment horizontal="left" vertical="center"/>
    </xf>
    <xf numFmtId="8" fontId="1" fillId="0" borderId="0" xfId="0" applyNumberFormat="1" applyFont="1" applyBorder="1" applyAlignment="1">
      <alignment horizontal="center" vertical="center"/>
    </xf>
    <xf numFmtId="174" fontId="5" fillId="0" borderId="0" xfId="0" applyNumberFormat="1" applyFont="1" applyFill="1" applyBorder="1" applyAlignment="1">
      <alignment horizontal="center" vertical="center"/>
    </xf>
    <xf numFmtId="2" fontId="5" fillId="0" borderId="1" xfId="0" applyNumberFormat="1" applyFont="1" applyBorder="1" applyAlignment="1">
      <alignment horizontal="center" vertical="center"/>
    </xf>
    <xf numFmtId="2" fontId="5" fillId="0" borderId="2" xfId="0" applyNumberFormat="1" applyFont="1" applyBorder="1" applyAlignment="1">
      <alignment horizontal="center" vertical="center"/>
    </xf>
    <xf numFmtId="4" fontId="5" fillId="0" borderId="3" xfId="0" applyNumberFormat="1" applyFont="1" applyBorder="1" applyAlignment="1">
      <alignment horizontal="center" vertical="center"/>
    </xf>
    <xf numFmtId="2" fontId="5" fillId="0" borderId="4" xfId="0" applyNumberFormat="1" applyFont="1" applyBorder="1" applyAlignment="1">
      <alignment horizontal="center" vertical="center"/>
    </xf>
    <xf numFmtId="14" fontId="5" fillId="0" borderId="5" xfId="0" applyNumberFormat="1" applyFont="1" applyBorder="1" applyAlignment="1">
      <alignment horizontal="center" vertical="center"/>
    </xf>
    <xf numFmtId="2" fontId="5" fillId="0" borderId="3" xfId="0" applyNumberFormat="1" applyFont="1" applyBorder="1" applyAlignment="1">
      <alignment horizontal="center" vertical="center"/>
    </xf>
    <xf numFmtId="0" fontId="7" fillId="0" borderId="2" xfId="0" applyFont="1" applyBorder="1" applyAlignment="1">
      <alignment horizontal="left" vertical="center"/>
    </xf>
    <xf numFmtId="0" fontId="5" fillId="2" borderId="0" xfId="0" applyFont="1" applyFill="1" applyBorder="1" applyAlignment="1">
      <alignment horizontal="center" vertical="center"/>
    </xf>
    <xf numFmtId="0" fontId="5" fillId="0" borderId="8" xfId="0" applyFont="1" applyBorder="1" applyAlignment="1">
      <alignment horizontal="center" vertical="center"/>
    </xf>
    <xf numFmtId="44" fontId="5" fillId="0" borderId="0" xfId="1" applyFont="1" applyBorder="1" applyAlignment="1">
      <alignment horizontal="center" vertical="center"/>
    </xf>
    <xf numFmtId="10" fontId="5" fillId="2" borderId="0" xfId="0" applyNumberFormat="1" applyFont="1" applyFill="1" applyBorder="1" applyAlignment="1">
      <alignment horizontal="center" vertical="center"/>
    </xf>
    <xf numFmtId="0" fontId="4" fillId="0" borderId="3" xfId="0" applyFont="1" applyFill="1" applyBorder="1" applyAlignment="1">
      <alignment horizontal="center" vertical="center"/>
    </xf>
    <xf numFmtId="8" fontId="5" fillId="0" borderId="7" xfId="0" applyNumberFormat="1" applyFont="1" applyFill="1" applyBorder="1" applyAlignment="1">
      <alignment horizontal="center" vertical="center"/>
    </xf>
    <xf numFmtId="9" fontId="4" fillId="0" borderId="2" xfId="0" applyNumberFormat="1" applyFont="1" applyBorder="1" applyAlignment="1">
      <alignment horizontal="center" vertical="center"/>
    </xf>
    <xf numFmtId="8" fontId="4" fillId="0" borderId="3" xfId="0" applyNumberFormat="1" applyFont="1" applyFill="1" applyBorder="1" applyAlignment="1">
      <alignment horizontal="center" vertical="center"/>
    </xf>
    <xf numFmtId="8" fontId="4" fillId="0" borderId="5" xfId="0" applyNumberFormat="1" applyFont="1" applyFill="1" applyBorder="1" applyAlignment="1">
      <alignment horizontal="center" vertical="center"/>
    </xf>
    <xf numFmtId="0" fontId="5" fillId="0" borderId="4" xfId="0" applyFont="1" applyBorder="1" applyAlignment="1">
      <alignment horizontal="left" vertical="center"/>
    </xf>
    <xf numFmtId="167" fontId="5" fillId="0" borderId="8" xfId="0" applyNumberFormat="1" applyFont="1" applyBorder="1" applyAlignment="1">
      <alignment horizontal="left" vertical="center"/>
    </xf>
    <xf numFmtId="7" fontId="3" fillId="0" borderId="0" xfId="0" applyNumberFormat="1" applyFont="1" applyAlignment="1">
      <alignment horizontal="left" vertical="center"/>
    </xf>
    <xf numFmtId="177" fontId="0" fillId="0" borderId="0" xfId="3" applyNumberFormat="1" applyFont="1" applyAlignment="1">
      <alignment horizontal="left" vertical="center"/>
    </xf>
    <xf numFmtId="10" fontId="5" fillId="2" borderId="4" xfId="0" applyNumberFormat="1" applyFont="1" applyFill="1" applyBorder="1" applyAlignment="1">
      <alignment horizontal="center" vertical="center"/>
    </xf>
    <xf numFmtId="0" fontId="4" fillId="0" borderId="31" xfId="0" applyFont="1" applyBorder="1" applyAlignment="1">
      <alignment horizontal="center" vertical="center"/>
    </xf>
    <xf numFmtId="0" fontId="5" fillId="0" borderId="32" xfId="0" applyFont="1" applyBorder="1" applyAlignment="1">
      <alignment horizontal="center" vertical="center"/>
    </xf>
    <xf numFmtId="167" fontId="5" fillId="2" borderId="32" xfId="0" applyNumberFormat="1" applyFont="1" applyFill="1" applyBorder="1" applyAlignment="1">
      <alignment horizontal="center" vertical="center"/>
    </xf>
    <xf numFmtId="0" fontId="5" fillId="0" borderId="32" xfId="0" applyFont="1" applyFill="1" applyBorder="1" applyAlignment="1">
      <alignment horizontal="center" vertical="center"/>
    </xf>
    <xf numFmtId="0" fontId="5" fillId="2" borderId="32" xfId="0" applyFont="1" applyFill="1" applyBorder="1" applyAlignment="1">
      <alignment horizontal="center" vertical="center"/>
    </xf>
    <xf numFmtId="0" fontId="4" fillId="0" borderId="33" xfId="0" applyFont="1" applyBorder="1" applyAlignment="1">
      <alignment horizontal="center" vertical="center"/>
    </xf>
    <xf numFmtId="0" fontId="5" fillId="0" borderId="34" xfId="0" applyFont="1" applyBorder="1" applyAlignment="1">
      <alignment horizontal="center" vertical="center"/>
    </xf>
    <xf numFmtId="0" fontId="5" fillId="0" borderId="34" xfId="0" applyFont="1" applyFill="1" applyBorder="1" applyAlignment="1">
      <alignment horizontal="center" vertical="center"/>
    </xf>
    <xf numFmtId="167" fontId="5" fillId="0" borderId="34" xfId="0" applyNumberFormat="1" applyFont="1" applyBorder="1" applyAlignment="1">
      <alignment horizontal="center" vertical="center"/>
    </xf>
    <xf numFmtId="167" fontId="1" fillId="0" borderId="24" xfId="0" applyNumberFormat="1" applyFont="1" applyBorder="1" applyAlignment="1">
      <alignment horizontal="center" vertical="center"/>
    </xf>
    <xf numFmtId="167" fontId="1" fillId="0" borderId="25" xfId="0" applyNumberFormat="1" applyFont="1" applyBorder="1" applyAlignment="1">
      <alignment horizontal="center" vertical="center"/>
    </xf>
    <xf numFmtId="177" fontId="0" fillId="2" borderId="3" xfId="0" applyNumberFormat="1" applyFill="1" applyBorder="1" applyAlignment="1">
      <alignment horizontal="center" vertical="center"/>
    </xf>
    <xf numFmtId="177" fontId="0" fillId="0" borderId="3" xfId="0" applyNumberFormat="1" applyBorder="1" applyAlignment="1">
      <alignment horizontal="center" vertical="center"/>
    </xf>
    <xf numFmtId="177" fontId="0" fillId="0" borderId="3" xfId="0" applyNumberFormat="1" applyFill="1" applyBorder="1" applyAlignment="1">
      <alignment horizontal="center" vertical="center"/>
    </xf>
    <xf numFmtId="177" fontId="0" fillId="0" borderId="5" xfId="0" applyNumberFormat="1" applyFill="1" applyBorder="1" applyAlignment="1">
      <alignment horizontal="center" vertical="center"/>
    </xf>
    <xf numFmtId="0" fontId="3" fillId="0" borderId="35" xfId="0" applyFont="1" applyFill="1" applyBorder="1" applyAlignment="1">
      <alignment horizontal="center" vertical="center"/>
    </xf>
    <xf numFmtId="0" fontId="3" fillId="0" borderId="36" xfId="0" applyFont="1" applyFill="1" applyBorder="1" applyAlignment="1">
      <alignment horizontal="center" vertical="center"/>
    </xf>
    <xf numFmtId="1" fontId="5" fillId="2" borderId="4" xfId="0" applyNumberFormat="1" applyFont="1" applyFill="1" applyBorder="1" applyAlignment="1">
      <alignment horizontal="center" vertical="center"/>
    </xf>
    <xf numFmtId="166" fontId="5" fillId="0" borderId="3" xfId="0" applyNumberFormat="1" applyFont="1" applyFill="1" applyBorder="1" applyAlignment="1">
      <alignment horizontal="center" vertical="center"/>
    </xf>
    <xf numFmtId="0" fontId="5" fillId="0" borderId="3" xfId="0" applyNumberFormat="1" applyFont="1" applyBorder="1" applyAlignment="1">
      <alignment horizontal="center" vertical="center"/>
    </xf>
    <xf numFmtId="10" fontId="0" fillId="0" borderId="0" xfId="0" applyNumberFormat="1" applyAlignment="1">
      <alignment horizontal="left" vertical="center"/>
    </xf>
    <xf numFmtId="189" fontId="1" fillId="0" borderId="0" xfId="0" applyNumberFormat="1" applyFont="1" applyBorder="1" applyAlignment="1">
      <alignment horizontal="center" vertical="center"/>
    </xf>
    <xf numFmtId="179" fontId="3" fillId="0" borderId="0" xfId="0" applyNumberFormat="1" applyFont="1" applyBorder="1" applyAlignment="1">
      <alignment horizontal="center" vertical="center"/>
    </xf>
    <xf numFmtId="179" fontId="3" fillId="0" borderId="6" xfId="0" applyNumberFormat="1" applyFont="1" applyBorder="1" applyAlignment="1">
      <alignment horizontal="left" vertical="center"/>
    </xf>
    <xf numFmtId="178" fontId="3" fillId="0" borderId="2" xfId="0" applyNumberFormat="1" applyFont="1" applyBorder="1" applyAlignment="1">
      <alignment horizontal="center" vertical="center"/>
    </xf>
    <xf numFmtId="1" fontId="0" fillId="0" borderId="4" xfId="0" applyNumberFormat="1" applyBorder="1" applyAlignment="1">
      <alignment horizontal="center" vertical="center"/>
    </xf>
    <xf numFmtId="178" fontId="3" fillId="0" borderId="4" xfId="0" applyNumberFormat="1" applyFont="1" applyBorder="1" applyAlignment="1">
      <alignment horizontal="center" vertical="center"/>
    </xf>
    <xf numFmtId="1" fontId="0" fillId="0" borderId="8" xfId="0" applyNumberFormat="1" applyBorder="1" applyAlignment="1">
      <alignment horizontal="center" vertical="center"/>
    </xf>
    <xf numFmtId="178" fontId="1" fillId="0" borderId="37" xfId="0" applyNumberFormat="1" applyFont="1" applyBorder="1" applyAlignment="1">
      <alignment horizontal="center" vertical="center"/>
    </xf>
    <xf numFmtId="0" fontId="0" fillId="2" borderId="38" xfId="0" applyFill="1" applyBorder="1" applyAlignment="1">
      <alignment horizontal="center" vertical="center"/>
    </xf>
    <xf numFmtId="189" fontId="0" fillId="0" borderId="38" xfId="0" applyNumberFormat="1" applyBorder="1" applyAlignment="1">
      <alignment horizontal="center" vertical="center"/>
    </xf>
    <xf numFmtId="1" fontId="0" fillId="0" borderId="38" xfId="0" applyNumberFormat="1" applyBorder="1" applyAlignment="1">
      <alignment horizontal="center" vertical="center"/>
    </xf>
    <xf numFmtId="189" fontId="1" fillId="0" borderId="38" xfId="0" applyNumberFormat="1" applyFont="1" applyBorder="1" applyAlignment="1">
      <alignment horizontal="center" vertical="center"/>
    </xf>
    <xf numFmtId="1" fontId="0" fillId="0" borderId="39" xfId="0" applyNumberFormat="1" applyBorder="1" applyAlignment="1">
      <alignment horizontal="center" vertical="center"/>
    </xf>
    <xf numFmtId="178" fontId="1" fillId="0" borderId="3" xfId="0" applyNumberFormat="1" applyFont="1" applyBorder="1" applyAlignment="1">
      <alignment horizontal="center" vertical="center"/>
    </xf>
    <xf numFmtId="0" fontId="5" fillId="0" borderId="3" xfId="0" applyFont="1" applyBorder="1" applyAlignment="1">
      <alignment horizontal="right" vertical="center"/>
    </xf>
    <xf numFmtId="10" fontId="1" fillId="0" borderId="4" xfId="0" applyNumberFormat="1" applyFont="1" applyBorder="1" applyAlignment="1">
      <alignment horizontal="center" vertical="center"/>
    </xf>
    <xf numFmtId="167" fontId="1" fillId="0" borderId="5" xfId="0" applyNumberFormat="1" applyFont="1" applyBorder="1" applyAlignment="1">
      <alignment horizontal="center" vertical="center"/>
    </xf>
    <xf numFmtId="3" fontId="1" fillId="0" borderId="7" xfId="0" applyNumberFormat="1" applyFont="1" applyBorder="1" applyAlignment="1">
      <alignment horizontal="center" vertical="center"/>
    </xf>
    <xf numFmtId="3" fontId="0" fillId="0" borderId="7" xfId="0" applyNumberFormat="1" applyBorder="1" applyAlignment="1">
      <alignment horizontal="center" vertical="center"/>
    </xf>
    <xf numFmtId="189" fontId="0" fillId="0" borderId="2" xfId="0" applyNumberFormat="1" applyBorder="1" applyAlignment="1">
      <alignment horizontal="center" vertical="center"/>
    </xf>
    <xf numFmtId="167" fontId="4" fillId="0" borderId="0" xfId="0" applyNumberFormat="1" applyFont="1" applyFill="1" applyBorder="1" applyAlignment="1">
      <alignment horizontal="left" vertical="center"/>
    </xf>
    <xf numFmtId="3" fontId="5" fillId="2" borderId="34" xfId="0" applyNumberFormat="1" applyFont="1" applyFill="1" applyBorder="1" applyAlignment="1">
      <alignment horizontal="center" vertical="center"/>
    </xf>
    <xf numFmtId="173" fontId="5" fillId="2" borderId="34" xfId="0" applyNumberFormat="1" applyFont="1" applyFill="1" applyBorder="1" applyAlignment="1">
      <alignment horizontal="center" vertical="center"/>
    </xf>
    <xf numFmtId="7" fontId="1" fillId="0" borderId="1" xfId="0" applyNumberFormat="1" applyFont="1" applyBorder="1" applyAlignment="1">
      <alignment horizontal="center" vertical="center"/>
    </xf>
    <xf numFmtId="0" fontId="1" fillId="2" borderId="2" xfId="0" applyFont="1" applyFill="1" applyBorder="1" applyAlignment="1">
      <alignment horizontal="center" vertical="center"/>
    </xf>
    <xf numFmtId="37" fontId="1" fillId="0" borderId="3" xfId="0" applyNumberFormat="1" applyFont="1" applyBorder="1" applyAlignment="1">
      <alignment horizontal="center" vertical="center"/>
    </xf>
    <xf numFmtId="7" fontId="1" fillId="0" borderId="5" xfId="0" applyNumberFormat="1" applyFont="1" applyBorder="1" applyAlignment="1">
      <alignment horizontal="center" vertical="center"/>
    </xf>
    <xf numFmtId="3" fontId="5" fillId="0" borderId="0" xfId="0" applyNumberFormat="1" applyFont="1" applyBorder="1" applyAlignment="1">
      <alignment horizontal="left" vertical="center"/>
    </xf>
    <xf numFmtId="0" fontId="5" fillId="0" borderId="6" xfId="0" applyFont="1" applyBorder="1" applyAlignment="1">
      <alignment horizontal="left" vertical="center"/>
    </xf>
    <xf numFmtId="0" fontId="5" fillId="0" borderId="3" xfId="0" applyFont="1" applyBorder="1" applyAlignment="1">
      <alignment horizontal="left" vertical="center"/>
    </xf>
    <xf numFmtId="0" fontId="5" fillId="0" borderId="5" xfId="0" applyFont="1" applyBorder="1" applyAlignment="1">
      <alignment horizontal="left" vertical="center"/>
    </xf>
    <xf numFmtId="3" fontId="5" fillId="0" borderId="7" xfId="0" applyNumberFormat="1" applyFont="1" applyBorder="1" applyAlignment="1">
      <alignment horizontal="left" vertical="center"/>
    </xf>
    <xf numFmtId="0" fontId="5" fillId="0" borderId="7" xfId="0" applyFont="1" applyBorder="1" applyAlignment="1">
      <alignment horizontal="left" vertical="center"/>
    </xf>
    <xf numFmtId="10" fontId="5" fillId="2" borderId="3" xfId="0" applyNumberFormat="1" applyFont="1" applyFill="1" applyBorder="1" applyAlignment="1">
      <alignment horizontal="center" vertical="center"/>
    </xf>
    <xf numFmtId="14" fontId="5" fillId="0" borderId="4" xfId="0" applyNumberFormat="1" applyFont="1" applyBorder="1" applyAlignment="1">
      <alignment horizontal="center" vertical="center"/>
    </xf>
    <xf numFmtId="3" fontId="5" fillId="2" borderId="0" xfId="0"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167" fontId="8" fillId="0" borderId="8" xfId="0" applyNumberFormat="1" applyFont="1" applyFill="1" applyBorder="1" applyAlignment="1">
      <alignment horizontal="center" vertical="center"/>
    </xf>
    <xf numFmtId="167" fontId="8" fillId="0" borderId="3" xfId="0" applyNumberFormat="1" applyFont="1" applyFill="1" applyBorder="1" applyAlignment="1">
      <alignment horizontal="center" vertical="center"/>
    </xf>
    <xf numFmtId="167" fontId="8" fillId="0" borderId="5" xfId="0" applyNumberFormat="1" applyFont="1" applyFill="1" applyBorder="1" applyAlignment="1">
      <alignment horizontal="center" vertical="center"/>
    </xf>
    <xf numFmtId="9" fontId="4" fillId="0" borderId="1" xfId="0" applyNumberFormat="1" applyFont="1" applyBorder="1" applyAlignment="1">
      <alignment horizontal="center" vertical="center"/>
    </xf>
    <xf numFmtId="10" fontId="1" fillId="3" borderId="0" xfId="0" applyNumberFormat="1" applyFont="1" applyFill="1" applyAlignment="1" applyProtection="1">
      <alignment horizontal="center" vertical="center"/>
      <protection locked="0"/>
    </xf>
    <xf numFmtId="0" fontId="0" fillId="3" borderId="0" xfId="0" applyFill="1" applyAlignment="1">
      <alignment horizontal="left" vertical="center"/>
    </xf>
    <xf numFmtId="0" fontId="1" fillId="3" borderId="0" xfId="0" applyFont="1" applyFill="1" applyAlignment="1">
      <alignment horizontal="left" vertical="center"/>
    </xf>
    <xf numFmtId="10" fontId="4" fillId="0" borderId="4" xfId="0" applyNumberFormat="1" applyFont="1" applyBorder="1" applyAlignment="1">
      <alignment horizontal="center" vertical="center"/>
    </xf>
    <xf numFmtId="173" fontId="5" fillId="0" borderId="0" xfId="0" applyNumberFormat="1" applyFont="1" applyBorder="1" applyAlignment="1">
      <alignment horizontal="center" vertical="center"/>
    </xf>
    <xf numFmtId="165" fontId="5" fillId="3" borderId="0" xfId="0" applyNumberFormat="1" applyFont="1" applyFill="1" applyBorder="1" applyAlignment="1">
      <alignment horizontal="center" vertical="center"/>
    </xf>
    <xf numFmtId="0" fontId="8" fillId="26" borderId="0" xfId="0" applyFont="1" applyFill="1" applyAlignment="1">
      <alignment horizontal="center" vertical="center"/>
    </xf>
    <xf numFmtId="14" fontId="4" fillId="0" borderId="0" xfId="0" applyNumberFormat="1" applyFont="1" applyFill="1" applyBorder="1" applyAlignment="1">
      <alignment horizontal="center" vertical="center"/>
    </xf>
    <xf numFmtId="0" fontId="5" fillId="0" borderId="1" xfId="0" applyFont="1" applyBorder="1" applyAlignment="1">
      <alignment horizontal="left" vertical="center"/>
    </xf>
    <xf numFmtId="10" fontId="5" fillId="0" borderId="4" xfId="3" applyNumberFormat="1" applyFont="1" applyBorder="1" applyAlignment="1">
      <alignment horizontal="center" vertical="center"/>
    </xf>
    <xf numFmtId="14" fontId="5" fillId="0" borderId="7" xfId="0" applyNumberFormat="1" applyFont="1" applyBorder="1" applyAlignment="1">
      <alignment horizontal="center" vertical="center"/>
    </xf>
    <xf numFmtId="10" fontId="5" fillId="0" borderId="8" xfId="3" applyNumberFormat="1" applyFont="1" applyBorder="1" applyAlignment="1">
      <alignment horizontal="center" vertical="center"/>
    </xf>
    <xf numFmtId="167" fontId="0" fillId="0" borderId="6" xfId="0" applyNumberFormat="1" applyBorder="1" applyAlignment="1">
      <alignment horizontal="center" vertical="center"/>
    </xf>
    <xf numFmtId="198" fontId="5" fillId="0" borderId="0" xfId="0" applyNumberFormat="1" applyFont="1" applyBorder="1" applyAlignment="1">
      <alignment horizontal="center" vertical="center"/>
    </xf>
    <xf numFmtId="167" fontId="1" fillId="0" borderId="0" xfId="0" applyNumberFormat="1" applyFont="1" applyAlignment="1">
      <alignment horizontal="left" vertical="center"/>
    </xf>
    <xf numFmtId="173" fontId="5" fillId="0" borderId="4" xfId="0" applyNumberFormat="1" applyFont="1" applyBorder="1" applyAlignment="1">
      <alignment horizontal="center" vertical="center"/>
    </xf>
    <xf numFmtId="173" fontId="5" fillId="2" borderId="4" xfId="0" applyNumberFormat="1" applyFont="1" applyFill="1" applyBorder="1" applyAlignment="1">
      <alignment horizontal="center" vertical="center"/>
    </xf>
    <xf numFmtId="0" fontId="0" fillId="2" borderId="0" xfId="0" applyFill="1" applyAlignment="1">
      <alignment horizontal="center" vertical="center"/>
    </xf>
    <xf numFmtId="4" fontId="5" fillId="0" borderId="7" xfId="0" applyNumberFormat="1" applyFont="1" applyBorder="1" applyAlignment="1">
      <alignment horizontal="center" vertical="center"/>
    </xf>
    <xf numFmtId="0" fontId="1" fillId="2" borderId="0" xfId="0" applyFont="1" applyFill="1" applyAlignment="1">
      <alignment horizontal="center" vertical="center"/>
    </xf>
    <xf numFmtId="10" fontId="1" fillId="2" borderId="3" xfId="3" applyNumberFormat="1" applyFont="1" applyFill="1" applyBorder="1" applyAlignment="1">
      <alignment horizontal="center" vertical="center"/>
    </xf>
    <xf numFmtId="7" fontId="1" fillId="0" borderId="0" xfId="0" applyNumberFormat="1" applyFont="1" applyBorder="1" applyAlignment="1">
      <alignment horizontal="center" vertical="center"/>
    </xf>
    <xf numFmtId="7" fontId="1" fillId="0" borderId="4" xfId="0" applyNumberFormat="1" applyFont="1" applyBorder="1" applyAlignment="1">
      <alignment horizontal="center" vertical="center"/>
    </xf>
    <xf numFmtId="0" fontId="1" fillId="0" borderId="8" xfId="0" applyFont="1" applyBorder="1" applyAlignment="1">
      <alignment horizontal="center" vertical="center"/>
    </xf>
    <xf numFmtId="10" fontId="1" fillId="0" borderId="0" xfId="0" applyNumberFormat="1" applyFont="1" applyAlignment="1">
      <alignment vertical="center" wrapText="1"/>
    </xf>
    <xf numFmtId="9" fontId="4" fillId="0" borderId="0" xfId="0" applyNumberFormat="1" applyFont="1" applyFill="1" applyBorder="1" applyAlignment="1">
      <alignment horizontal="center" vertical="center"/>
    </xf>
    <xf numFmtId="0" fontId="1" fillId="0" borderId="0" xfId="0" applyFont="1" applyAlignment="1">
      <alignment horizontal="center" vertical="center"/>
    </xf>
    <xf numFmtId="9" fontId="5" fillId="0" borderId="23" xfId="0" applyNumberFormat="1" applyFont="1" applyBorder="1" applyAlignment="1">
      <alignment horizontal="center" vertical="center"/>
    </xf>
    <xf numFmtId="9" fontId="5" fillId="0" borderId="24" xfId="0" applyNumberFormat="1" applyFont="1" applyBorder="1" applyAlignment="1">
      <alignment horizontal="center" vertical="center"/>
    </xf>
    <xf numFmtId="9" fontId="4" fillId="0" borderId="24" xfId="0" applyNumberFormat="1" applyFont="1" applyBorder="1" applyAlignment="1">
      <alignment horizontal="center" vertical="center"/>
    </xf>
    <xf numFmtId="167" fontId="1" fillId="2" borderId="24" xfId="0" applyNumberFormat="1" applyFont="1" applyFill="1" applyBorder="1" applyAlignment="1">
      <alignment horizontal="center" vertical="center"/>
    </xf>
    <xf numFmtId="7" fontId="1" fillId="0" borderId="25" xfId="0" applyNumberFormat="1" applyFont="1" applyBorder="1" applyAlignment="1">
      <alignment horizontal="center" vertical="center"/>
    </xf>
    <xf numFmtId="37" fontId="1" fillId="0" borderId="24" xfId="0" applyNumberFormat="1" applyFont="1" applyBorder="1" applyAlignment="1">
      <alignment horizontal="center" vertical="center"/>
    </xf>
    <xf numFmtId="4" fontId="5" fillId="0" borderId="1" xfId="0" applyNumberFormat="1" applyFont="1" applyBorder="1" applyAlignment="1">
      <alignment horizontal="left" vertical="center"/>
    </xf>
    <xf numFmtId="167" fontId="5" fillId="0" borderId="2" xfId="0" applyNumberFormat="1" applyFont="1" applyBorder="1" applyAlignment="1">
      <alignment horizontal="left" vertical="center"/>
    </xf>
    <xf numFmtId="14" fontId="5" fillId="0" borderId="4" xfId="0" applyNumberFormat="1" applyFont="1" applyBorder="1" applyAlignment="1">
      <alignment horizontal="left" vertical="center"/>
    </xf>
    <xf numFmtId="167" fontId="5" fillId="0" borderId="4" xfId="0" applyNumberFormat="1" applyFont="1" applyBorder="1" applyAlignment="1">
      <alignment horizontal="left" vertical="center"/>
    </xf>
    <xf numFmtId="179" fontId="4" fillId="0" borderId="4" xfId="0" applyNumberFormat="1" applyFont="1" applyBorder="1" applyAlignment="1">
      <alignment horizontal="center" vertical="center"/>
    </xf>
    <xf numFmtId="174" fontId="5" fillId="0" borderId="4" xfId="0" applyNumberFormat="1" applyFont="1" applyBorder="1" applyAlignment="1">
      <alignment horizontal="center" vertical="center"/>
    </xf>
    <xf numFmtId="185" fontId="5" fillId="0" borderId="0" xfId="0" applyNumberFormat="1" applyFont="1" applyBorder="1" applyAlignment="1">
      <alignment horizontal="center" vertical="center"/>
    </xf>
    <xf numFmtId="167" fontId="5" fillId="0" borderId="32" xfId="0" applyNumberFormat="1" applyFont="1" applyFill="1" applyBorder="1" applyAlignment="1">
      <alignment horizontal="center" vertical="center"/>
    </xf>
    <xf numFmtId="0" fontId="4" fillId="0" borderId="32" xfId="0" applyFont="1" applyBorder="1" applyAlignment="1">
      <alignment horizontal="center" vertical="center"/>
    </xf>
    <xf numFmtId="0" fontId="4" fillId="0" borderId="34" xfId="0" applyFont="1" applyBorder="1" applyAlignment="1">
      <alignment horizontal="center" vertical="center"/>
    </xf>
    <xf numFmtId="10" fontId="5" fillId="0" borderId="6" xfId="3" applyNumberFormat="1" applyFont="1" applyBorder="1" applyAlignment="1">
      <alignment horizontal="center" vertical="center"/>
    </xf>
    <xf numFmtId="167" fontId="5" fillId="0" borderId="6" xfId="0" applyNumberFormat="1" applyFont="1" applyBorder="1" applyAlignment="1">
      <alignment horizontal="center" vertical="center"/>
    </xf>
    <xf numFmtId="167" fontId="5" fillId="0" borderId="2" xfId="0" applyNumberFormat="1" applyFont="1" applyBorder="1" applyAlignment="1">
      <alignment horizontal="center" vertical="center"/>
    </xf>
    <xf numFmtId="8" fontId="5" fillId="0" borderId="8" xfId="0" applyNumberFormat="1" applyFont="1" applyBorder="1" applyAlignment="1">
      <alignment horizontal="center" vertical="center"/>
    </xf>
    <xf numFmtId="14" fontId="5" fillId="0" borderId="5" xfId="0" applyNumberFormat="1" applyFont="1" applyFill="1" applyBorder="1" applyAlignment="1">
      <alignment horizontal="center" vertical="center"/>
    </xf>
    <xf numFmtId="167" fontId="4" fillId="2" borderId="7" xfId="0" applyNumberFormat="1" applyFont="1" applyFill="1" applyBorder="1" applyAlignment="1">
      <alignment horizontal="center" vertical="center"/>
    </xf>
    <xf numFmtId="168" fontId="4" fillId="0" borderId="7" xfId="0" applyNumberFormat="1" applyFont="1" applyFill="1" applyBorder="1" applyAlignment="1">
      <alignment horizontal="center" vertical="center"/>
    </xf>
    <xf numFmtId="167" fontId="4" fillId="0" borderId="7"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1" xfId="0" applyFont="1" applyBorder="1" applyAlignment="1">
      <alignment horizontal="left" vertical="center"/>
    </xf>
    <xf numFmtId="10" fontId="5" fillId="0" borderId="3" xfId="0" applyNumberFormat="1" applyFont="1" applyBorder="1" applyAlignment="1">
      <alignment horizontal="center" vertical="center"/>
    </xf>
    <xf numFmtId="165" fontId="5" fillId="0" borderId="3" xfId="0" applyNumberFormat="1" applyFont="1" applyBorder="1" applyAlignment="1">
      <alignment horizontal="center" vertical="center"/>
    </xf>
    <xf numFmtId="9" fontId="5" fillId="2" borderId="2" xfId="3" applyFont="1" applyFill="1" applyBorder="1" applyAlignment="1">
      <alignment horizontal="center" vertical="center"/>
    </xf>
    <xf numFmtId="174" fontId="5" fillId="0" borderId="8" xfId="0" applyNumberFormat="1" applyFont="1" applyBorder="1" applyAlignment="1">
      <alignment horizontal="center" vertical="center"/>
    </xf>
    <xf numFmtId="167" fontId="8" fillId="0" borderId="22" xfId="0" applyNumberFormat="1" applyFont="1" applyBorder="1" applyAlignment="1">
      <alignment horizontal="center" vertical="center"/>
    </xf>
    <xf numFmtId="175" fontId="5" fillId="0" borderId="0" xfId="0" applyNumberFormat="1" applyFont="1" applyFill="1" applyBorder="1" applyAlignment="1">
      <alignment horizontal="center" vertical="center"/>
    </xf>
    <xf numFmtId="0" fontId="8" fillId="0" borderId="29" xfId="0" applyFont="1" applyBorder="1" applyAlignment="1">
      <alignment horizontal="center" vertical="center"/>
    </xf>
    <xf numFmtId="4" fontId="1" fillId="0" borderId="3" xfId="0" applyNumberFormat="1" applyFont="1" applyBorder="1" applyAlignment="1">
      <alignment horizontal="center" vertical="center"/>
    </xf>
    <xf numFmtId="2" fontId="1" fillId="0" borderId="4" xfId="0" applyNumberFormat="1" applyFont="1" applyBorder="1" applyAlignment="1">
      <alignment horizontal="center" vertical="center"/>
    </xf>
    <xf numFmtId="167" fontId="1" fillId="0" borderId="1" xfId="0" applyNumberFormat="1" applyFont="1" applyBorder="1" applyAlignment="1">
      <alignment horizontal="right" vertical="center"/>
    </xf>
    <xf numFmtId="199" fontId="0" fillId="0" borderId="0" xfId="1" applyNumberFormat="1" applyFont="1" applyAlignment="1">
      <alignment horizontal="center" vertical="center"/>
    </xf>
    <xf numFmtId="174" fontId="1" fillId="0" borderId="0" xfId="0" applyNumberFormat="1" applyFont="1" applyAlignment="1">
      <alignment horizontal="center" vertical="center"/>
    </xf>
    <xf numFmtId="10" fontId="0" fillId="2" borderId="7" xfId="3"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0" fillId="14" borderId="18" xfId="0" applyFill="1" applyBorder="1" applyAlignment="1">
      <alignment horizontal="center" vertical="center"/>
    </xf>
    <xf numFmtId="173" fontId="0" fillId="14" borderId="19" xfId="0" applyNumberFormat="1" applyFill="1" applyBorder="1" applyAlignment="1">
      <alignment horizontal="center" vertical="center"/>
    </xf>
    <xf numFmtId="173" fontId="0" fillId="14" borderId="20" xfId="0" applyNumberFormat="1" applyFill="1" applyBorder="1" applyAlignment="1">
      <alignment horizontal="center" vertical="center"/>
    </xf>
    <xf numFmtId="0" fontId="3" fillId="2" borderId="0" xfId="0" applyFont="1" applyFill="1" applyAlignment="1">
      <alignment horizontal="center" vertical="center"/>
    </xf>
    <xf numFmtId="3" fontId="0" fillId="0" borderId="0" xfId="0" applyNumberFormat="1" applyBorder="1" applyAlignment="1">
      <alignment horizontal="center" vertical="center"/>
    </xf>
    <xf numFmtId="167" fontId="5" fillId="2" borderId="1" xfId="0" applyNumberFormat="1" applyFont="1" applyFill="1" applyBorder="1" applyAlignment="1">
      <alignment horizontal="left" vertical="center"/>
    </xf>
    <xf numFmtId="167" fontId="5" fillId="0" borderId="3" xfId="0" applyNumberFormat="1" applyFont="1" applyBorder="1" applyAlignment="1">
      <alignment horizontal="left" vertical="center"/>
    </xf>
    <xf numFmtId="10" fontId="5" fillId="0" borderId="3" xfId="0" applyNumberFormat="1" applyFont="1" applyBorder="1" applyAlignment="1">
      <alignment horizontal="left" vertical="center"/>
    </xf>
    <xf numFmtId="10" fontId="5" fillId="0" borderId="5" xfId="0" applyNumberFormat="1" applyFont="1" applyBorder="1" applyAlignment="1">
      <alignment horizontal="left" vertical="center"/>
    </xf>
    <xf numFmtId="0" fontId="5" fillId="0" borderId="8" xfId="0" applyFont="1" applyBorder="1" applyAlignment="1">
      <alignment horizontal="left" vertical="center"/>
    </xf>
    <xf numFmtId="0" fontId="1" fillId="0" borderId="0" xfId="0" applyFont="1" applyBorder="1" applyAlignment="1">
      <alignment horizontal="right" vertical="center"/>
    </xf>
    <xf numFmtId="0" fontId="5" fillId="0" borderId="24" xfId="0" applyFont="1" applyBorder="1" applyAlignment="1">
      <alignment horizontal="center" vertical="center"/>
    </xf>
    <xf numFmtId="167" fontId="5" fillId="0" borderId="35" xfId="0" applyNumberFormat="1" applyFont="1" applyFill="1" applyBorder="1" applyAlignment="1">
      <alignment horizontal="center" vertical="center"/>
    </xf>
    <xf numFmtId="3" fontId="5" fillId="0" borderId="42" xfId="0" applyNumberFormat="1" applyFont="1" applyFill="1" applyBorder="1" applyAlignment="1">
      <alignment horizontal="center" vertical="center"/>
    </xf>
    <xf numFmtId="167" fontId="5" fillId="0" borderId="42" xfId="0" applyNumberFormat="1" applyFont="1" applyBorder="1" applyAlignment="1">
      <alignment horizontal="center" vertical="center"/>
    </xf>
    <xf numFmtId="167" fontId="5" fillId="0" borderId="36" xfId="0" applyNumberFormat="1" applyFont="1" applyBorder="1" applyAlignment="1">
      <alignment horizontal="center" vertical="center"/>
    </xf>
    <xf numFmtId="14" fontId="5" fillId="0" borderId="0" xfId="0" applyNumberFormat="1" applyFont="1" applyBorder="1" applyAlignment="1">
      <alignment horizontal="left" vertical="center"/>
    </xf>
    <xf numFmtId="0" fontId="1" fillId="0" borderId="1" xfId="0" applyFont="1" applyBorder="1" applyAlignment="1">
      <alignment horizontal="left" vertical="center"/>
    </xf>
    <xf numFmtId="0" fontId="5" fillId="0" borderId="0" xfId="0" applyFont="1" applyBorder="1" applyAlignment="1">
      <alignment vertical="center"/>
    </xf>
    <xf numFmtId="0" fontId="0" fillId="0" borderId="8" xfId="0" applyBorder="1" applyAlignment="1">
      <alignment horizontal="left" vertical="center"/>
    </xf>
    <xf numFmtId="9" fontId="4" fillId="0" borderId="1" xfId="0" applyNumberFormat="1" applyFont="1" applyBorder="1" applyAlignment="1">
      <alignment horizontal="left" vertical="center"/>
    </xf>
    <xf numFmtId="167" fontId="4" fillId="0" borderId="0" xfId="3" applyNumberFormat="1" applyFont="1" applyFill="1" applyBorder="1" applyAlignment="1">
      <alignment horizontal="center" vertical="center"/>
    </xf>
    <xf numFmtId="2" fontId="5" fillId="0" borderId="8" xfId="0" applyNumberFormat="1" applyFont="1" applyBorder="1" applyAlignment="1">
      <alignment horizontal="center" vertical="center"/>
    </xf>
    <xf numFmtId="8" fontId="5" fillId="0" borderId="7" xfId="0" applyNumberFormat="1" applyFont="1" applyBorder="1" applyAlignment="1">
      <alignment horizontal="center" vertical="center"/>
    </xf>
    <xf numFmtId="189" fontId="5" fillId="2" borderId="3" xfId="0" applyNumberFormat="1" applyFont="1" applyFill="1" applyBorder="1" applyAlignment="1">
      <alignment horizontal="center" vertical="center"/>
    </xf>
    <xf numFmtId="168" fontId="5" fillId="0" borderId="0" xfId="3" applyNumberFormat="1" applyFont="1" applyBorder="1" applyAlignment="1">
      <alignment horizontal="center" vertical="center"/>
    </xf>
    <xf numFmtId="166" fontId="8" fillId="2" borderId="0" xfId="0" applyNumberFormat="1" applyFont="1" applyFill="1" applyBorder="1" applyAlignment="1">
      <alignment horizontal="center" vertical="center"/>
    </xf>
    <xf numFmtId="167" fontId="3" fillId="0" borderId="6" xfId="0" applyNumberFormat="1" applyFont="1" applyBorder="1" applyAlignment="1">
      <alignment horizontal="center" vertical="center"/>
    </xf>
    <xf numFmtId="168" fontId="0" fillId="0" borderId="0" xfId="0" applyNumberFormat="1" applyBorder="1" applyAlignment="1">
      <alignment horizontal="center" vertical="center"/>
    </xf>
    <xf numFmtId="168" fontId="3" fillId="0" borderId="7" xfId="0" applyNumberFormat="1" applyFont="1" applyBorder="1" applyAlignment="1">
      <alignment horizontal="center" vertical="center"/>
    </xf>
    <xf numFmtId="0" fontId="0" fillId="0" borderId="7" xfId="0" applyBorder="1" applyAlignment="1">
      <alignment horizontal="left" vertical="center"/>
    </xf>
    <xf numFmtId="0" fontId="3" fillId="0" borderId="5" xfId="0" applyFont="1" applyBorder="1" applyAlignment="1">
      <alignment horizontal="center" vertical="center"/>
    </xf>
    <xf numFmtId="0" fontId="0" fillId="0" borderId="3" xfId="0" applyBorder="1"/>
    <xf numFmtId="38" fontId="5" fillId="0" borderId="0" xfId="0" applyNumberFormat="1" applyFont="1" applyFill="1" applyBorder="1" applyAlignment="1">
      <alignment horizontal="center" vertical="center"/>
    </xf>
    <xf numFmtId="166" fontId="8" fillId="0" borderId="0" xfId="0" applyNumberFormat="1" applyFont="1" applyBorder="1" applyAlignment="1">
      <alignment horizontal="center" vertical="center"/>
    </xf>
    <xf numFmtId="0" fontId="1" fillId="2" borderId="0" xfId="0" applyFont="1" applyFill="1" applyAlignment="1">
      <alignment wrapText="1"/>
    </xf>
    <xf numFmtId="179" fontId="5" fillId="0" borderId="0" xfId="0" applyNumberFormat="1" applyFont="1" applyFill="1" applyBorder="1" applyAlignment="1">
      <alignment horizontal="center" vertical="center"/>
    </xf>
    <xf numFmtId="167" fontId="5" fillId="0" borderId="0" xfId="0" applyNumberFormat="1" applyFont="1" applyFill="1" applyBorder="1" applyAlignment="1">
      <alignment horizontal="left" vertical="center"/>
    </xf>
    <xf numFmtId="167" fontId="1" fillId="0" borderId="0" xfId="3" applyNumberFormat="1" applyFont="1" applyAlignment="1">
      <alignment horizontal="center" vertical="center"/>
    </xf>
    <xf numFmtId="9" fontId="4" fillId="0" borderId="0" xfId="0" applyNumberFormat="1" applyFont="1" applyBorder="1" applyAlignment="1">
      <alignment horizontal="left" vertical="center"/>
    </xf>
    <xf numFmtId="10" fontId="4" fillId="0" borderId="2" xfId="0" applyNumberFormat="1" applyFont="1" applyFill="1" applyBorder="1" applyAlignment="1">
      <alignment horizontal="center" vertical="center"/>
    </xf>
    <xf numFmtId="43" fontId="5" fillId="0" borderId="0" xfId="5" applyFont="1" applyFill="1" applyBorder="1" applyAlignment="1">
      <alignment horizontal="center" vertical="center"/>
    </xf>
    <xf numFmtId="180" fontId="5" fillId="0" borderId="3" xfId="0" applyNumberFormat="1" applyFont="1" applyFill="1" applyBorder="1" applyAlignment="1">
      <alignment horizontal="center" vertical="center"/>
    </xf>
    <xf numFmtId="10" fontId="5" fillId="0" borderId="7" xfId="3" applyNumberFormat="1" applyFont="1" applyBorder="1" applyAlignment="1">
      <alignment horizontal="center" vertical="center"/>
    </xf>
    <xf numFmtId="10" fontId="5" fillId="2" borderId="4" xfId="3" applyNumberFormat="1" applyFont="1" applyFill="1" applyBorder="1" applyAlignment="1">
      <alignment horizontal="center" vertical="center"/>
    </xf>
    <xf numFmtId="10" fontId="5" fillId="0" borderId="39" xfId="3" applyNumberFormat="1" applyFont="1" applyBorder="1" applyAlignment="1">
      <alignment horizontal="center" vertical="center"/>
    </xf>
    <xf numFmtId="200" fontId="5" fillId="0" borderId="0" xfId="0" applyNumberFormat="1" applyFont="1" applyBorder="1" applyAlignment="1">
      <alignment horizontal="left" vertical="center"/>
    </xf>
    <xf numFmtId="0" fontId="4" fillId="0" borderId="32" xfId="0" applyFont="1" applyFill="1" applyBorder="1" applyAlignment="1">
      <alignment horizontal="center" vertical="center"/>
    </xf>
    <xf numFmtId="167" fontId="5" fillId="0" borderId="32" xfId="0" applyNumberFormat="1" applyFont="1" applyBorder="1" applyAlignment="1">
      <alignment horizontal="center" vertical="center"/>
    </xf>
    <xf numFmtId="167" fontId="4" fillId="0" borderId="32" xfId="0" applyNumberFormat="1" applyFont="1" applyFill="1" applyBorder="1" applyAlignment="1">
      <alignment horizontal="center" vertical="center"/>
    </xf>
    <xf numFmtId="10" fontId="5" fillId="0" borderId="27" xfId="3" applyNumberFormat="1" applyFont="1" applyBorder="1" applyAlignment="1">
      <alignment horizontal="center" vertical="center"/>
    </xf>
    <xf numFmtId="10" fontId="5" fillId="2" borderId="32" xfId="0" applyNumberFormat="1" applyFont="1" applyFill="1" applyBorder="1" applyAlignment="1">
      <alignment horizontal="center" vertical="center"/>
    </xf>
    <xf numFmtId="10" fontId="5" fillId="0" borderId="40" xfId="0" applyNumberFormat="1" applyFont="1" applyBorder="1" applyAlignment="1">
      <alignment horizontal="center" vertical="center"/>
    </xf>
    <xf numFmtId="10" fontId="0" fillId="0" borderId="0" xfId="1" applyNumberFormat="1" applyFont="1" applyBorder="1" applyAlignment="1">
      <alignment horizontal="center" vertical="center"/>
    </xf>
    <xf numFmtId="10" fontId="3" fillId="0" borderId="4" xfId="0" applyNumberFormat="1" applyFont="1" applyBorder="1" applyAlignment="1">
      <alignment horizontal="center" vertical="center"/>
    </xf>
    <xf numFmtId="167" fontId="0" fillId="0" borderId="4" xfId="3" applyNumberFormat="1" applyFont="1" applyBorder="1" applyAlignment="1">
      <alignment horizontal="center" vertical="center"/>
    </xf>
    <xf numFmtId="167" fontId="3" fillId="0" borderId="4" xfId="3" applyNumberFormat="1" applyFont="1" applyBorder="1" applyAlignment="1">
      <alignment horizontal="center" vertical="center"/>
    </xf>
    <xf numFmtId="10" fontId="8" fillId="26" borderId="0" xfId="0" applyNumberFormat="1" applyFont="1" applyFill="1" applyBorder="1" applyAlignment="1">
      <alignment horizontal="center" vertical="center"/>
    </xf>
    <xf numFmtId="10" fontId="5" fillId="0" borderId="4" xfId="3" applyNumberFormat="1" applyFont="1" applyFill="1" applyBorder="1" applyAlignment="1">
      <alignment horizontal="center" vertical="center"/>
    </xf>
    <xf numFmtId="10" fontId="0" fillId="0" borderId="0" xfId="0" applyNumberFormat="1" applyFill="1" applyAlignment="1">
      <alignment horizontal="center" vertical="center"/>
    </xf>
    <xf numFmtId="167" fontId="0" fillId="0" borderId="24" xfId="0" applyNumberFormat="1" applyBorder="1" applyAlignment="1">
      <alignment horizontal="center" vertical="center"/>
    </xf>
    <xf numFmtId="178" fontId="1" fillId="0" borderId="24" xfId="3" applyNumberFormat="1" applyFont="1" applyBorder="1" applyAlignment="1">
      <alignment horizontal="center" vertical="center"/>
    </xf>
    <xf numFmtId="0" fontId="0" fillId="0" borderId="25" xfId="0" applyBorder="1" applyAlignment="1">
      <alignment horizontal="center" vertical="center"/>
    </xf>
    <xf numFmtId="0" fontId="1" fillId="0" borderId="0" xfId="0" applyFont="1" applyAlignment="1">
      <alignment horizontal="center" vertical="center" wrapText="1"/>
    </xf>
    <xf numFmtId="0" fontId="0" fillId="0" borderId="0" xfId="0" applyAlignment="1">
      <alignment horizontal="center" vertical="center" wrapText="1"/>
    </xf>
    <xf numFmtId="178" fontId="1" fillId="0" borderId="5" xfId="0" applyNumberFormat="1" applyFont="1" applyFill="1" applyBorder="1" applyAlignment="1">
      <alignment horizontal="center" vertical="center"/>
    </xf>
    <xf numFmtId="173" fontId="4" fillId="0" borderId="6" xfId="0" applyNumberFormat="1" applyFont="1" applyBorder="1" applyAlignment="1">
      <alignment horizontal="center" vertical="center"/>
    </xf>
    <xf numFmtId="9" fontId="5" fillId="0" borderId="2" xfId="0" applyNumberFormat="1" applyFont="1" applyBorder="1" applyAlignment="1">
      <alignment horizontal="center" vertical="center"/>
    </xf>
    <xf numFmtId="10" fontId="5" fillId="2" borderId="5" xfId="3" applyNumberFormat="1" applyFont="1" applyFill="1" applyBorder="1" applyAlignment="1">
      <alignment horizontal="center" vertical="center"/>
    </xf>
    <xf numFmtId="10" fontId="5" fillId="2" borderId="7" xfId="3" applyNumberFormat="1" applyFont="1" applyFill="1" applyBorder="1" applyAlignment="1">
      <alignment horizontal="center" vertical="center"/>
    </xf>
    <xf numFmtId="6" fontId="5" fillId="0" borderId="0" xfId="0" applyNumberFormat="1" applyFont="1" applyBorder="1" applyAlignment="1">
      <alignment horizontal="center" vertical="center"/>
    </xf>
    <xf numFmtId="1" fontId="5" fillId="4" borderId="0" xfId="0" applyNumberFormat="1" applyFont="1" applyFill="1" applyBorder="1" applyAlignment="1">
      <alignment horizontal="center" vertical="center"/>
    </xf>
    <xf numFmtId="1" fontId="5" fillId="3" borderId="0" xfId="0" applyNumberFormat="1" applyFont="1" applyFill="1" applyBorder="1" applyAlignment="1">
      <alignment horizontal="center" vertical="center"/>
    </xf>
    <xf numFmtId="167" fontId="5" fillId="0" borderId="2" xfId="0" applyNumberFormat="1" applyFont="1" applyFill="1" applyBorder="1" applyAlignment="1">
      <alignment horizontal="center" vertical="center"/>
    </xf>
    <xf numFmtId="168" fontId="4" fillId="0" borderId="0" xfId="0" applyNumberFormat="1" applyFont="1" applyBorder="1" applyAlignment="1">
      <alignment horizontal="center" vertical="center"/>
    </xf>
    <xf numFmtId="168" fontId="5" fillId="0" borderId="2" xfId="0" applyNumberFormat="1" applyFont="1" applyFill="1" applyBorder="1" applyAlignment="1">
      <alignment horizontal="center" vertical="center"/>
    </xf>
    <xf numFmtId="168" fontId="4" fillId="0" borderId="4" xfId="0" applyNumberFormat="1" applyFont="1" applyFill="1" applyBorder="1" applyAlignment="1">
      <alignment horizontal="center" vertical="center"/>
    </xf>
    <xf numFmtId="168" fontId="5" fillId="0" borderId="4" xfId="0" applyNumberFormat="1" applyFont="1" applyBorder="1" applyAlignment="1">
      <alignment horizontal="center" vertical="center"/>
    </xf>
    <xf numFmtId="168" fontId="5" fillId="0" borderId="8" xfId="0" applyNumberFormat="1" applyFont="1" applyFill="1" applyBorder="1" applyAlignment="1">
      <alignment horizontal="center" vertical="center"/>
    </xf>
    <xf numFmtId="168" fontId="5" fillId="0" borderId="3" xfId="0" applyNumberFormat="1" applyFont="1" applyFill="1" applyBorder="1" applyAlignment="1">
      <alignment horizontal="center" vertical="center"/>
    </xf>
    <xf numFmtId="168" fontId="4" fillId="0" borderId="0" xfId="0" applyNumberFormat="1" applyFont="1" applyFill="1" applyBorder="1" applyAlignment="1">
      <alignment horizontal="center" vertical="center"/>
    </xf>
    <xf numFmtId="168" fontId="5" fillId="0" borderId="6" xfId="0" applyNumberFormat="1" applyFont="1" applyFill="1" applyBorder="1" applyAlignment="1">
      <alignment horizontal="center" vertical="center"/>
    </xf>
    <xf numFmtId="168" fontId="5" fillId="0" borderId="0" xfId="0" applyNumberFormat="1" applyFont="1" applyFill="1" applyBorder="1" applyAlignment="1">
      <alignment horizontal="left" vertical="center"/>
    </xf>
    <xf numFmtId="168" fontId="5" fillId="0" borderId="1" xfId="0" applyNumberFormat="1" applyFont="1" applyFill="1" applyBorder="1" applyAlignment="1">
      <alignment horizontal="center" vertical="center"/>
    </xf>
    <xf numFmtId="168" fontId="5" fillId="0" borderId="6" xfId="0" applyNumberFormat="1" applyFont="1" applyFill="1" applyBorder="1" applyAlignment="1">
      <alignment horizontal="left" vertical="center"/>
    </xf>
    <xf numFmtId="167" fontId="5" fillId="0" borderId="4" xfId="3" applyNumberFormat="1" applyFont="1" applyFill="1" applyBorder="1" applyAlignment="1">
      <alignment horizontal="center" vertical="center"/>
    </xf>
    <xf numFmtId="168" fontId="5" fillId="0" borderId="35" xfId="0" applyNumberFormat="1" applyFont="1" applyFill="1" applyBorder="1" applyAlignment="1">
      <alignment horizontal="center" vertical="center"/>
    </xf>
    <xf numFmtId="10" fontId="5" fillId="0" borderId="42" xfId="3" applyNumberFormat="1" applyFont="1" applyFill="1" applyBorder="1" applyAlignment="1">
      <alignment horizontal="center" vertical="center"/>
    </xf>
    <xf numFmtId="167" fontId="5" fillId="0" borderId="36" xfId="3" applyNumberFormat="1" applyFont="1" applyFill="1" applyBorder="1" applyAlignment="1">
      <alignment horizontal="center" vertical="center"/>
    </xf>
    <xf numFmtId="168" fontId="4" fillId="0" borderId="0" xfId="0" applyNumberFormat="1" applyFont="1" applyFill="1" applyBorder="1" applyAlignment="1">
      <alignment horizontal="left" vertical="center"/>
    </xf>
    <xf numFmtId="167" fontId="8" fillId="2" borderId="7" xfId="0" applyNumberFormat="1" applyFont="1" applyFill="1" applyBorder="1" applyAlignment="1">
      <alignment horizontal="center" vertical="center"/>
    </xf>
    <xf numFmtId="167" fontId="5" fillId="0" borderId="6" xfId="0" applyNumberFormat="1" applyFont="1" applyBorder="1" applyAlignment="1">
      <alignment horizontal="left" vertical="center"/>
    </xf>
    <xf numFmtId="167" fontId="4" fillId="0" borderId="1" xfId="0" applyNumberFormat="1" applyFont="1" applyBorder="1" applyAlignment="1">
      <alignment horizontal="left" vertical="center"/>
    </xf>
    <xf numFmtId="167" fontId="8" fillId="0" borderId="21" xfId="0" applyNumberFormat="1" applyFont="1" applyBorder="1" applyAlignment="1">
      <alignment horizontal="left" vertical="center"/>
    </xf>
    <xf numFmtId="175" fontId="5" fillId="0" borderId="4" xfId="3" applyNumberFormat="1" applyFont="1" applyFill="1" applyBorder="1" applyAlignment="1">
      <alignment horizontal="center" vertical="center"/>
    </xf>
    <xf numFmtId="10" fontId="5" fillId="0" borderId="42" xfId="0" applyNumberFormat="1" applyFont="1" applyFill="1" applyBorder="1" applyAlignment="1">
      <alignment horizontal="center" vertical="center"/>
    </xf>
    <xf numFmtId="202" fontId="5" fillId="0" borderId="0" xfId="0" applyNumberFormat="1" applyFont="1" applyBorder="1" applyAlignment="1">
      <alignment horizontal="center" vertical="center"/>
    </xf>
    <xf numFmtId="178" fontId="5" fillId="0" borderId="0" xfId="0" applyNumberFormat="1" applyFont="1" applyBorder="1" applyAlignment="1">
      <alignment horizontal="center" vertical="center"/>
    </xf>
    <xf numFmtId="2" fontId="1" fillId="0" borderId="5" xfId="0" applyNumberFormat="1" applyFont="1" applyBorder="1" applyAlignment="1">
      <alignment horizontal="center" vertical="center"/>
    </xf>
    <xf numFmtId="7" fontId="1" fillId="0" borderId="5" xfId="1" applyNumberFormat="1" applyFont="1" applyBorder="1" applyAlignment="1">
      <alignment horizontal="center" vertical="center"/>
    </xf>
    <xf numFmtId="3" fontId="4" fillId="0" borderId="8" xfId="0" applyNumberFormat="1" applyFont="1" applyBorder="1" applyAlignment="1">
      <alignment horizontal="center" vertical="center"/>
    </xf>
    <xf numFmtId="4" fontId="5" fillId="4" borderId="0" xfId="0" applyNumberFormat="1" applyFont="1" applyFill="1" applyBorder="1" applyAlignment="1">
      <alignment horizontal="center" vertical="center"/>
    </xf>
    <xf numFmtId="4" fontId="5" fillId="0" borderId="0" xfId="3" applyNumberFormat="1" applyFont="1" applyBorder="1" applyAlignment="1">
      <alignment horizontal="center" vertical="center"/>
    </xf>
    <xf numFmtId="4" fontId="4" fillId="4" borderId="0" xfId="0" applyNumberFormat="1" applyFont="1" applyFill="1" applyBorder="1" applyAlignment="1">
      <alignment horizontal="center" vertical="center"/>
    </xf>
    <xf numFmtId="4" fontId="5" fillId="0" borderId="0" xfId="0" applyNumberFormat="1" applyFont="1" applyBorder="1" applyAlignment="1">
      <alignment horizontal="left" vertical="center"/>
    </xf>
    <xf numFmtId="10" fontId="5" fillId="0" borderId="0" xfId="0" applyNumberFormat="1" applyFont="1" applyBorder="1" applyAlignment="1">
      <alignment horizontal="left" vertical="center"/>
    </xf>
    <xf numFmtId="3" fontId="5" fillId="2" borderId="0" xfId="0" applyNumberFormat="1" applyFont="1" applyFill="1" applyBorder="1" applyAlignment="1">
      <alignment horizontal="left" vertical="center"/>
    </xf>
    <xf numFmtId="4" fontId="5" fillId="0" borderId="6" xfId="0" applyNumberFormat="1" applyFont="1" applyBorder="1" applyAlignment="1">
      <alignment horizontal="left" vertical="center"/>
    </xf>
    <xf numFmtId="3" fontId="5" fillId="0" borderId="3" xfId="0" applyNumberFormat="1" applyFont="1" applyBorder="1" applyAlignment="1">
      <alignment horizontal="left" vertical="center"/>
    </xf>
    <xf numFmtId="3" fontId="5" fillId="2" borderId="3" xfId="0" applyNumberFormat="1" applyFont="1" applyFill="1" applyBorder="1" applyAlignment="1">
      <alignment horizontal="left" vertical="center"/>
    </xf>
    <xf numFmtId="10" fontId="5" fillId="0" borderId="4" xfId="0" applyNumberFormat="1" applyFont="1" applyBorder="1" applyAlignment="1">
      <alignment horizontal="left" vertical="center"/>
    </xf>
    <xf numFmtId="2" fontId="4" fillId="0" borderId="3" xfId="3" applyNumberFormat="1" applyFont="1" applyBorder="1" applyAlignment="1">
      <alignment horizontal="left" vertical="center"/>
    </xf>
    <xf numFmtId="4" fontId="5" fillId="0" borderId="8" xfId="0" applyNumberFormat="1" applyFont="1" applyBorder="1" applyAlignment="1">
      <alignment horizontal="center" vertical="center"/>
    </xf>
    <xf numFmtId="9" fontId="5" fillId="0" borderId="8" xfId="0" applyNumberFormat="1" applyFont="1" applyBorder="1" applyAlignment="1">
      <alignment horizontal="center" vertical="center"/>
    </xf>
    <xf numFmtId="4" fontId="5" fillId="0" borderId="2" xfId="0" applyNumberFormat="1" applyFont="1" applyBorder="1" applyAlignment="1">
      <alignment horizontal="center" vertical="center"/>
    </xf>
    <xf numFmtId="0" fontId="4" fillId="0" borderId="6" xfId="0" applyFont="1" applyBorder="1" applyAlignment="1">
      <alignment horizontal="left" vertical="center"/>
    </xf>
    <xf numFmtId="4" fontId="5" fillId="0" borderId="4" xfId="0" applyNumberFormat="1" applyFont="1" applyBorder="1" applyAlignment="1">
      <alignment horizontal="left" vertical="center"/>
    </xf>
    <xf numFmtId="180" fontId="4" fillId="0" borderId="5" xfId="0" applyNumberFormat="1" applyFont="1" applyFill="1" applyBorder="1" applyAlignment="1">
      <alignment horizontal="center" vertical="center"/>
    </xf>
    <xf numFmtId="10" fontId="4" fillId="0" borderId="7" xfId="3" applyNumberFormat="1" applyFont="1" applyBorder="1" applyAlignment="1">
      <alignment horizontal="center" vertical="center"/>
    </xf>
    <xf numFmtId="177" fontId="1" fillId="0" borderId="0" xfId="3" applyNumberFormat="1" applyFont="1" applyBorder="1" applyAlignment="1">
      <alignment horizontal="center" vertical="center"/>
    </xf>
    <xf numFmtId="167" fontId="4" fillId="0" borderId="4" xfId="0" applyNumberFormat="1" applyFont="1" applyBorder="1" applyAlignment="1">
      <alignment horizontal="center" vertical="center"/>
    </xf>
    <xf numFmtId="4" fontId="5" fillId="0" borderId="6" xfId="0" applyNumberFormat="1" applyFont="1" applyBorder="1" applyAlignment="1">
      <alignment horizontal="center" vertical="center"/>
    </xf>
    <xf numFmtId="4" fontId="5" fillId="2" borderId="6" xfId="0" applyNumberFormat="1" applyFont="1" applyFill="1" applyBorder="1" applyAlignment="1">
      <alignment horizontal="center" vertical="center"/>
    </xf>
    <xf numFmtId="0" fontId="1" fillId="0" borderId="2" xfId="0" applyFont="1" applyBorder="1" applyAlignment="1">
      <alignment horizontal="left" vertical="center"/>
    </xf>
    <xf numFmtId="37" fontId="1" fillId="0" borderId="0" xfId="0" applyNumberFormat="1" applyFont="1" applyBorder="1" applyAlignment="1">
      <alignment horizontal="center" vertical="center"/>
    </xf>
    <xf numFmtId="167" fontId="1" fillId="0" borderId="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3" fontId="5" fillId="2" borderId="3" xfId="0" applyNumberFormat="1" applyFont="1" applyFill="1" applyBorder="1" applyAlignment="1">
      <alignment horizontal="center" vertical="center"/>
    </xf>
    <xf numFmtId="167" fontId="4" fillId="0" borderId="5" xfId="0" applyNumberFormat="1" applyFont="1" applyBorder="1" applyAlignment="1">
      <alignment horizontal="center" vertical="center"/>
    </xf>
    <xf numFmtId="0" fontId="1" fillId="0" borderId="0" xfId="0" applyFont="1" applyAlignment="1">
      <alignment vertical="center" wrapText="1"/>
    </xf>
    <xf numFmtId="167" fontId="5" fillId="0" borderId="7" xfId="3" applyNumberFormat="1" applyFont="1" applyFill="1" applyBorder="1" applyAlignment="1">
      <alignment horizontal="center" vertical="center"/>
    </xf>
    <xf numFmtId="10" fontId="5" fillId="0" borderId="8" xfId="3" applyNumberFormat="1" applyFont="1" applyFill="1" applyBorder="1" applyAlignment="1">
      <alignment horizontal="center" vertical="center"/>
    </xf>
    <xf numFmtId="203" fontId="5" fillId="0" borderId="0" xfId="0" applyNumberFormat="1" applyFont="1" applyBorder="1" applyAlignment="1">
      <alignment horizontal="left" vertical="center"/>
    </xf>
    <xf numFmtId="0" fontId="1" fillId="2" borderId="3" xfId="0" applyFont="1" applyFill="1" applyBorder="1" applyAlignment="1">
      <alignment vertical="center" wrapText="1"/>
    </xf>
    <xf numFmtId="10" fontId="1" fillId="0" borderId="0" xfId="0" applyNumberFormat="1" applyFont="1" applyBorder="1" applyAlignment="1">
      <alignment vertical="center" wrapText="1"/>
    </xf>
    <xf numFmtId="0" fontId="1" fillId="0" borderId="4" xfId="0" applyFont="1" applyBorder="1" applyAlignment="1">
      <alignment vertical="center" wrapText="1"/>
    </xf>
    <xf numFmtId="0" fontId="1" fillId="0" borderId="3" xfId="0" applyFont="1" applyBorder="1" applyAlignment="1">
      <alignment vertical="center" wrapText="1"/>
    </xf>
    <xf numFmtId="10" fontId="0" fillId="0" borderId="0" xfId="0" applyNumberFormat="1" applyBorder="1"/>
    <xf numFmtId="0" fontId="0" fillId="0" borderId="4" xfId="0" applyBorder="1"/>
    <xf numFmtId="0" fontId="1" fillId="0" borderId="5" xfId="0" applyFont="1" applyBorder="1" applyAlignment="1">
      <alignment vertical="center" wrapText="1"/>
    </xf>
    <xf numFmtId="10" fontId="1" fillId="0" borderId="7" xfId="0" applyNumberFormat="1" applyFont="1" applyBorder="1" applyAlignment="1">
      <alignment vertical="center" wrapText="1"/>
    </xf>
    <xf numFmtId="0" fontId="1" fillId="0" borderId="8" xfId="0" applyFont="1" applyBorder="1" applyAlignment="1">
      <alignment vertical="center" wrapText="1"/>
    </xf>
    <xf numFmtId="10" fontId="0" fillId="2" borderId="4" xfId="3" applyNumberFormat="1" applyFont="1" applyFill="1" applyBorder="1" applyAlignment="1">
      <alignment horizontal="center" vertical="center"/>
    </xf>
    <xf numFmtId="175" fontId="5" fillId="0" borderId="0" xfId="3" applyNumberFormat="1" applyFont="1" applyBorder="1" applyAlignment="1">
      <alignment horizontal="center" vertical="center"/>
    </xf>
    <xf numFmtId="182" fontId="5" fillId="2" borderId="0" xfId="0" applyNumberFormat="1" applyFont="1" applyFill="1" applyBorder="1" applyAlignment="1">
      <alignment horizontal="center" vertical="center"/>
    </xf>
    <xf numFmtId="3" fontId="5" fillId="0" borderId="4" xfId="0" applyNumberFormat="1" applyFont="1" applyFill="1" applyBorder="1" applyAlignment="1">
      <alignment horizontal="center" vertical="center"/>
    </xf>
    <xf numFmtId="182" fontId="5" fillId="0" borderId="4" xfId="0" applyNumberFormat="1" applyFont="1" applyFill="1" applyBorder="1" applyAlignment="1">
      <alignment horizontal="center" vertical="center"/>
    </xf>
    <xf numFmtId="173" fontId="5" fillId="0" borderId="3" xfId="0" applyNumberFormat="1" applyFont="1" applyFill="1" applyBorder="1" applyAlignment="1">
      <alignment horizontal="center" vertical="center"/>
    </xf>
    <xf numFmtId="0" fontId="5" fillId="0" borderId="5" xfId="0" applyFont="1" applyBorder="1" applyAlignment="1">
      <alignment horizontal="right" vertical="center"/>
    </xf>
    <xf numFmtId="201" fontId="5" fillId="0" borderId="4" xfId="0" applyNumberFormat="1" applyFont="1" applyBorder="1" applyAlignment="1">
      <alignment horizontal="center" vertical="center"/>
    </xf>
    <xf numFmtId="9" fontId="5" fillId="2" borderId="0" xfId="0" applyNumberFormat="1" applyFont="1" applyFill="1" applyBorder="1" applyAlignment="1">
      <alignment horizontal="center" vertical="center"/>
    </xf>
    <xf numFmtId="168" fontId="5" fillId="0" borderId="4" xfId="0" applyNumberFormat="1" applyFont="1" applyBorder="1" applyAlignment="1">
      <alignment horizontal="left" vertical="center"/>
    </xf>
    <xf numFmtId="1" fontId="4" fillId="0" borderId="35" xfId="0" applyNumberFormat="1" applyFont="1" applyFill="1" applyBorder="1" applyAlignment="1">
      <alignment horizontal="center" vertical="center"/>
    </xf>
    <xf numFmtId="167" fontId="4" fillId="0" borderId="42" xfId="0" applyNumberFormat="1" applyFont="1" applyFill="1" applyBorder="1" applyAlignment="1">
      <alignment horizontal="center" vertical="center"/>
    </xf>
    <xf numFmtId="10" fontId="4" fillId="0" borderId="42" xfId="0" applyNumberFormat="1" applyFont="1" applyFill="1" applyBorder="1" applyAlignment="1">
      <alignment horizontal="center" vertical="center"/>
    </xf>
    <xf numFmtId="167" fontId="4" fillId="0" borderId="36" xfId="0" applyNumberFormat="1" applyFont="1" applyFill="1" applyBorder="1" applyAlignment="1">
      <alignment horizontal="center" vertical="center"/>
    </xf>
    <xf numFmtId="167" fontId="5" fillId="0" borderId="0" xfId="0" applyNumberFormat="1" applyFont="1" applyBorder="1" applyAlignment="1">
      <alignment vertical="center"/>
    </xf>
    <xf numFmtId="0" fontId="7" fillId="0" borderId="0" xfId="0" applyFont="1" applyBorder="1" applyAlignment="1">
      <alignment horizontal="left" vertical="center"/>
    </xf>
    <xf numFmtId="167" fontId="5" fillId="2" borderId="8" xfId="0" applyNumberFormat="1" applyFont="1" applyFill="1" applyBorder="1" applyAlignment="1">
      <alignment horizontal="center" vertical="center"/>
    </xf>
    <xf numFmtId="0" fontId="0" fillId="0" borderId="3" xfId="0" applyBorder="1" applyAlignment="1">
      <alignment horizontal="left"/>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178" fontId="1" fillId="0" borderId="3" xfId="0" applyNumberFormat="1" applyFont="1" applyBorder="1" applyAlignment="1">
      <alignment horizontal="left" vertical="center"/>
    </xf>
    <xf numFmtId="167" fontId="5" fillId="26" borderId="1" xfId="0" applyNumberFormat="1" applyFont="1" applyFill="1" applyBorder="1" applyAlignment="1">
      <alignment horizontal="center" vertical="center"/>
    </xf>
    <xf numFmtId="167" fontId="4" fillId="0" borderId="3" xfId="0" applyNumberFormat="1" applyFont="1" applyFill="1" applyBorder="1" applyAlignment="1">
      <alignment horizontal="center" vertical="center"/>
    </xf>
    <xf numFmtId="9" fontId="5" fillId="0" borderId="0" xfId="3" applyFont="1" applyBorder="1" applyAlignment="1">
      <alignment horizontal="left" vertical="center"/>
    </xf>
    <xf numFmtId="10" fontId="5" fillId="0" borderId="3" xfId="3" applyNumberFormat="1" applyFont="1" applyFill="1" applyBorder="1" applyAlignment="1">
      <alignment horizontal="center" vertical="center"/>
    </xf>
    <xf numFmtId="173" fontId="5" fillId="0" borderId="3" xfId="0" applyNumberFormat="1" applyFont="1" applyFill="1" applyBorder="1" applyAlignment="1">
      <alignment horizontal="left" vertical="center"/>
    </xf>
    <xf numFmtId="182" fontId="5" fillId="0" borderId="4" xfId="0" applyNumberFormat="1" applyFont="1" applyFill="1" applyBorder="1" applyAlignment="1">
      <alignment horizontal="left" vertical="center"/>
    </xf>
    <xf numFmtId="202" fontId="5" fillId="0" borderId="0" xfId="3" applyNumberFormat="1" applyFont="1" applyFill="1" applyBorder="1" applyAlignment="1">
      <alignment horizontal="center" vertical="center"/>
    </xf>
    <xf numFmtId="0" fontId="5" fillId="0" borderId="4" xfId="0" applyFont="1" applyFill="1" applyBorder="1" applyAlignment="1">
      <alignment horizontal="left" vertical="center"/>
    </xf>
    <xf numFmtId="204" fontId="5" fillId="0" borderId="0" xfId="1" applyNumberFormat="1" applyFont="1" applyFill="1" applyBorder="1" applyAlignment="1">
      <alignment horizontal="center" vertical="center"/>
    </xf>
    <xf numFmtId="9" fontId="4" fillId="0" borderId="6" xfId="0" applyNumberFormat="1" applyFont="1" applyBorder="1" applyAlignment="1">
      <alignment horizontal="center" vertical="center"/>
    </xf>
    <xf numFmtId="0" fontId="5" fillId="0" borderId="2" xfId="0" applyFont="1" applyFill="1" applyBorder="1" applyAlignment="1">
      <alignment horizontal="center" vertical="center"/>
    </xf>
    <xf numFmtId="10" fontId="5" fillId="0" borderId="7" xfId="0" applyNumberFormat="1" applyFont="1" applyFill="1" applyBorder="1" applyAlignment="1">
      <alignment horizontal="center" vertical="center"/>
    </xf>
    <xf numFmtId="0" fontId="1" fillId="0" borderId="1" xfId="0" applyFont="1" applyBorder="1" applyAlignment="1">
      <alignment horizontal="right" vertical="center"/>
    </xf>
    <xf numFmtId="0" fontId="1" fillId="0" borderId="3" xfId="0" applyFont="1" applyBorder="1" applyAlignment="1">
      <alignment horizontal="right" vertical="center"/>
    </xf>
    <xf numFmtId="44" fontId="5" fillId="0" borderId="3" xfId="1" applyFont="1" applyBorder="1" applyAlignment="1">
      <alignment horizontal="center" vertical="center"/>
    </xf>
    <xf numFmtId="10" fontId="5" fillId="0" borderId="5" xfId="3" applyNumberFormat="1" applyFont="1" applyBorder="1" applyAlignment="1">
      <alignment horizontal="center" vertical="center"/>
    </xf>
    <xf numFmtId="167" fontId="4" fillId="0" borderId="1" xfId="0" applyNumberFormat="1" applyFont="1" applyBorder="1" applyAlignment="1">
      <alignment horizontal="right" vertical="center"/>
    </xf>
    <xf numFmtId="3" fontId="5" fillId="0" borderId="2"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xf>
    <xf numFmtId="10" fontId="5" fillId="0" borderId="25" xfId="3" applyNumberFormat="1" applyFont="1" applyBorder="1" applyAlignment="1">
      <alignment horizontal="center" vertical="center"/>
    </xf>
    <xf numFmtId="14" fontId="4" fillId="0" borderId="1" xfId="0" applyNumberFormat="1" applyFont="1" applyBorder="1" applyAlignment="1">
      <alignment horizontal="center" vertical="center"/>
    </xf>
    <xf numFmtId="0" fontId="6" fillId="0" borderId="3" xfId="0" applyFont="1" applyFill="1" applyBorder="1" applyAlignment="1">
      <alignment horizontal="center" vertical="center"/>
    </xf>
    <xf numFmtId="9" fontId="5" fillId="0" borderId="1" xfId="0" applyNumberFormat="1" applyFont="1" applyBorder="1" applyAlignment="1">
      <alignment horizontal="left" vertical="center"/>
    </xf>
    <xf numFmtId="9" fontId="5" fillId="0" borderId="3"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0" borderId="5" xfId="0" applyNumberFormat="1" applyFont="1" applyBorder="1" applyAlignment="1">
      <alignment horizontal="center" vertical="center"/>
    </xf>
    <xf numFmtId="175" fontId="4" fillId="0" borderId="0" xfId="3" applyNumberFormat="1" applyFont="1" applyFill="1" applyBorder="1" applyAlignment="1">
      <alignment horizontal="center" vertical="center"/>
    </xf>
    <xf numFmtId="4" fontId="5" fillId="0" borderId="5" xfId="0" applyNumberFormat="1" applyFont="1" applyBorder="1" applyAlignment="1">
      <alignment horizontal="center" vertical="center"/>
    </xf>
    <xf numFmtId="164" fontId="5" fillId="0" borderId="0" xfId="0" applyNumberFormat="1" applyFont="1" applyBorder="1" applyAlignment="1">
      <alignment horizontal="center" vertical="center"/>
    </xf>
    <xf numFmtId="164" fontId="5" fillId="0" borderId="7" xfId="0" applyNumberFormat="1" applyFont="1" applyBorder="1" applyAlignment="1">
      <alignment horizontal="center" vertical="center"/>
    </xf>
    <xf numFmtId="205" fontId="5" fillId="0" borderId="4" xfId="0" applyNumberFormat="1" applyFont="1" applyBorder="1" applyAlignment="1">
      <alignment horizontal="center" vertical="center"/>
    </xf>
    <xf numFmtId="2" fontId="5" fillId="0" borderId="6" xfId="0" applyNumberFormat="1" applyFont="1" applyBorder="1" applyAlignment="1">
      <alignment horizontal="center" vertical="center"/>
    </xf>
    <xf numFmtId="9" fontId="5" fillId="0" borderId="4" xfId="0" applyNumberFormat="1" applyFont="1" applyBorder="1" applyAlignment="1">
      <alignment horizontal="center" vertical="center"/>
    </xf>
    <xf numFmtId="0" fontId="5" fillId="0" borderId="25" xfId="0" applyFont="1" applyBorder="1" applyAlignment="1">
      <alignment horizontal="center" vertical="center"/>
    </xf>
    <xf numFmtId="0" fontId="4" fillId="0" borderId="43" xfId="0" applyFont="1" applyBorder="1" applyAlignment="1">
      <alignment horizontal="center" vertical="center"/>
    </xf>
    <xf numFmtId="206" fontId="0" fillId="0" borderId="0" xfId="1" applyNumberFormat="1" applyFont="1" applyAlignment="1">
      <alignment horizontal="left" vertical="center"/>
    </xf>
    <xf numFmtId="0" fontId="5" fillId="26" borderId="0" xfId="0" applyFont="1" applyFill="1" applyBorder="1" applyAlignment="1">
      <alignment horizontal="left" vertical="center"/>
    </xf>
    <xf numFmtId="4" fontId="4" fillId="0" borderId="1" xfId="0" applyNumberFormat="1" applyFont="1" applyBorder="1" applyAlignment="1">
      <alignment horizontal="left" vertical="center"/>
    </xf>
    <xf numFmtId="189" fontId="5" fillId="0" borderId="0" xfId="0" applyNumberFormat="1" applyFont="1" applyBorder="1" applyAlignment="1">
      <alignment horizontal="left" vertical="center"/>
    </xf>
    <xf numFmtId="207" fontId="5" fillId="4" borderId="0" xfId="0" applyNumberFormat="1" applyFont="1" applyFill="1" applyBorder="1" applyAlignment="1">
      <alignment horizontal="center" vertical="center"/>
    </xf>
    <xf numFmtId="207" fontId="5" fillId="3" borderId="0" xfId="0" applyNumberFormat="1" applyFont="1" applyFill="1" applyBorder="1" applyAlignment="1">
      <alignment horizontal="center" vertical="center"/>
    </xf>
    <xf numFmtId="208" fontId="5" fillId="0" borderId="0" xfId="3" applyNumberFormat="1" applyFont="1" applyFill="1" applyBorder="1" applyAlignment="1">
      <alignment horizontal="center" vertical="center"/>
    </xf>
    <xf numFmtId="207" fontId="5" fillId="0" borderId="0" xfId="0" applyNumberFormat="1" applyFont="1" applyFill="1" applyBorder="1" applyAlignment="1">
      <alignment horizontal="center" vertical="center"/>
    </xf>
    <xf numFmtId="0" fontId="5" fillId="26" borderId="6" xfId="0" applyFont="1" applyFill="1" applyBorder="1" applyAlignment="1">
      <alignment horizontal="left" vertical="center"/>
    </xf>
    <xf numFmtId="14" fontId="5" fillId="2" borderId="0" xfId="0" applyNumberFormat="1" applyFont="1" applyFill="1" applyBorder="1" applyAlignment="1">
      <alignment horizontal="center" vertical="center"/>
    </xf>
    <xf numFmtId="0" fontId="4" fillId="0" borderId="23" xfId="0" applyFont="1" applyBorder="1" applyAlignment="1">
      <alignment horizontal="center" vertical="center"/>
    </xf>
    <xf numFmtId="0" fontId="5" fillId="0" borderId="1" xfId="0" applyFont="1" applyFill="1" applyBorder="1" applyAlignment="1">
      <alignment horizontal="left" vertical="center"/>
    </xf>
    <xf numFmtId="4" fontId="5" fillId="0" borderId="12"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4" fontId="5" fillId="0" borderId="17" xfId="0" applyNumberFormat="1" applyFont="1" applyBorder="1" applyAlignment="1">
      <alignment horizontal="center" vertical="center"/>
    </xf>
    <xf numFmtId="0" fontId="5" fillId="0" borderId="18" xfId="0" applyFont="1" applyBorder="1" applyAlignment="1">
      <alignment horizontal="center" vertical="center"/>
    </xf>
    <xf numFmtId="173" fontId="8" fillId="2" borderId="0"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167" fontId="8" fillId="0" borderId="1" xfId="0" applyNumberFormat="1" applyFont="1" applyBorder="1" applyAlignment="1">
      <alignment horizontal="center" vertical="center"/>
    </xf>
    <xf numFmtId="10" fontId="5" fillId="0" borderId="0" xfId="0" applyNumberFormat="1" applyFont="1" applyAlignment="1">
      <alignment horizontal="center" vertical="center"/>
    </xf>
    <xf numFmtId="0" fontId="1" fillId="0" borderId="5" xfId="0" quotePrefix="1" applyFont="1" applyBorder="1" applyAlignment="1">
      <alignment horizontal="right" vertical="center"/>
    </xf>
    <xf numFmtId="10" fontId="1" fillId="0" borderId="8" xfId="3" applyNumberFormat="1" applyFont="1" applyBorder="1" applyAlignment="1">
      <alignment horizontal="center" vertical="center"/>
    </xf>
    <xf numFmtId="167" fontId="4" fillId="0" borderId="4" xfId="0" applyNumberFormat="1" applyFont="1" applyFill="1" applyBorder="1" applyAlignment="1">
      <alignment horizontal="center" vertical="center"/>
    </xf>
    <xf numFmtId="10" fontId="0" fillId="0" borderId="4" xfId="3" applyNumberFormat="1" applyFont="1" applyBorder="1" applyAlignment="1">
      <alignment horizontal="center" vertical="center"/>
    </xf>
    <xf numFmtId="9" fontId="5" fillId="0" borderId="0" xfId="0" quotePrefix="1" applyNumberFormat="1" applyFont="1" applyBorder="1" applyAlignment="1">
      <alignment horizontal="left" vertical="center"/>
    </xf>
    <xf numFmtId="0" fontId="3" fillId="0" borderId="4" xfId="0" applyFont="1" applyBorder="1" applyAlignment="1">
      <alignment horizontal="left" vertical="center"/>
    </xf>
    <xf numFmtId="3" fontId="5" fillId="0" borderId="6" xfId="0" applyNumberFormat="1" applyFont="1" applyFill="1" applyBorder="1" applyAlignment="1">
      <alignment horizontal="left" vertical="center"/>
    </xf>
    <xf numFmtId="10" fontId="5" fillId="0" borderId="24" xfId="0" applyNumberFormat="1" applyFont="1" applyBorder="1" applyAlignment="1">
      <alignment horizontal="center" vertical="center"/>
    </xf>
    <xf numFmtId="10" fontId="4" fillId="0" borderId="23" xfId="3" applyNumberFormat="1" applyFont="1" applyBorder="1" applyAlignment="1">
      <alignment horizontal="center" vertical="center"/>
    </xf>
    <xf numFmtId="9" fontId="5" fillId="0" borderId="3" xfId="0" applyNumberFormat="1" applyFont="1" applyBorder="1" applyAlignment="1">
      <alignment horizontal="left" vertical="center"/>
    </xf>
    <xf numFmtId="167" fontId="4" fillId="0" borderId="3" xfId="0" applyNumberFormat="1" applyFont="1" applyBorder="1" applyAlignment="1">
      <alignment horizontal="center" vertical="center"/>
    </xf>
    <xf numFmtId="208" fontId="4" fillId="0" borderId="24" xfId="0" applyNumberFormat="1" applyFont="1" applyBorder="1" applyAlignment="1">
      <alignment horizontal="center" vertical="center"/>
    </xf>
    <xf numFmtId="10" fontId="0" fillId="0" borderId="2" xfId="3" applyNumberFormat="1" applyFont="1" applyBorder="1" applyAlignment="1">
      <alignment horizontal="center" vertical="center"/>
    </xf>
    <xf numFmtId="10" fontId="3" fillId="0" borderId="8" xfId="0" applyNumberFormat="1" applyFont="1" applyBorder="1" applyAlignment="1">
      <alignment horizontal="center" vertical="center"/>
    </xf>
    <xf numFmtId="3" fontId="0" fillId="2" borderId="4" xfId="0" applyNumberFormat="1" applyFill="1" applyBorder="1" applyAlignment="1">
      <alignment horizontal="center" vertical="center"/>
    </xf>
    <xf numFmtId="3" fontId="1" fillId="2" borderId="4" xfId="0" applyNumberFormat="1" applyFont="1" applyFill="1" applyBorder="1" applyAlignment="1">
      <alignment horizontal="center" vertical="center"/>
    </xf>
    <xf numFmtId="3" fontId="1" fillId="2" borderId="8" xfId="0" applyNumberFormat="1" applyFont="1" applyFill="1" applyBorder="1" applyAlignment="1">
      <alignment horizontal="center" vertical="center"/>
    </xf>
    <xf numFmtId="167" fontId="0" fillId="0" borderId="0" xfId="0" applyNumberFormat="1" applyFill="1" applyAlignment="1">
      <alignment horizontal="center" vertical="center"/>
    </xf>
    <xf numFmtId="167" fontId="1" fillId="0" borderId="0" xfId="0" applyNumberFormat="1" applyFont="1" applyFill="1" applyAlignment="1">
      <alignment horizontal="center" vertical="center"/>
    </xf>
    <xf numFmtId="3" fontId="5" fillId="0" borderId="4" xfId="3" applyNumberFormat="1" applyFont="1" applyBorder="1" applyAlignment="1">
      <alignment horizontal="center" vertical="center"/>
    </xf>
    <xf numFmtId="8" fontId="5" fillId="0" borderId="0" xfId="0" applyNumberFormat="1" applyFont="1" applyFill="1" applyBorder="1" applyAlignment="1">
      <alignment horizontal="left" vertical="center"/>
    </xf>
    <xf numFmtId="8" fontId="4" fillId="0" borderId="0" xfId="0" applyNumberFormat="1" applyFont="1" applyFill="1" applyBorder="1" applyAlignment="1">
      <alignment horizontal="left" vertical="center"/>
    </xf>
    <xf numFmtId="186" fontId="5" fillId="0" borderId="0" xfId="0" applyNumberFormat="1" applyFont="1" applyFill="1" applyBorder="1" applyAlignment="1">
      <alignment horizontal="center" vertical="center"/>
    </xf>
    <xf numFmtId="8" fontId="4" fillId="0" borderId="0" xfId="0" applyNumberFormat="1" applyFont="1" applyFill="1" applyBorder="1" applyAlignment="1">
      <alignment horizontal="center" vertical="center"/>
    </xf>
    <xf numFmtId="38" fontId="4" fillId="0" borderId="0" xfId="0" applyNumberFormat="1" applyFont="1" applyFill="1" applyBorder="1" applyAlignment="1">
      <alignment horizontal="center" vertical="center"/>
    </xf>
    <xf numFmtId="4" fontId="5" fillId="0" borderId="19" xfId="0" applyNumberFormat="1" applyFont="1" applyBorder="1" applyAlignment="1">
      <alignment horizontal="center" vertical="center"/>
    </xf>
    <xf numFmtId="4" fontId="5" fillId="0" borderId="20" xfId="0" applyNumberFormat="1" applyFont="1" applyBorder="1" applyAlignment="1">
      <alignment horizontal="center" vertical="center"/>
    </xf>
    <xf numFmtId="167" fontId="4" fillId="0" borderId="6" xfId="0" applyNumberFormat="1" applyFont="1" applyBorder="1" applyAlignment="1">
      <alignment horizontal="center" vertical="center"/>
    </xf>
    <xf numFmtId="168" fontId="0" fillId="0" borderId="0" xfId="0" applyNumberFormat="1" applyBorder="1" applyAlignment="1">
      <alignment horizontal="left" vertical="center"/>
    </xf>
    <xf numFmtId="168" fontId="0" fillId="0" borderId="7" xfId="0" applyNumberFormat="1" applyBorder="1" applyAlignment="1">
      <alignment horizontal="center" vertical="center"/>
    </xf>
    <xf numFmtId="168" fontId="0" fillId="0" borderId="7" xfId="0" applyNumberFormat="1" applyBorder="1" applyAlignment="1">
      <alignment horizontal="left" vertical="center"/>
    </xf>
    <xf numFmtId="10" fontId="3" fillId="0" borderId="0" xfId="0" applyNumberFormat="1" applyFont="1" applyAlignment="1">
      <alignment horizontal="center" vertical="center"/>
    </xf>
    <xf numFmtId="4" fontId="3" fillId="0" borderId="0" xfId="0" applyNumberFormat="1" applyFont="1" applyAlignment="1">
      <alignment horizontal="center" vertical="center"/>
    </xf>
    <xf numFmtId="10" fontId="5" fillId="0" borderId="2" xfId="0" applyNumberFormat="1" applyFont="1" applyBorder="1" applyAlignment="1">
      <alignment horizontal="center" vertical="center"/>
    </xf>
    <xf numFmtId="4" fontId="5" fillId="2" borderId="0" xfId="0" applyNumberFormat="1" applyFont="1" applyFill="1" applyBorder="1" applyAlignment="1">
      <alignment horizontal="center" vertical="center"/>
    </xf>
    <xf numFmtId="3" fontId="5" fillId="0" borderId="6" xfId="0" applyNumberFormat="1" applyFont="1" applyFill="1" applyBorder="1" applyAlignment="1">
      <alignment horizontal="center" vertical="center"/>
    </xf>
    <xf numFmtId="0" fontId="9" fillId="0" borderId="0" xfId="0" applyFont="1" applyFill="1" applyBorder="1" applyAlignment="1">
      <alignment horizontal="left" vertical="center"/>
    </xf>
    <xf numFmtId="180" fontId="5" fillId="0" borderId="0" xfId="3" applyNumberFormat="1" applyFont="1" applyFill="1" applyBorder="1" applyAlignment="1">
      <alignment horizontal="center" vertical="center"/>
    </xf>
    <xf numFmtId="14" fontId="1" fillId="0" borderId="0" xfId="0" applyNumberFormat="1" applyFont="1" applyAlignment="1">
      <alignment horizontal="left" vertical="center"/>
    </xf>
    <xf numFmtId="167" fontId="5" fillId="0" borderId="0" xfId="0" applyNumberFormat="1" applyFont="1" applyBorder="1" applyAlignment="1">
      <alignment horizontal="right" vertical="center"/>
    </xf>
    <xf numFmtId="167" fontId="5" fillId="0" borderId="0" xfId="1" applyNumberFormat="1" applyFont="1" applyBorder="1" applyAlignment="1">
      <alignment horizontal="center" vertical="center"/>
    </xf>
    <xf numFmtId="17" fontId="5" fillId="0" borderId="0" xfId="0" applyNumberFormat="1" applyFont="1" applyBorder="1" applyAlignment="1">
      <alignment horizontal="center" vertical="center"/>
    </xf>
    <xf numFmtId="17" fontId="5" fillId="0" borderId="7" xfId="0" applyNumberFormat="1" applyFont="1" applyBorder="1" applyAlignment="1">
      <alignment horizontal="center" vertical="center"/>
    </xf>
    <xf numFmtId="4" fontId="5" fillId="0" borderId="6" xfId="0" applyNumberFormat="1" applyFont="1" applyFill="1" applyBorder="1" applyAlignment="1">
      <alignment horizontal="center" vertical="center"/>
    </xf>
    <xf numFmtId="167" fontId="5" fillId="0" borderId="7" xfId="1" applyNumberFormat="1" applyFont="1" applyBorder="1" applyAlignment="1">
      <alignment horizontal="center" vertical="center"/>
    </xf>
    <xf numFmtId="175" fontId="5" fillId="0" borderId="0" xfId="3" applyNumberFormat="1" applyFont="1" applyFill="1" applyBorder="1" applyAlignment="1">
      <alignment horizontal="center" vertical="center"/>
    </xf>
    <xf numFmtId="167" fontId="5" fillId="0" borderId="42"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10" fontId="4" fillId="0" borderId="2" xfId="0" applyNumberFormat="1" applyFont="1" applyBorder="1" applyAlignment="1">
      <alignment horizontal="center" vertical="center"/>
    </xf>
    <xf numFmtId="171" fontId="5" fillId="0" borderId="0" xfId="0" applyNumberFormat="1" applyFont="1" applyFill="1" applyBorder="1" applyAlignment="1">
      <alignment horizontal="center" vertical="center"/>
    </xf>
    <xf numFmtId="9" fontId="4" fillId="0" borderId="3" xfId="0" applyNumberFormat="1" applyFont="1" applyBorder="1" applyAlignment="1">
      <alignment horizontal="center" vertical="center"/>
    </xf>
    <xf numFmtId="10" fontId="0" fillId="0" borderId="6" xfId="0" applyNumberFormat="1" applyBorder="1" applyAlignment="1">
      <alignment horizontal="center" vertical="center"/>
    </xf>
    <xf numFmtId="3" fontId="4" fillId="0" borderId="4" xfId="0" applyNumberFormat="1" applyFont="1" applyFill="1" applyBorder="1" applyAlignment="1">
      <alignment horizontal="center" vertical="center"/>
    </xf>
    <xf numFmtId="3" fontId="5" fillId="0" borderId="23" xfId="0" applyNumberFormat="1" applyFont="1" applyFill="1" applyBorder="1" applyAlignment="1">
      <alignment horizontal="center" vertical="center"/>
    </xf>
    <xf numFmtId="167" fontId="4" fillId="0" borderId="24" xfId="0" applyNumberFormat="1" applyFont="1" applyBorder="1" applyAlignment="1">
      <alignment horizontal="center" vertical="center"/>
    </xf>
    <xf numFmtId="167" fontId="5" fillId="0" borderId="4" xfId="0" applyNumberFormat="1" applyFont="1" applyFill="1" applyBorder="1" applyAlignment="1">
      <alignment horizontal="left" vertical="center"/>
    </xf>
    <xf numFmtId="167" fontId="5" fillId="2" borderId="5" xfId="0" applyNumberFormat="1" applyFont="1" applyFill="1" applyBorder="1" applyAlignment="1">
      <alignment horizontal="center" vertical="center"/>
    </xf>
    <xf numFmtId="3" fontId="3" fillId="0" borderId="0" xfId="0" applyNumberFormat="1" applyFont="1" applyBorder="1" applyAlignment="1">
      <alignment horizontal="center" vertical="center"/>
    </xf>
    <xf numFmtId="182" fontId="5" fillId="2" borderId="5" xfId="0" applyNumberFormat="1" applyFont="1" applyFill="1" applyBorder="1" applyAlignment="1">
      <alignment horizontal="center" vertical="center"/>
    </xf>
    <xf numFmtId="167" fontId="8" fillId="0" borderId="1" xfId="0" applyNumberFormat="1" applyFont="1" applyFill="1" applyBorder="1" applyAlignment="1">
      <alignment horizontal="center" vertical="center"/>
    </xf>
    <xf numFmtId="0" fontId="8" fillId="12" borderId="6" xfId="0" applyFont="1" applyFill="1" applyBorder="1" applyAlignment="1">
      <alignment horizontal="center" vertical="center"/>
    </xf>
    <xf numFmtId="167" fontId="9" fillId="0" borderId="0" xfId="0" applyNumberFormat="1" applyFont="1" applyFill="1" applyBorder="1" applyAlignment="1">
      <alignment horizontal="center" vertical="center"/>
    </xf>
    <xf numFmtId="0" fontId="8" fillId="9" borderId="6" xfId="0" applyFont="1" applyFill="1" applyBorder="1" applyAlignment="1">
      <alignment horizontal="center" vertical="center"/>
    </xf>
    <xf numFmtId="0" fontId="8" fillId="27" borderId="2" xfId="0" applyFont="1" applyFill="1" applyBorder="1" applyAlignment="1">
      <alignment horizontal="center" vertical="center"/>
    </xf>
    <xf numFmtId="10" fontId="8" fillId="0" borderId="3" xfId="3" applyNumberFormat="1" applyFont="1" applyBorder="1" applyAlignment="1">
      <alignment horizontal="center" vertical="center"/>
    </xf>
    <xf numFmtId="0" fontId="9" fillId="0" borderId="3" xfId="0" applyFont="1" applyFill="1" applyBorder="1" applyAlignment="1">
      <alignment horizontal="center" vertical="center"/>
    </xf>
    <xf numFmtId="14" fontId="8" fillId="26" borderId="0" xfId="0" applyNumberFormat="1" applyFont="1" applyFill="1" applyBorder="1" applyAlignment="1">
      <alignment horizontal="center" vertical="center"/>
    </xf>
    <xf numFmtId="4" fontId="8" fillId="26" borderId="1" xfId="0" applyNumberFormat="1" applyFont="1" applyFill="1" applyBorder="1" applyAlignment="1">
      <alignment horizontal="center" vertical="center"/>
    </xf>
    <xf numFmtId="167" fontId="8" fillId="0" borderId="10" xfId="0" applyNumberFormat="1" applyFont="1" applyFill="1" applyBorder="1" applyAlignment="1">
      <alignment horizontal="center" vertical="center"/>
    </xf>
    <xf numFmtId="0" fontId="9" fillId="0" borderId="0" xfId="0" applyFont="1" applyFill="1" applyBorder="1" applyAlignment="1">
      <alignment horizontal="center" vertical="center"/>
    </xf>
    <xf numFmtId="4" fontId="8" fillId="0" borderId="2" xfId="0" applyNumberFormat="1" applyFont="1" applyFill="1" applyBorder="1" applyAlignment="1">
      <alignment horizontal="center" vertical="center"/>
    </xf>
    <xf numFmtId="167" fontId="8" fillId="2" borderId="8"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8" fillId="26" borderId="7" xfId="0" applyNumberFormat="1" applyFont="1" applyFill="1" applyBorder="1" applyAlignment="1">
      <alignment horizontal="center" vertical="center"/>
    </xf>
    <xf numFmtId="0" fontId="9" fillId="0" borderId="2" xfId="0" applyFont="1" applyBorder="1" applyAlignment="1">
      <alignment horizontal="left" vertical="center"/>
    </xf>
    <xf numFmtId="4" fontId="8" fillId="0" borderId="3" xfId="0" applyNumberFormat="1" applyFont="1" applyBorder="1" applyAlignment="1">
      <alignment horizontal="right" vertical="center"/>
    </xf>
    <xf numFmtId="4" fontId="8" fillId="0" borderId="5" xfId="0" applyNumberFormat="1" applyFont="1" applyBorder="1" applyAlignment="1">
      <alignment horizontal="center" vertical="center"/>
    </xf>
    <xf numFmtId="4" fontId="9" fillId="0" borderId="1" xfId="0" applyNumberFormat="1" applyFont="1" applyBorder="1" applyAlignment="1">
      <alignment horizontal="center" vertical="center"/>
    </xf>
    <xf numFmtId="0" fontId="8" fillId="26" borderId="0" xfId="0" applyFont="1" applyFill="1" applyBorder="1" applyAlignment="1">
      <alignment horizontal="center" vertical="center"/>
    </xf>
    <xf numFmtId="10" fontId="8" fillId="0" borderId="5" xfId="0" applyNumberFormat="1" applyFont="1" applyBorder="1" applyAlignment="1">
      <alignment horizontal="center" vertical="center"/>
    </xf>
    <xf numFmtId="0" fontId="9" fillId="12" borderId="6" xfId="0" applyFont="1" applyFill="1" applyBorder="1" applyAlignment="1">
      <alignment horizontal="center" vertical="center"/>
    </xf>
    <xf numFmtId="0" fontId="9" fillId="9" borderId="2" xfId="0" applyFont="1" applyFill="1" applyBorder="1" applyAlignment="1">
      <alignment horizontal="center" vertical="center"/>
    </xf>
    <xf numFmtId="14" fontId="8" fillId="0" borderId="0" xfId="0" applyNumberFormat="1" applyFont="1" applyFill="1" applyBorder="1" applyAlignment="1">
      <alignment horizontal="center" vertical="center"/>
    </xf>
    <xf numFmtId="175" fontId="8" fillId="0" borderId="0" xfId="3" applyNumberFormat="1" applyFont="1" applyAlignment="1">
      <alignment horizontal="center" vertical="center"/>
    </xf>
    <xf numFmtId="0" fontId="9" fillId="9" borderId="9" xfId="0" applyFont="1" applyFill="1" applyBorder="1" applyAlignment="1">
      <alignment horizontal="center" vertical="center"/>
    </xf>
    <xf numFmtId="14" fontId="8" fillId="0" borderId="10" xfId="0" applyNumberFormat="1" applyFont="1" applyBorder="1" applyAlignment="1">
      <alignment horizontal="center" vertical="center"/>
    </xf>
    <xf numFmtId="14" fontId="8" fillId="0" borderId="11" xfId="0" applyNumberFormat="1" applyFont="1" applyBorder="1" applyAlignment="1">
      <alignment horizontal="center" vertical="center"/>
    </xf>
    <xf numFmtId="167" fontId="8" fillId="0" borderId="11" xfId="0" applyNumberFormat="1" applyFont="1" applyBorder="1" applyAlignment="1">
      <alignment horizontal="center" vertical="center"/>
    </xf>
    <xf numFmtId="210" fontId="8" fillId="0" borderId="0" xfId="0" applyNumberFormat="1" applyFont="1" applyBorder="1" applyAlignment="1">
      <alignment horizontal="center" vertical="center"/>
    </xf>
    <xf numFmtId="167" fontId="8" fillId="0" borderId="3" xfId="0" applyNumberFormat="1" applyFont="1" applyBorder="1" applyAlignment="1">
      <alignment horizontal="right" vertical="center"/>
    </xf>
    <xf numFmtId="4" fontId="8" fillId="0" borderId="8" xfId="0" applyNumberFormat="1" applyFont="1" applyBorder="1" applyAlignment="1">
      <alignment horizontal="left" vertical="center"/>
    </xf>
    <xf numFmtId="4" fontId="8" fillId="0" borderId="1" xfId="0" applyNumberFormat="1" applyFont="1" applyBorder="1" applyAlignment="1">
      <alignment horizontal="center" vertical="center"/>
    </xf>
    <xf numFmtId="4" fontId="8" fillId="0" borderId="7" xfId="0" applyNumberFormat="1" applyFont="1" applyFill="1" applyBorder="1" applyAlignment="1">
      <alignment horizontal="center" vertical="center"/>
    </xf>
    <xf numFmtId="4" fontId="8" fillId="0" borderId="8" xfId="0" applyNumberFormat="1" applyFont="1" applyFill="1" applyBorder="1" applyAlignment="1">
      <alignment horizontal="center" vertical="center"/>
    </xf>
    <xf numFmtId="4" fontId="9" fillId="0" borderId="0" xfId="0" applyNumberFormat="1" applyFont="1" applyBorder="1" applyAlignment="1">
      <alignment horizontal="left" vertical="center"/>
    </xf>
    <xf numFmtId="0" fontId="9" fillId="0" borderId="6" xfId="0" applyFont="1" applyBorder="1" applyAlignment="1">
      <alignment horizontal="right" vertical="center"/>
    </xf>
    <xf numFmtId="49" fontId="1" fillId="0" borderId="1" xfId="0" applyNumberFormat="1" applyFont="1" applyBorder="1" applyAlignment="1">
      <alignment horizontal="center" vertical="center"/>
    </xf>
    <xf numFmtId="49" fontId="1" fillId="0" borderId="3" xfId="0" applyNumberFormat="1" applyFont="1" applyBorder="1" applyAlignment="1">
      <alignment horizontal="center" vertical="center"/>
    </xf>
    <xf numFmtId="8" fontId="0" fillId="0" borderId="6" xfId="0" applyNumberFormat="1" applyBorder="1" applyAlignment="1">
      <alignment horizontal="left" vertical="center"/>
    </xf>
    <xf numFmtId="8" fontId="0" fillId="0" borderId="0" xfId="0" applyNumberFormat="1" applyBorder="1" applyAlignment="1">
      <alignment horizontal="left" vertical="center"/>
    </xf>
    <xf numFmtId="0" fontId="0" fillId="0" borderId="5" xfId="0" applyBorder="1" applyAlignment="1">
      <alignment horizontal="left" vertical="center"/>
    </xf>
    <xf numFmtId="8" fontId="0" fillId="0" borderId="7" xfId="0" applyNumberFormat="1" applyBorder="1" applyAlignment="1">
      <alignment horizontal="left" vertical="center"/>
    </xf>
    <xf numFmtId="0" fontId="1" fillId="26" borderId="3" xfId="0" applyFont="1" applyFill="1" applyBorder="1" applyAlignment="1">
      <alignment horizontal="left" vertical="center"/>
    </xf>
    <xf numFmtId="8" fontId="3" fillId="0" borderId="0" xfId="0" applyNumberFormat="1" applyFont="1" applyBorder="1" applyAlignment="1">
      <alignment horizontal="left" vertical="center"/>
    </xf>
    <xf numFmtId="10" fontId="0" fillId="0" borderId="4" xfId="3" applyNumberFormat="1" applyFont="1" applyBorder="1" applyAlignment="1">
      <alignment horizontal="left" vertical="center"/>
    </xf>
    <xf numFmtId="0" fontId="17" fillId="0" borderId="3" xfId="0" applyFont="1" applyBorder="1" applyAlignment="1">
      <alignment horizontal="left" vertical="center"/>
    </xf>
    <xf numFmtId="8" fontId="0" fillId="2" borderId="0" xfId="0" applyNumberFormat="1" applyFill="1" applyBorder="1" applyAlignment="1">
      <alignment horizontal="left" vertical="center"/>
    </xf>
    <xf numFmtId="8" fontId="0" fillId="0" borderId="4" xfId="0" applyNumberFormat="1" applyBorder="1" applyAlignment="1">
      <alignment horizontal="left" vertical="center"/>
    </xf>
    <xf numFmtId="10" fontId="0" fillId="0" borderId="3" xfId="3" applyNumberFormat="1" applyFont="1" applyBorder="1" applyAlignment="1">
      <alignment horizontal="left" vertical="center"/>
    </xf>
    <xf numFmtId="0" fontId="1" fillId="0" borderId="5" xfId="0" applyFont="1" applyBorder="1" applyAlignment="1">
      <alignment horizontal="left" vertical="center"/>
    </xf>
    <xf numFmtId="167" fontId="8" fillId="0" borderId="2" xfId="0" applyNumberFormat="1" applyFont="1" applyFill="1" applyBorder="1" applyAlignment="1">
      <alignment horizontal="left" vertical="center"/>
    </xf>
    <xf numFmtId="191" fontId="8" fillId="0" borderId="3" xfId="0" applyNumberFormat="1" applyFont="1" applyFill="1" applyBorder="1" applyAlignment="1">
      <alignment horizontal="center" vertical="center"/>
    </xf>
    <xf numFmtId="10" fontId="0" fillId="0" borderId="5" xfId="3" applyNumberFormat="1" applyFont="1" applyBorder="1" applyAlignment="1">
      <alignment horizontal="left" vertical="center"/>
    </xf>
    <xf numFmtId="0" fontId="8" fillId="28" borderId="3" xfId="0" applyFont="1" applyFill="1" applyBorder="1" applyAlignment="1">
      <alignment horizontal="left" vertical="center"/>
    </xf>
    <xf numFmtId="0" fontId="8" fillId="23" borderId="3" xfId="0" applyFont="1" applyFill="1" applyBorder="1" applyAlignment="1">
      <alignment horizontal="left" vertical="center"/>
    </xf>
    <xf numFmtId="0" fontId="8" fillId="5" borderId="3" xfId="0" applyFont="1" applyFill="1" applyBorder="1" applyAlignment="1">
      <alignment horizontal="left" vertical="center"/>
    </xf>
    <xf numFmtId="0" fontId="8" fillId="25" borderId="3" xfId="0" applyFont="1" applyFill="1" applyBorder="1" applyAlignment="1">
      <alignment horizontal="left" vertical="center"/>
    </xf>
    <xf numFmtId="0" fontId="8" fillId="24" borderId="3" xfId="0" applyFont="1" applyFill="1" applyBorder="1" applyAlignment="1">
      <alignment horizontal="left" vertical="center"/>
    </xf>
    <xf numFmtId="0" fontId="8" fillId="8" borderId="3" xfId="0" applyFont="1" applyFill="1" applyBorder="1" applyAlignment="1">
      <alignment horizontal="left" vertical="center"/>
    </xf>
    <xf numFmtId="0" fontId="8" fillId="19" borderId="3" xfId="0" applyFont="1" applyFill="1" applyBorder="1" applyAlignment="1">
      <alignment horizontal="left" vertical="center"/>
    </xf>
    <xf numFmtId="0" fontId="8" fillId="15" borderId="3" xfId="0" applyFont="1" applyFill="1" applyBorder="1" applyAlignment="1">
      <alignment horizontal="left" vertical="center"/>
    </xf>
    <xf numFmtId="0" fontId="8" fillId="22" borderId="3" xfId="0" applyFont="1" applyFill="1" applyBorder="1" applyAlignment="1">
      <alignment horizontal="left" vertical="center"/>
    </xf>
    <xf numFmtId="0" fontId="1" fillId="26" borderId="1" xfId="0" applyFont="1" applyFill="1" applyBorder="1" applyAlignment="1">
      <alignment horizontal="left" vertical="center"/>
    </xf>
    <xf numFmtId="3" fontId="0" fillId="2" borderId="3" xfId="0" applyNumberFormat="1" applyFill="1" applyBorder="1" applyAlignment="1">
      <alignment horizontal="left" vertical="center"/>
    </xf>
    <xf numFmtId="4" fontId="8" fillId="0" borderId="0" xfId="0" applyNumberFormat="1" applyFont="1" applyFill="1" applyBorder="1" applyAlignment="1">
      <alignment horizontal="left" vertical="center"/>
    </xf>
    <xf numFmtId="1" fontId="8" fillId="0" borderId="0" xfId="0" applyNumberFormat="1" applyFont="1" applyFill="1" applyBorder="1" applyAlignment="1">
      <alignment horizontal="left" vertical="center"/>
    </xf>
    <xf numFmtId="0" fontId="8" fillId="0" borderId="0" xfId="0" applyFont="1" applyBorder="1" applyAlignment="1">
      <alignment horizontal="right" vertical="center"/>
    </xf>
    <xf numFmtId="14" fontId="3" fillId="0" borderId="1" xfId="0" applyNumberFormat="1" applyFont="1" applyBorder="1" applyAlignment="1">
      <alignment horizontal="left" vertical="center"/>
    </xf>
    <xf numFmtId="168" fontId="0" fillId="0" borderId="4" xfId="0" applyNumberFormat="1" applyBorder="1" applyAlignment="1">
      <alignment horizontal="left" vertical="center"/>
    </xf>
    <xf numFmtId="168" fontId="0" fillId="0" borderId="8" xfId="0" applyNumberFormat="1" applyBorder="1" applyAlignment="1">
      <alignment horizontal="left" vertical="center"/>
    </xf>
    <xf numFmtId="0" fontId="8" fillId="0" borderId="0" xfId="0" applyFont="1" applyAlignment="1">
      <alignment horizontal="right" vertical="center"/>
    </xf>
    <xf numFmtId="3" fontId="8" fillId="26" borderId="3" xfId="0" applyNumberFormat="1" applyFont="1" applyFill="1" applyBorder="1" applyAlignment="1">
      <alignment horizontal="center" vertical="center"/>
    </xf>
    <xf numFmtId="167" fontId="5" fillId="2" borderId="24" xfId="0" applyNumberFormat="1" applyFont="1" applyFill="1" applyBorder="1" applyAlignment="1">
      <alignment horizontal="center" vertical="center"/>
    </xf>
    <xf numFmtId="0" fontId="10" fillId="0" borderId="0" xfId="0" applyFont="1" applyAlignment="1">
      <alignment horizontal="left" vertical="center"/>
    </xf>
    <xf numFmtId="167" fontId="11" fillId="0" borderId="1" xfId="2" applyNumberFormat="1" applyFill="1" applyBorder="1" applyAlignment="1" applyProtection="1">
      <alignment horizontal="left" vertical="center"/>
    </xf>
    <xf numFmtId="4" fontId="8" fillId="0" borderId="5" xfId="0" applyNumberFormat="1" applyFont="1" applyBorder="1" applyAlignment="1">
      <alignment horizontal="left" vertical="center"/>
    </xf>
    <xf numFmtId="10" fontId="8" fillId="0" borderId="8" xfId="0" applyNumberFormat="1" applyFont="1" applyBorder="1" applyAlignment="1">
      <alignment horizontal="left" vertical="center"/>
    </xf>
    <xf numFmtId="0" fontId="17" fillId="0" borderId="0" xfId="0" applyFont="1" applyBorder="1" applyAlignment="1">
      <alignment horizontal="left" vertical="center"/>
    </xf>
    <xf numFmtId="3" fontId="1" fillId="2" borderId="3" xfId="0" applyNumberFormat="1" applyFont="1" applyFill="1" applyBorder="1" applyAlignment="1">
      <alignment horizontal="left" vertical="center"/>
    </xf>
    <xf numFmtId="211" fontId="5" fillId="0" borderId="0" xfId="3" applyNumberFormat="1" applyFont="1" applyFill="1" applyBorder="1" applyAlignment="1">
      <alignment horizontal="center" vertical="center"/>
    </xf>
    <xf numFmtId="3" fontId="9" fillId="0" borderId="0" xfId="0" applyNumberFormat="1" applyFont="1" applyBorder="1" applyAlignment="1">
      <alignment horizontal="left" vertical="center"/>
    </xf>
    <xf numFmtId="173" fontId="8" fillId="2" borderId="24" xfId="0" applyNumberFormat="1" applyFont="1" applyFill="1" applyBorder="1" applyAlignment="1">
      <alignment horizontal="center" vertical="center"/>
    </xf>
    <xf numFmtId="4" fontId="8" fillId="0" borderId="24" xfId="0" applyNumberFormat="1" applyFont="1" applyBorder="1" applyAlignment="1">
      <alignment horizontal="center" vertical="center"/>
    </xf>
    <xf numFmtId="167" fontId="8" fillId="0" borderId="24" xfId="0" applyNumberFormat="1" applyFont="1" applyFill="1" applyBorder="1" applyAlignment="1">
      <alignment horizontal="center" vertical="center"/>
    </xf>
    <xf numFmtId="0" fontId="11" fillId="0" borderId="0" xfId="2" applyFill="1" applyBorder="1" applyAlignment="1" applyProtection="1">
      <alignment horizontal="left" vertical="center"/>
    </xf>
    <xf numFmtId="0" fontId="11" fillId="0" borderId="0" xfId="2" applyAlignment="1" applyProtection="1">
      <alignment horizontal="left" vertical="center"/>
    </xf>
    <xf numFmtId="3" fontId="11" fillId="0" borderId="0" xfId="2" applyNumberFormat="1" applyAlignment="1" applyProtection="1">
      <alignment horizontal="left" vertical="center"/>
    </xf>
    <xf numFmtId="3" fontId="5" fillId="0" borderId="23" xfId="0" applyNumberFormat="1" applyFont="1" applyBorder="1" applyAlignment="1">
      <alignment horizontal="center" vertical="center"/>
    </xf>
    <xf numFmtId="3" fontId="5" fillId="0" borderId="24" xfId="0" applyNumberFormat="1" applyFont="1" applyBorder="1" applyAlignment="1">
      <alignment horizontal="center" vertical="center"/>
    </xf>
    <xf numFmtId="3" fontId="5" fillId="0" borderId="25" xfId="0" applyNumberFormat="1" applyFont="1" applyBorder="1" applyAlignment="1">
      <alignment horizontal="center" vertical="center"/>
    </xf>
    <xf numFmtId="0" fontId="0" fillId="2" borderId="3" xfId="0" applyFill="1" applyBorder="1" applyAlignment="1">
      <alignment horizontal="left" vertical="center"/>
    </xf>
    <xf numFmtId="14" fontId="0" fillId="0" borderId="0" xfId="0" applyNumberFormat="1" applyBorder="1" applyAlignment="1">
      <alignment horizontal="left" vertical="center"/>
    </xf>
    <xf numFmtId="173" fontId="0" fillId="0" borderId="3" xfId="0" applyNumberFormat="1" applyBorder="1" applyAlignment="1">
      <alignment horizontal="left" vertical="center"/>
    </xf>
    <xf numFmtId="167" fontId="3" fillId="0" borderId="0" xfId="0" applyNumberFormat="1" applyFont="1" applyBorder="1" applyAlignment="1">
      <alignment horizontal="left" vertical="center"/>
    </xf>
    <xf numFmtId="167" fontId="3" fillId="0" borderId="4" xfId="0" applyNumberFormat="1" applyFont="1" applyBorder="1" applyAlignment="1">
      <alignment horizontal="left" vertical="center"/>
    </xf>
    <xf numFmtId="10" fontId="1" fillId="0" borderId="4" xfId="3" applyNumberFormat="1" applyFont="1" applyBorder="1" applyAlignment="1">
      <alignment horizontal="left" vertical="center"/>
    </xf>
    <xf numFmtId="10" fontId="1" fillId="0" borderId="7" xfId="3" applyNumberFormat="1" applyFont="1" applyBorder="1" applyAlignment="1">
      <alignment horizontal="left" vertical="center"/>
    </xf>
    <xf numFmtId="10" fontId="0" fillId="0" borderId="8" xfId="3" applyNumberFormat="1" applyFont="1" applyBorder="1" applyAlignment="1">
      <alignment horizontal="left" vertical="center"/>
    </xf>
    <xf numFmtId="10" fontId="1" fillId="0" borderId="0" xfId="0" applyNumberFormat="1" applyFont="1" applyFill="1" applyBorder="1" applyAlignment="1">
      <alignment horizontal="left" vertical="center"/>
    </xf>
    <xf numFmtId="0" fontId="4" fillId="0" borderId="31" xfId="0" applyFont="1" applyFill="1" applyBorder="1" applyAlignment="1">
      <alignment horizontal="center" vertical="center"/>
    </xf>
    <xf numFmtId="10" fontId="5" fillId="2" borderId="32" xfId="3" applyNumberFormat="1" applyFont="1" applyFill="1" applyBorder="1" applyAlignment="1">
      <alignment horizontal="center" vertical="center"/>
    </xf>
    <xf numFmtId="2" fontId="0" fillId="0" borderId="0" xfId="0" applyNumberFormat="1" applyBorder="1" applyAlignment="1">
      <alignment horizontal="center" vertical="center"/>
    </xf>
    <xf numFmtId="2" fontId="1" fillId="0" borderId="0" xfId="0" applyNumberFormat="1" applyFont="1" applyBorder="1" applyAlignment="1">
      <alignment horizontal="center" vertical="center"/>
    </xf>
    <xf numFmtId="167" fontId="8" fillId="0" borderId="0" xfId="3" applyNumberFormat="1" applyFont="1" applyBorder="1" applyAlignment="1">
      <alignment horizontal="center" vertical="center"/>
    </xf>
    <xf numFmtId="10" fontId="8" fillId="0" borderId="0" xfId="3" applyNumberFormat="1" applyFont="1" applyAlignment="1">
      <alignment horizontal="left" vertical="center"/>
    </xf>
    <xf numFmtId="167" fontId="8" fillId="0" borderId="0" xfId="3" applyNumberFormat="1" applyFont="1" applyFill="1" applyBorder="1" applyAlignment="1">
      <alignment horizontal="center" vertical="center"/>
    </xf>
    <xf numFmtId="167" fontId="8" fillId="0" borderId="0" xfId="0" applyNumberFormat="1" applyFont="1" applyFill="1" applyBorder="1" applyAlignment="1">
      <alignment horizontal="right" vertical="center"/>
    </xf>
    <xf numFmtId="10" fontId="8" fillId="0" borderId="0" xfId="3" applyNumberFormat="1" applyFont="1" applyFill="1" applyBorder="1" applyAlignment="1">
      <alignment horizontal="left" vertical="center"/>
    </xf>
    <xf numFmtId="4" fontId="8" fillId="0" borderId="5" xfId="0" applyNumberFormat="1" applyFont="1" applyBorder="1" applyAlignment="1">
      <alignment horizontal="right" vertical="center"/>
    </xf>
    <xf numFmtId="167" fontId="8" fillId="0" borderId="1" xfId="0" applyNumberFormat="1" applyFont="1" applyFill="1" applyBorder="1" applyAlignment="1">
      <alignment horizontal="right" vertical="center"/>
    </xf>
    <xf numFmtId="167" fontId="1" fillId="0" borderId="4" xfId="3" applyNumberFormat="1" applyFont="1" applyBorder="1" applyAlignment="1">
      <alignment horizontal="center" vertical="center"/>
    </xf>
    <xf numFmtId="167" fontId="1" fillId="0" borderId="8" xfId="3" applyNumberFormat="1" applyFont="1" applyBorder="1" applyAlignment="1">
      <alignment horizontal="center" vertical="center"/>
    </xf>
    <xf numFmtId="0" fontId="1" fillId="0" borderId="6" xfId="0" applyFont="1" applyBorder="1" applyAlignment="1">
      <alignment horizontal="left" vertical="center"/>
    </xf>
    <xf numFmtId="4" fontId="8" fillId="26" borderId="23" xfId="0" applyNumberFormat="1" applyFont="1" applyFill="1" applyBorder="1" applyAlignment="1">
      <alignment horizontal="center" vertical="center"/>
    </xf>
    <xf numFmtId="167" fontId="8" fillId="0" borderId="6" xfId="0" applyNumberFormat="1" applyFont="1" applyFill="1" applyBorder="1" applyAlignment="1">
      <alignment horizontal="center" vertical="center"/>
    </xf>
    <xf numFmtId="167" fontId="8" fillId="0" borderId="2" xfId="0" applyNumberFormat="1" applyFont="1" applyFill="1" applyBorder="1" applyAlignment="1">
      <alignment horizontal="center" vertical="center"/>
    </xf>
    <xf numFmtId="0" fontId="8" fillId="0" borderId="3" xfId="0" applyFont="1" applyFill="1" applyBorder="1" applyAlignment="1">
      <alignment horizontal="left" vertical="center"/>
    </xf>
    <xf numFmtId="10" fontId="8" fillId="0" borderId="4" xfId="0" applyNumberFormat="1" applyFont="1" applyFill="1" applyBorder="1" applyAlignment="1">
      <alignment horizontal="center" vertical="center"/>
    </xf>
    <xf numFmtId="9" fontId="8" fillId="0" borderId="0" xfId="0" applyNumberFormat="1" applyFont="1" applyAlignment="1">
      <alignment horizontal="center" vertical="center"/>
    </xf>
    <xf numFmtId="3" fontId="8" fillId="26" borderId="1" xfId="0" applyNumberFormat="1" applyFont="1" applyFill="1" applyBorder="1" applyAlignment="1">
      <alignment horizontal="center" vertical="center"/>
    </xf>
    <xf numFmtId="14" fontId="8" fillId="0" borderId="6" xfId="0" applyNumberFormat="1" applyFont="1" applyFill="1" applyBorder="1" applyAlignment="1">
      <alignment horizontal="center" vertical="center"/>
    </xf>
    <xf numFmtId="3" fontId="8" fillId="0" borderId="5" xfId="0" applyNumberFormat="1" applyFont="1" applyBorder="1" applyAlignment="1">
      <alignment horizontal="center" vertical="center"/>
    </xf>
    <xf numFmtId="3" fontId="9" fillId="0" borderId="3" xfId="0" applyNumberFormat="1" applyFont="1" applyBorder="1" applyAlignment="1">
      <alignment horizontal="center" vertical="center"/>
    </xf>
    <xf numFmtId="4" fontId="9" fillId="0" borderId="12" xfId="0" applyNumberFormat="1" applyFont="1" applyBorder="1" applyAlignment="1">
      <alignment horizontal="center" vertical="center"/>
    </xf>
    <xf numFmtId="4" fontId="9" fillId="0" borderId="17" xfId="0" applyNumberFormat="1" applyFont="1" applyBorder="1" applyAlignment="1">
      <alignment horizontal="center" vertical="center"/>
    </xf>
    <xf numFmtId="4" fontId="9" fillId="0" borderId="19" xfId="0" applyNumberFormat="1" applyFont="1" applyBorder="1" applyAlignment="1">
      <alignment horizontal="center" vertical="center"/>
    </xf>
    <xf numFmtId="4" fontId="9" fillId="0" borderId="20" xfId="0" applyNumberFormat="1" applyFont="1" applyBorder="1" applyAlignment="1">
      <alignment horizontal="center" vertical="center"/>
    </xf>
    <xf numFmtId="3" fontId="8" fillId="2" borderId="2" xfId="0" applyNumberFormat="1" applyFont="1" applyFill="1" applyBorder="1" applyAlignment="1">
      <alignment horizontal="center" vertical="center"/>
    </xf>
    <xf numFmtId="3" fontId="8" fillId="2" borderId="4" xfId="0" applyNumberFormat="1" applyFont="1" applyFill="1" applyBorder="1" applyAlignment="1">
      <alignment horizontal="center" vertical="center"/>
    </xf>
    <xf numFmtId="10" fontId="8" fillId="0" borderId="3" xfId="0" applyNumberFormat="1" applyFont="1" applyBorder="1" applyAlignment="1">
      <alignment horizontal="center" vertical="center"/>
    </xf>
    <xf numFmtId="189" fontId="1" fillId="0" borderId="0" xfId="0" applyNumberFormat="1" applyFont="1" applyAlignment="1">
      <alignment horizontal="center" vertical="center"/>
    </xf>
    <xf numFmtId="10" fontId="9" fillId="0" borderId="1" xfId="0" applyNumberFormat="1" applyFont="1" applyBorder="1" applyAlignment="1">
      <alignment horizontal="left" vertical="center"/>
    </xf>
    <xf numFmtId="10" fontId="11" fillId="0" borderId="0" xfId="2" applyNumberFormat="1" applyAlignment="1" applyProtection="1">
      <alignment horizontal="left" vertical="center"/>
    </xf>
    <xf numFmtId="4" fontId="11" fillId="0" borderId="0" xfId="2" applyNumberFormat="1" applyAlignment="1" applyProtection="1">
      <alignment horizontal="left" vertical="center"/>
    </xf>
    <xf numFmtId="3" fontId="8" fillId="0" borderId="3" xfId="0" applyNumberFormat="1" applyFont="1" applyBorder="1" applyAlignment="1">
      <alignment horizontal="left" vertical="center"/>
    </xf>
    <xf numFmtId="4" fontId="11" fillId="0" borderId="3" xfId="2" applyNumberFormat="1" applyBorder="1" applyAlignment="1" applyProtection="1">
      <alignment horizontal="center" vertical="center"/>
    </xf>
    <xf numFmtId="3" fontId="8" fillId="2" borderId="3" xfId="0" applyNumberFormat="1" applyFont="1" applyFill="1" applyBorder="1" applyAlignment="1">
      <alignment horizontal="center" vertical="center"/>
    </xf>
    <xf numFmtId="14" fontId="5" fillId="26" borderId="0" xfId="0" applyNumberFormat="1" applyFont="1" applyFill="1" applyBorder="1" applyAlignment="1">
      <alignment horizontal="center" vertical="center"/>
    </xf>
    <xf numFmtId="167" fontId="1" fillId="0" borderId="0" xfId="0" applyNumberFormat="1" applyFont="1" applyBorder="1" applyAlignment="1">
      <alignment horizontal="right" vertical="center"/>
    </xf>
    <xf numFmtId="167" fontId="3" fillId="0" borderId="1" xfId="0" applyNumberFormat="1" applyFont="1" applyBorder="1" applyAlignment="1">
      <alignment horizontal="left" vertical="center"/>
    </xf>
    <xf numFmtId="167" fontId="1" fillId="0" borderId="0" xfId="0" applyNumberFormat="1" applyFont="1" applyBorder="1" applyAlignment="1">
      <alignment horizontal="center" vertical="top"/>
    </xf>
    <xf numFmtId="175" fontId="5" fillId="0" borderId="0" xfId="3" applyNumberFormat="1" applyFont="1" applyBorder="1" applyAlignment="1">
      <alignment horizontal="right" vertical="center"/>
    </xf>
    <xf numFmtId="14" fontId="5" fillId="0" borderId="0" xfId="0" applyNumberFormat="1" applyFont="1" applyFill="1" applyBorder="1" applyAlignment="1">
      <alignment horizontal="left" vertical="center"/>
    </xf>
    <xf numFmtId="174" fontId="5" fillId="0" borderId="0" xfId="0" applyNumberFormat="1" applyFont="1" applyFill="1" applyBorder="1" applyAlignment="1">
      <alignment horizontal="left" vertical="center"/>
    </xf>
    <xf numFmtId="177" fontId="5" fillId="0" borderId="0" xfId="0" applyNumberFormat="1" applyFont="1" applyFill="1" applyBorder="1" applyAlignment="1">
      <alignment horizontal="left" vertical="center"/>
    </xf>
    <xf numFmtId="180" fontId="5" fillId="0" borderId="0" xfId="0" applyNumberFormat="1" applyFont="1" applyFill="1" applyBorder="1" applyAlignment="1">
      <alignment horizontal="left" vertical="center"/>
    </xf>
    <xf numFmtId="165" fontId="5" fillId="0" borderId="0" xfId="0" applyNumberFormat="1" applyFont="1" applyFill="1" applyAlignment="1">
      <alignment horizontal="left"/>
    </xf>
    <xf numFmtId="4" fontId="5" fillId="0" borderId="0" xfId="0" applyNumberFormat="1" applyFont="1" applyFill="1" applyBorder="1" applyAlignment="1">
      <alignment horizontal="left" vertical="center"/>
    </xf>
    <xf numFmtId="165" fontId="5" fillId="0" borderId="0" xfId="0" applyNumberFormat="1" applyFont="1" applyFill="1" applyBorder="1" applyAlignment="1">
      <alignment horizontal="left" vertical="center"/>
    </xf>
    <xf numFmtId="173" fontId="5" fillId="0" borderId="0" xfId="0" applyNumberFormat="1" applyFont="1" applyFill="1" applyBorder="1" applyAlignment="1">
      <alignment horizontal="left" vertical="center"/>
    </xf>
    <xf numFmtId="166" fontId="5" fillId="0" borderId="0" xfId="0" applyNumberFormat="1" applyFont="1" applyFill="1" applyBorder="1" applyAlignment="1">
      <alignment horizontal="left" vertical="center"/>
    </xf>
    <xf numFmtId="169" fontId="5" fillId="0" borderId="0" xfId="0" applyNumberFormat="1" applyFont="1" applyFill="1" applyBorder="1" applyAlignment="1">
      <alignment horizontal="left" vertical="center"/>
    </xf>
    <xf numFmtId="10" fontId="5" fillId="0" borderId="0" xfId="3"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189" fontId="5" fillId="0" borderId="0" xfId="0" applyNumberFormat="1" applyFont="1" applyFill="1" applyBorder="1" applyAlignment="1">
      <alignment horizontal="left" vertical="center"/>
    </xf>
    <xf numFmtId="175" fontId="5" fillId="0" borderId="0" xfId="3" applyNumberFormat="1" applyFont="1" applyFill="1" applyBorder="1" applyAlignment="1">
      <alignment horizontal="left" vertical="center"/>
    </xf>
    <xf numFmtId="211" fontId="5" fillId="0" borderId="0" xfId="3" applyNumberFormat="1" applyFont="1" applyFill="1" applyBorder="1" applyAlignment="1">
      <alignment horizontal="left" vertical="center"/>
    </xf>
    <xf numFmtId="10" fontId="1" fillId="2" borderId="4" xfId="0" applyNumberFormat="1" applyFont="1" applyFill="1" applyBorder="1" applyAlignment="1">
      <alignment horizontal="center" vertical="center"/>
    </xf>
    <xf numFmtId="167" fontId="3" fillId="0" borderId="2" xfId="0" applyNumberFormat="1" applyFont="1" applyBorder="1" applyAlignment="1">
      <alignment horizontal="center" vertical="center"/>
    </xf>
    <xf numFmtId="7" fontId="1" fillId="0" borderId="5" xfId="1" applyNumberFormat="1" applyFont="1" applyFill="1" applyBorder="1" applyAlignment="1">
      <alignment horizontal="center" vertical="center"/>
    </xf>
    <xf numFmtId="0" fontId="3" fillId="0" borderId="0" xfId="0" applyFont="1" applyAlignment="1" applyProtection="1">
      <alignment horizontal="center" vertical="center"/>
      <protection locked="0"/>
    </xf>
    <xf numFmtId="169" fontId="5" fillId="0" borderId="0" xfId="0" applyNumberFormat="1" applyFont="1" applyBorder="1" applyAlignment="1">
      <alignment horizontal="center" vertical="center"/>
    </xf>
    <xf numFmtId="167" fontId="4" fillId="0" borderId="23" xfId="0" applyNumberFormat="1" applyFont="1" applyFill="1" applyBorder="1" applyAlignment="1">
      <alignment horizontal="left" vertical="center"/>
    </xf>
    <xf numFmtId="10" fontId="11" fillId="0" borderId="0" xfId="2" applyNumberFormat="1" applyBorder="1" applyAlignment="1" applyProtection="1">
      <alignment horizontal="left" vertical="center"/>
    </xf>
    <xf numFmtId="167" fontId="11" fillId="0" borderId="4" xfId="2" applyNumberFormat="1" applyBorder="1" applyAlignment="1" applyProtection="1">
      <alignment horizontal="left" vertical="center"/>
    </xf>
    <xf numFmtId="167" fontId="11" fillId="0" borderId="8" xfId="2" applyNumberFormat="1" applyBorder="1" applyAlignment="1" applyProtection="1">
      <alignment horizontal="left" vertical="center"/>
    </xf>
    <xf numFmtId="37" fontId="5" fillId="0" borderId="0" xfId="1" applyNumberFormat="1" applyFont="1" applyBorder="1" applyAlignment="1">
      <alignment horizontal="center" vertical="center"/>
    </xf>
    <xf numFmtId="44" fontId="4" fillId="0" borderId="6" xfId="1" applyNumberFormat="1" applyFont="1" applyBorder="1" applyAlignment="1">
      <alignment horizontal="center" vertical="center"/>
    </xf>
    <xf numFmtId="0" fontId="11" fillId="0" borderId="4" xfId="2" applyBorder="1" applyAlignment="1" applyProtection="1">
      <alignment horizontal="left" vertical="center"/>
    </xf>
    <xf numFmtId="0" fontId="3" fillId="0" borderId="2" xfId="0" applyFont="1" applyBorder="1" applyAlignment="1">
      <alignment horizontal="left" vertical="center"/>
    </xf>
    <xf numFmtId="14" fontId="3" fillId="0" borderId="3" xfId="0" applyNumberFormat="1" applyFont="1" applyBorder="1" applyAlignment="1">
      <alignment horizontal="left" vertical="center"/>
    </xf>
    <xf numFmtId="203" fontId="0" fillId="0" borderId="0" xfId="0" applyNumberFormat="1" applyBorder="1" applyAlignment="1">
      <alignment horizontal="left" vertical="center"/>
    </xf>
    <xf numFmtId="168" fontId="3" fillId="0" borderId="0" xfId="0" applyNumberFormat="1" applyFont="1" applyBorder="1" applyAlignment="1">
      <alignment horizontal="left" vertical="center"/>
    </xf>
    <xf numFmtId="203" fontId="0" fillId="0" borderId="0" xfId="0" applyNumberFormat="1" applyAlignment="1">
      <alignment horizontal="center" vertical="center"/>
    </xf>
    <xf numFmtId="8" fontId="4" fillId="0" borderId="7" xfId="0" applyNumberFormat="1" applyFont="1" applyBorder="1" applyAlignment="1">
      <alignment horizontal="center" vertical="center"/>
    </xf>
    <xf numFmtId="167" fontId="8" fillId="0" borderId="32" xfId="0" applyNumberFormat="1" applyFont="1" applyBorder="1" applyAlignment="1">
      <alignment horizontal="center" vertical="center"/>
    </xf>
    <xf numFmtId="167" fontId="8" fillId="0" borderId="32" xfId="0" applyNumberFormat="1" applyFont="1" applyFill="1" applyBorder="1" applyAlignment="1">
      <alignment horizontal="center" vertical="center"/>
    </xf>
    <xf numFmtId="4" fontId="8" fillId="0" borderId="32" xfId="0" applyNumberFormat="1" applyFont="1" applyFill="1" applyBorder="1" applyAlignment="1">
      <alignment horizontal="center" vertical="center"/>
    </xf>
    <xf numFmtId="0" fontId="8" fillId="0" borderId="32" xfId="0" applyFont="1" applyBorder="1" applyAlignment="1">
      <alignment horizontal="center" vertical="center"/>
    </xf>
    <xf numFmtId="167" fontId="4" fillId="0" borderId="8" xfId="0" applyNumberFormat="1" applyFont="1" applyFill="1" applyBorder="1" applyAlignment="1">
      <alignment horizontal="center" vertical="center"/>
    </xf>
    <xf numFmtId="0" fontId="11" fillId="0" borderId="3" xfId="2" applyBorder="1" applyAlignment="1" applyProtection="1">
      <alignment horizontal="left" vertical="center"/>
    </xf>
    <xf numFmtId="178" fontId="3" fillId="0" borderId="0" xfId="0" applyNumberFormat="1" applyFont="1" applyBorder="1" applyAlignment="1">
      <alignment horizontal="left" vertical="center"/>
    </xf>
    <xf numFmtId="193" fontId="5" fillId="16" borderId="0" xfId="0" applyNumberFormat="1" applyFont="1" applyFill="1" applyBorder="1" applyAlignment="1">
      <alignment horizontal="left" vertical="center"/>
    </xf>
    <xf numFmtId="173" fontId="5" fillId="0" borderId="4" xfId="0" applyNumberFormat="1" applyFont="1" applyFill="1" applyBorder="1" applyAlignment="1">
      <alignment horizontal="center" vertical="center"/>
    </xf>
    <xf numFmtId="4" fontId="8" fillId="0" borderId="24" xfId="0" applyNumberFormat="1" applyFont="1" applyBorder="1" applyAlignment="1">
      <alignment horizontal="left" vertical="center"/>
    </xf>
    <xf numFmtId="0" fontId="5" fillId="4" borderId="0" xfId="0" applyFont="1" applyFill="1" applyBorder="1" applyAlignment="1">
      <alignment horizontal="left" vertical="center"/>
    </xf>
    <xf numFmtId="173" fontId="0" fillId="0" borderId="0" xfId="0" applyNumberFormat="1" applyBorder="1" applyAlignment="1">
      <alignment horizontal="left" vertical="center"/>
    </xf>
    <xf numFmtId="4" fontId="11" fillId="0" borderId="0" xfId="2" applyNumberFormat="1" applyBorder="1" applyAlignment="1" applyProtection="1">
      <alignment horizontal="left" vertical="center"/>
    </xf>
    <xf numFmtId="173" fontId="8" fillId="2" borderId="3" xfId="0" applyNumberFormat="1" applyFont="1" applyFill="1" applyBorder="1" applyAlignment="1">
      <alignment horizontal="center" vertical="center"/>
    </xf>
    <xf numFmtId="4" fontId="10"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1" fontId="10" fillId="0" borderId="0" xfId="0" applyNumberFormat="1" applyFont="1" applyBorder="1" applyAlignment="1">
      <alignment horizontal="center" vertical="center"/>
    </xf>
    <xf numFmtId="4" fontId="10" fillId="0" borderId="0" xfId="0" applyNumberFormat="1" applyFont="1" applyAlignment="1">
      <alignment horizontal="center" vertical="center"/>
    </xf>
    <xf numFmtId="3" fontId="8" fillId="0" borderId="4" xfId="0" applyNumberFormat="1" applyFont="1" applyFill="1" applyBorder="1" applyAlignment="1">
      <alignment horizontal="center" vertical="center"/>
    </xf>
    <xf numFmtId="10" fontId="4" fillId="0" borderId="0" xfId="3" applyNumberFormat="1" applyFont="1" applyBorder="1" applyAlignment="1">
      <alignment horizontal="center" vertical="center"/>
    </xf>
    <xf numFmtId="0" fontId="8" fillId="0" borderId="0" xfId="0" applyFont="1" applyFill="1" applyBorder="1" applyAlignment="1">
      <alignment horizontal="right" vertical="center"/>
    </xf>
    <xf numFmtId="43" fontId="8" fillId="0" borderId="3" xfId="5" applyFont="1" applyBorder="1" applyAlignment="1">
      <alignment horizontal="center" vertical="center"/>
    </xf>
    <xf numFmtId="167" fontId="1" fillId="2" borderId="0" xfId="0" applyNumberFormat="1" applyFont="1" applyFill="1" applyBorder="1" applyAlignment="1">
      <alignment horizontal="center" vertical="center"/>
    </xf>
    <xf numFmtId="167" fontId="5" fillId="0" borderId="0" xfId="0" applyNumberFormat="1" applyFont="1" applyFill="1" applyBorder="1" applyAlignment="1">
      <alignment horizontal="right" vertical="center"/>
    </xf>
    <xf numFmtId="172" fontId="8" fillId="0" borderId="0" xfId="0" applyNumberFormat="1" applyFont="1" applyFill="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9" fillId="0" borderId="6" xfId="0" applyFont="1" applyBorder="1" applyAlignment="1">
      <alignment horizontal="center" vertical="center"/>
    </xf>
    <xf numFmtId="0" fontId="8" fillId="0" borderId="0" xfId="0" applyFont="1" applyAlignment="1"/>
    <xf numFmtId="167" fontId="3" fillId="0" borderId="0" xfId="3" applyNumberFormat="1" applyFont="1" applyBorder="1" applyAlignment="1">
      <alignment horizontal="center" vertical="center"/>
    </xf>
    <xf numFmtId="0" fontId="1" fillId="0" borderId="6" xfId="0" applyFont="1" applyBorder="1" applyAlignment="1">
      <alignment horizontal="center" vertical="center"/>
    </xf>
    <xf numFmtId="0" fontId="1" fillId="0" borderId="2" xfId="0" applyFont="1" applyBorder="1" applyAlignment="1">
      <alignment horizontal="center" vertical="center"/>
    </xf>
    <xf numFmtId="0" fontId="3" fillId="0" borderId="0" xfId="0" applyFont="1" applyFill="1" applyAlignment="1">
      <alignment horizontal="left" vertical="center"/>
    </xf>
    <xf numFmtId="184" fontId="1" fillId="0" borderId="0" xfId="0" applyNumberFormat="1" applyFont="1" applyAlignment="1">
      <alignment horizontal="center" vertical="center"/>
    </xf>
    <xf numFmtId="191" fontId="1" fillId="0" borderId="0" xfId="0" applyNumberFormat="1" applyFont="1" applyAlignment="1">
      <alignment horizontal="center" vertical="center"/>
    </xf>
    <xf numFmtId="214" fontId="1" fillId="0" borderId="0" xfId="0" applyNumberFormat="1" applyFont="1" applyAlignment="1">
      <alignment horizontal="center" vertical="center"/>
    </xf>
    <xf numFmtId="167" fontId="1" fillId="0" borderId="6" xfId="0" applyNumberFormat="1" applyFont="1" applyBorder="1" applyAlignment="1">
      <alignment horizontal="left" vertical="center"/>
    </xf>
    <xf numFmtId="168" fontId="0" fillId="0" borderId="7" xfId="3" applyNumberFormat="1" applyFont="1" applyBorder="1" applyAlignment="1">
      <alignment horizontal="center" vertical="center"/>
    </xf>
    <xf numFmtId="177" fontId="0" fillId="0" borderId="8" xfId="3" applyNumberFormat="1" applyFont="1" applyBorder="1" applyAlignment="1">
      <alignment horizontal="center" vertical="center"/>
    </xf>
    <xf numFmtId="0" fontId="3" fillId="0" borderId="6" xfId="0" applyFont="1" applyBorder="1" applyAlignment="1">
      <alignment horizontal="left" vertical="center"/>
    </xf>
    <xf numFmtId="10" fontId="3" fillId="0" borderId="2" xfId="3" applyNumberFormat="1" applyFont="1" applyBorder="1" applyAlignment="1">
      <alignment horizontal="center" vertical="center"/>
    </xf>
    <xf numFmtId="10" fontId="3" fillId="0" borderId="8" xfId="3" applyNumberFormat="1" applyFont="1" applyBorder="1" applyAlignment="1">
      <alignment horizontal="center" vertical="center"/>
    </xf>
    <xf numFmtId="3" fontId="3" fillId="0" borderId="1" xfId="0" applyNumberFormat="1" applyFont="1" applyBorder="1" applyAlignment="1">
      <alignment horizontal="right" vertical="center"/>
    </xf>
    <xf numFmtId="173" fontId="1" fillId="0" borderId="6" xfId="0" applyNumberFormat="1" applyFont="1" applyBorder="1" applyAlignment="1">
      <alignment horizontal="center" vertical="center"/>
    </xf>
    <xf numFmtId="178" fontId="1" fillId="0" borderId="1" xfId="0" applyNumberFormat="1" applyFont="1" applyBorder="1" applyAlignment="1">
      <alignment horizontal="center" vertical="center"/>
    </xf>
    <xf numFmtId="10" fontId="0" fillId="0" borderId="6" xfId="3" applyNumberFormat="1" applyFont="1" applyBorder="1" applyAlignment="1">
      <alignment horizontal="center" vertical="center"/>
    </xf>
    <xf numFmtId="14" fontId="1" fillId="0" borderId="0" xfId="0" applyNumberFormat="1" applyFont="1" applyFill="1" applyAlignment="1">
      <alignment horizontal="center" vertical="center"/>
    </xf>
    <xf numFmtId="178" fontId="0" fillId="0" borderId="0" xfId="0" applyNumberFormat="1" applyFill="1" applyAlignment="1">
      <alignment horizontal="center" vertical="center"/>
    </xf>
    <xf numFmtId="0" fontId="1" fillId="0" borderId="0" xfId="0" applyFont="1" applyAlignment="1">
      <alignment horizontal="right" vertical="center"/>
    </xf>
    <xf numFmtId="0" fontId="5" fillId="26" borderId="3" xfId="0" applyFont="1" applyFill="1" applyBorder="1" applyAlignment="1">
      <alignment horizontal="center" vertical="center"/>
    </xf>
    <xf numFmtId="4" fontId="0" fillId="0" borderId="0" xfId="0" applyNumberFormat="1" applyAlignment="1">
      <alignment horizontal="center"/>
    </xf>
    <xf numFmtId="4" fontId="1" fillId="0" borderId="0" xfId="3" applyNumberFormat="1" applyFont="1" applyAlignment="1">
      <alignment horizontal="center" vertical="center"/>
    </xf>
    <xf numFmtId="4" fontId="1" fillId="0" borderId="0" xfId="0" applyNumberFormat="1" applyFont="1" applyAlignment="1">
      <alignment horizontal="center" vertical="center"/>
    </xf>
    <xf numFmtId="3" fontId="5" fillId="12" borderId="0" xfId="0" applyNumberFormat="1" applyFont="1" applyFill="1" applyBorder="1" applyAlignment="1">
      <alignment horizontal="center" vertical="center"/>
    </xf>
    <xf numFmtId="167" fontId="5" fillId="0" borderId="6" xfId="0" applyNumberFormat="1" applyFont="1" applyFill="1" applyBorder="1" applyAlignment="1">
      <alignment horizontal="left" vertical="center"/>
    </xf>
    <xf numFmtId="167" fontId="5" fillId="2" borderId="10" xfId="0" applyNumberFormat="1" applyFont="1" applyFill="1" applyBorder="1" applyAlignment="1">
      <alignment horizontal="center" vertical="center"/>
    </xf>
    <xf numFmtId="0" fontId="5" fillId="0" borderId="10" xfId="0" applyFont="1" applyFill="1" applyBorder="1" applyAlignment="1">
      <alignment horizontal="center" vertical="center"/>
    </xf>
    <xf numFmtId="0" fontId="5" fillId="2" borderId="10" xfId="0" applyFont="1" applyFill="1" applyBorder="1" applyAlignment="1">
      <alignment horizontal="center" vertical="center"/>
    </xf>
    <xf numFmtId="167" fontId="5" fillId="0" borderId="10" xfId="0" applyNumberFormat="1" applyFont="1" applyFill="1" applyBorder="1" applyAlignment="1">
      <alignment horizontal="center" vertical="center"/>
    </xf>
    <xf numFmtId="10" fontId="5" fillId="0" borderId="10" xfId="3" applyNumberFormat="1" applyFont="1" applyFill="1" applyBorder="1" applyAlignment="1">
      <alignment horizontal="center" vertical="center"/>
    </xf>
    <xf numFmtId="0" fontId="5" fillId="0" borderId="40" xfId="0" applyFont="1" applyBorder="1" applyAlignment="1">
      <alignment horizontal="center" vertical="center"/>
    </xf>
    <xf numFmtId="0" fontId="9" fillId="0" borderId="6" xfId="0" applyFont="1" applyBorder="1" applyAlignment="1">
      <alignment horizontal="center" vertical="center"/>
    </xf>
    <xf numFmtId="167" fontId="5" fillId="0" borderId="0" xfId="3" applyNumberFormat="1" applyFont="1" applyBorder="1" applyAlignment="1">
      <alignment horizontal="center" vertical="center"/>
    </xf>
    <xf numFmtId="167" fontId="0" fillId="0" borderId="0" xfId="0" applyNumberFormat="1" applyFill="1" applyAlignment="1">
      <alignment horizontal="left" vertical="center"/>
    </xf>
    <xf numFmtId="215" fontId="5" fillId="0" borderId="0" xfId="1" applyNumberFormat="1" applyFont="1" applyFill="1" applyBorder="1" applyAlignment="1">
      <alignment horizontal="center" vertical="center"/>
    </xf>
    <xf numFmtId="173" fontId="0" fillId="0" borderId="17" xfId="0" applyNumberFormat="1" applyFill="1" applyBorder="1" applyAlignment="1">
      <alignment horizontal="center" vertical="center"/>
    </xf>
    <xf numFmtId="167" fontId="8" fillId="0" borderId="3" xfId="0" applyNumberFormat="1" applyFont="1" applyFill="1" applyBorder="1" applyAlignment="1">
      <alignment horizontal="right" vertical="center"/>
    </xf>
    <xf numFmtId="4" fontId="8" fillId="0" borderId="4" xfId="0" applyNumberFormat="1" applyFont="1" applyBorder="1" applyAlignment="1">
      <alignment horizontal="left" vertical="center"/>
    </xf>
    <xf numFmtId="0" fontId="11" fillId="0" borderId="6" xfId="2" applyBorder="1" applyAlignment="1" applyProtection="1">
      <alignment horizontal="left" vertical="center"/>
    </xf>
    <xf numFmtId="0" fontId="11" fillId="0" borderId="0" xfId="2" applyBorder="1" applyAlignment="1" applyProtection="1">
      <alignment horizontal="left" vertical="center"/>
    </xf>
    <xf numFmtId="167" fontId="8" fillId="0" borderId="28" xfId="0" applyNumberFormat="1" applyFont="1" applyFill="1" applyBorder="1" applyAlignment="1">
      <alignment horizontal="center" vertical="center"/>
    </xf>
    <xf numFmtId="167" fontId="8" fillId="0" borderId="21" xfId="0" applyNumberFormat="1" applyFont="1" applyFill="1" applyBorder="1" applyAlignment="1">
      <alignment horizontal="center" vertical="center"/>
    </xf>
    <xf numFmtId="0" fontId="8" fillId="0" borderId="10" xfId="0" applyFont="1" applyBorder="1" applyAlignment="1">
      <alignment horizontal="left" vertical="center"/>
    </xf>
    <xf numFmtId="3" fontId="8" fillId="0" borderId="21" xfId="0" applyNumberFormat="1" applyFont="1" applyFill="1" applyBorder="1" applyAlignment="1">
      <alignment horizontal="center" vertical="center"/>
    </xf>
    <xf numFmtId="0" fontId="8" fillId="26" borderId="10" xfId="0" applyFont="1" applyFill="1" applyBorder="1" applyAlignment="1">
      <alignment horizontal="center" vertical="center"/>
    </xf>
    <xf numFmtId="0" fontId="8" fillId="0" borderId="21" xfId="0" applyFont="1" applyBorder="1" applyAlignment="1">
      <alignment horizontal="center" vertical="center"/>
    </xf>
    <xf numFmtId="10" fontId="8" fillId="0" borderId="10" xfId="3" applyNumberFormat="1" applyFont="1" applyBorder="1" applyAlignment="1">
      <alignment horizontal="center" vertical="center"/>
    </xf>
    <xf numFmtId="167" fontId="8" fillId="0" borderId="10" xfId="0" applyNumberFormat="1" applyFont="1" applyBorder="1" applyAlignment="1">
      <alignment horizontal="left" vertical="center"/>
    </xf>
    <xf numFmtId="167" fontId="8" fillId="0" borderId="30" xfId="0" applyNumberFormat="1" applyFont="1" applyBorder="1" applyAlignment="1">
      <alignment horizontal="center" vertical="center"/>
    </xf>
    <xf numFmtId="1" fontId="8" fillId="0" borderId="21" xfId="0" applyNumberFormat="1" applyFont="1" applyBorder="1" applyAlignment="1">
      <alignment horizontal="right" vertical="center"/>
    </xf>
    <xf numFmtId="189" fontId="8" fillId="2" borderId="21" xfId="0" applyNumberFormat="1" applyFont="1" applyFill="1" applyBorder="1" applyAlignment="1">
      <alignment horizontal="center" vertical="center"/>
    </xf>
    <xf numFmtId="0" fontId="8" fillId="0" borderId="28" xfId="0" applyFont="1" applyBorder="1" applyAlignment="1">
      <alignment horizontal="center" vertical="center"/>
    </xf>
    <xf numFmtId="3" fontId="8" fillId="2" borderId="21" xfId="0" applyNumberFormat="1" applyFont="1" applyFill="1" applyBorder="1" applyAlignment="1">
      <alignment horizontal="center" vertical="center"/>
    </xf>
    <xf numFmtId="173" fontId="8" fillId="0" borderId="21" xfId="0" applyNumberFormat="1" applyFont="1" applyBorder="1" applyAlignment="1">
      <alignment horizontal="center" vertical="center"/>
    </xf>
    <xf numFmtId="4" fontId="8" fillId="0" borderId="10" xfId="0" applyNumberFormat="1" applyFont="1" applyBorder="1" applyAlignment="1">
      <alignment horizontal="left" vertical="center"/>
    </xf>
    <xf numFmtId="167" fontId="8" fillId="0" borderId="44" xfId="0" applyNumberFormat="1" applyFont="1" applyFill="1" applyBorder="1" applyAlignment="1">
      <alignment horizontal="center" vertical="center"/>
    </xf>
    <xf numFmtId="167" fontId="8" fillId="0" borderId="37" xfId="0" applyNumberFormat="1" applyFont="1" applyBorder="1" applyAlignment="1">
      <alignment horizontal="center" vertical="center"/>
    </xf>
    <xf numFmtId="173" fontId="8" fillId="0" borderId="46" xfId="0" applyNumberFormat="1" applyFont="1" applyBorder="1" applyAlignment="1">
      <alignment horizontal="center" vertical="center"/>
    </xf>
    <xf numFmtId="4" fontId="8" fillId="0" borderId="11" xfId="0" applyNumberFormat="1" applyFont="1" applyBorder="1" applyAlignment="1">
      <alignment horizontal="left" vertical="center"/>
    </xf>
    <xf numFmtId="0" fontId="1" fillId="0" borderId="6" xfId="0" applyFont="1" applyBorder="1" applyAlignment="1">
      <alignment horizontal="center" vertical="center"/>
    </xf>
    <xf numFmtId="0" fontId="9" fillId="0" borderId="1" xfId="0" applyFont="1" applyBorder="1" applyAlignment="1">
      <alignment horizontal="center" vertical="center"/>
    </xf>
    <xf numFmtId="4" fontId="9" fillId="0" borderId="1" xfId="0" applyNumberFormat="1" applyFont="1" applyBorder="1" applyAlignment="1">
      <alignment horizontal="left" vertical="center"/>
    </xf>
    <xf numFmtId="10" fontId="11" fillId="0" borderId="6" xfId="2" applyNumberFormat="1" applyBorder="1" applyAlignment="1" applyProtection="1">
      <alignment horizontal="left" vertical="center"/>
    </xf>
    <xf numFmtId="0" fontId="8" fillId="0" borderId="45" xfId="0" applyFont="1" applyFill="1" applyBorder="1" applyAlignment="1">
      <alignment horizontal="center" vertical="center"/>
    </xf>
    <xf numFmtId="4" fontId="11" fillId="0" borderId="3" xfId="2" applyNumberFormat="1" applyBorder="1" applyAlignment="1" applyProtection="1">
      <alignment horizontal="left" vertical="center"/>
    </xf>
    <xf numFmtId="14" fontId="8" fillId="26" borderId="2" xfId="0" applyNumberFormat="1" applyFont="1" applyFill="1" applyBorder="1" applyAlignment="1">
      <alignment horizontal="left" vertical="center"/>
    </xf>
    <xf numFmtId="0" fontId="9" fillId="0" borderId="4" xfId="0" applyFont="1" applyBorder="1" applyAlignment="1">
      <alignment horizontal="left" vertical="center"/>
    </xf>
    <xf numFmtId="4" fontId="8" fillId="26" borderId="2" xfId="0" applyNumberFormat="1" applyFont="1" applyFill="1" applyBorder="1" applyAlignment="1">
      <alignment horizontal="center" vertical="center"/>
    </xf>
    <xf numFmtId="173" fontId="8" fillId="2" borderId="4" xfId="0" applyNumberFormat="1" applyFont="1" applyFill="1" applyBorder="1" applyAlignment="1">
      <alignment horizontal="center" vertical="center"/>
    </xf>
    <xf numFmtId="167" fontId="0" fillId="2" borderId="7" xfId="0" applyNumberFormat="1" applyFill="1" applyBorder="1" applyAlignment="1">
      <alignment horizontal="center" vertical="center"/>
    </xf>
    <xf numFmtId="167" fontId="0" fillId="0" borderId="7" xfId="0" applyNumberFormat="1" applyFill="1" applyBorder="1" applyAlignment="1">
      <alignment horizontal="center" vertical="center"/>
    </xf>
    <xf numFmtId="10" fontId="0" fillId="0" borderId="8" xfId="0" applyNumberFormat="1" applyBorder="1" applyAlignment="1">
      <alignment horizontal="left" vertical="center"/>
    </xf>
    <xf numFmtId="10" fontId="3" fillId="0" borderId="1" xfId="3" applyNumberFormat="1" applyFont="1" applyBorder="1" applyAlignment="1">
      <alignment horizontal="left" vertical="center"/>
    </xf>
    <xf numFmtId="10" fontId="0" fillId="0" borderId="4" xfId="0" applyNumberFormat="1" applyBorder="1" applyAlignment="1">
      <alignment horizontal="left" vertical="center"/>
    </xf>
    <xf numFmtId="0" fontId="9" fillId="0" borderId="6" xfId="0" applyFont="1" applyBorder="1" applyAlignment="1">
      <alignment horizontal="center" vertical="center"/>
    </xf>
    <xf numFmtId="2" fontId="8" fillId="0" borderId="3" xfId="0" applyNumberFormat="1" applyFont="1" applyBorder="1" applyAlignment="1">
      <alignment horizontal="center" vertical="center"/>
    </xf>
    <xf numFmtId="10" fontId="8" fillId="2" borderId="3" xfId="3" applyNumberFormat="1" applyFont="1" applyFill="1" applyBorder="1" applyAlignment="1">
      <alignment horizontal="center" vertical="center"/>
    </xf>
    <xf numFmtId="10" fontId="8" fillId="2" borderId="4" xfId="3" applyNumberFormat="1" applyFont="1" applyFill="1" applyBorder="1" applyAlignment="1">
      <alignment horizontal="center" vertical="center"/>
    </xf>
    <xf numFmtId="167" fontId="5" fillId="2" borderId="7" xfId="0" applyNumberFormat="1" applyFont="1" applyFill="1" applyBorder="1" applyAlignment="1">
      <alignment horizontal="center" vertical="center"/>
    </xf>
    <xf numFmtId="167" fontId="5" fillId="0" borderId="7" xfId="3" applyNumberFormat="1" applyFont="1" applyBorder="1" applyAlignment="1">
      <alignment horizontal="center" vertical="center"/>
    </xf>
    <xf numFmtId="175" fontId="11" fillId="0" borderId="3" xfId="2" applyNumberFormat="1" applyFill="1" applyBorder="1" applyAlignment="1" applyProtection="1">
      <alignment horizontal="left" vertical="center"/>
    </xf>
    <xf numFmtId="175" fontId="8" fillId="0" borderId="3" xfId="3" applyNumberFormat="1" applyFont="1" applyFill="1" applyBorder="1" applyAlignment="1">
      <alignment horizontal="center" vertical="center"/>
    </xf>
    <xf numFmtId="175" fontId="8" fillId="26" borderId="1" xfId="3" applyNumberFormat="1" applyFont="1" applyFill="1" applyBorder="1" applyAlignment="1">
      <alignment horizontal="center" vertical="center"/>
    </xf>
    <xf numFmtId="10" fontId="8" fillId="2" borderId="3" xfId="0" applyNumberFormat="1" applyFont="1" applyFill="1" applyBorder="1" applyAlignment="1">
      <alignment horizontal="center" vertical="center"/>
    </xf>
    <xf numFmtId="3" fontId="3" fillId="0" borderId="0" xfId="0" applyNumberFormat="1" applyFont="1" applyFill="1" applyAlignment="1">
      <alignment horizontal="center" vertical="center"/>
    </xf>
    <xf numFmtId="3" fontId="1" fillId="0" borderId="0" xfId="0" applyNumberFormat="1" applyFont="1" applyFill="1" applyAlignment="1">
      <alignment horizontal="center" vertical="center"/>
    </xf>
    <xf numFmtId="10" fontId="3" fillId="0" borderId="0" xfId="3" applyNumberFormat="1" applyFont="1" applyBorder="1" applyAlignment="1">
      <alignment horizontal="center" vertical="center"/>
    </xf>
    <xf numFmtId="10" fontId="3" fillId="0" borderId="0" xfId="0" applyNumberFormat="1" applyFont="1" applyBorder="1" applyAlignment="1">
      <alignment horizontal="left" vertical="center"/>
    </xf>
    <xf numFmtId="4" fontId="11" fillId="0" borderId="3" xfId="2" applyNumberFormat="1" applyBorder="1" applyAlignment="1" applyProtection="1">
      <alignment horizontal="right" vertical="center"/>
    </xf>
    <xf numFmtId="167" fontId="8" fillId="0" borderId="4" xfId="0" applyNumberFormat="1" applyFont="1" applyFill="1" applyBorder="1" applyAlignment="1">
      <alignment horizontal="left" vertical="center"/>
    </xf>
    <xf numFmtId="0" fontId="11" fillId="0" borderId="8" xfId="2" applyBorder="1" applyAlignment="1" applyProtection="1">
      <alignment horizontal="right" vertical="center"/>
    </xf>
    <xf numFmtId="173" fontId="8" fillId="0" borderId="0" xfId="0" applyNumberFormat="1" applyFont="1" applyBorder="1" applyAlignment="1">
      <alignment horizontal="left" vertical="center"/>
    </xf>
    <xf numFmtId="173" fontId="8" fillId="0" borderId="7" xfId="0" applyNumberFormat="1" applyFont="1" applyBorder="1" applyAlignment="1">
      <alignment horizontal="left" vertical="center"/>
    </xf>
    <xf numFmtId="8" fontId="5" fillId="0" borderId="0" xfId="0" applyNumberFormat="1" applyFont="1" applyBorder="1" applyAlignment="1">
      <alignment horizontal="left" vertical="center"/>
    </xf>
    <xf numFmtId="167" fontId="5" fillId="16" borderId="43" xfId="0" applyNumberFormat="1" applyFont="1" applyFill="1" applyBorder="1" applyAlignment="1">
      <alignment horizontal="center" vertical="center"/>
    </xf>
    <xf numFmtId="0" fontId="4" fillId="0" borderId="9" xfId="0" applyFont="1" applyBorder="1" applyAlignment="1">
      <alignment horizontal="center" vertical="center"/>
    </xf>
    <xf numFmtId="10" fontId="5" fillId="2" borderId="10" xfId="0" applyNumberFormat="1" applyFont="1" applyFill="1" applyBorder="1" applyAlignment="1">
      <alignment horizontal="center" vertical="center"/>
    </xf>
    <xf numFmtId="0" fontId="5" fillId="0" borderId="11" xfId="0" applyFont="1" applyBorder="1" applyAlignment="1">
      <alignment horizontal="center" vertical="center"/>
    </xf>
    <xf numFmtId="173" fontId="5" fillId="2" borderId="10" xfId="0" applyNumberFormat="1" applyFont="1" applyFill="1" applyBorder="1" applyAlignment="1">
      <alignment horizontal="center" vertical="center"/>
    </xf>
    <xf numFmtId="173" fontId="5" fillId="0" borderId="10" xfId="0" applyNumberFormat="1" applyFont="1" applyFill="1" applyBorder="1" applyAlignment="1">
      <alignment horizontal="center" vertical="center"/>
    </xf>
    <xf numFmtId="173" fontId="5" fillId="2" borderId="10" xfId="3" applyNumberFormat="1" applyFont="1" applyFill="1" applyBorder="1" applyAlignment="1">
      <alignment horizontal="center" vertical="center"/>
    </xf>
    <xf numFmtId="3" fontId="5" fillId="2" borderId="10" xfId="0" applyNumberFormat="1" applyFont="1" applyFill="1" applyBorder="1" applyAlignment="1">
      <alignment horizontal="center" vertical="center"/>
    </xf>
    <xf numFmtId="0" fontId="4" fillId="0" borderId="10" xfId="0" applyFont="1" applyFill="1" applyBorder="1" applyAlignment="1">
      <alignment horizontal="center" vertical="center"/>
    </xf>
    <xf numFmtId="167" fontId="5" fillId="0" borderId="10" xfId="3" applyNumberFormat="1" applyFont="1" applyFill="1" applyBorder="1" applyAlignment="1">
      <alignment horizontal="center" vertical="center"/>
    </xf>
    <xf numFmtId="0" fontId="5" fillId="0" borderId="11" xfId="0" applyFont="1" applyFill="1" applyBorder="1" applyAlignment="1">
      <alignment horizontal="center" vertical="center"/>
    </xf>
    <xf numFmtId="4" fontId="5" fillId="2" borderId="10" xfId="0" applyNumberFormat="1" applyFont="1" applyFill="1" applyBorder="1" applyAlignment="1">
      <alignment horizontal="center" vertical="center"/>
    </xf>
    <xf numFmtId="10" fontId="5" fillId="2" borderId="10" xfId="3" applyNumberFormat="1" applyFont="1" applyFill="1" applyBorder="1" applyAlignment="1">
      <alignment horizontal="center" vertical="center"/>
    </xf>
    <xf numFmtId="175" fontId="5" fillId="0" borderId="10" xfId="0" applyNumberFormat="1" applyFont="1" applyFill="1" applyBorder="1" applyAlignment="1">
      <alignment horizontal="center" vertical="center"/>
    </xf>
    <xf numFmtId="10" fontId="5" fillId="0" borderId="11" xfId="3" applyNumberFormat="1" applyFont="1" applyFill="1" applyBorder="1" applyAlignment="1">
      <alignment horizontal="center" vertical="center"/>
    </xf>
    <xf numFmtId="0" fontId="5" fillId="0" borderId="10" xfId="0" applyFont="1" applyBorder="1" applyAlignment="1">
      <alignment horizontal="left" vertical="center"/>
    </xf>
    <xf numFmtId="0" fontId="5" fillId="0" borderId="41" xfId="0" applyFont="1" applyFill="1" applyBorder="1" applyAlignment="1">
      <alignment horizontal="center" vertical="center"/>
    </xf>
    <xf numFmtId="168" fontId="1" fillId="0" borderId="0" xfId="0" applyNumberFormat="1" applyFont="1" applyAlignment="1">
      <alignment horizontal="left" vertical="center"/>
    </xf>
    <xf numFmtId="168" fontId="3" fillId="0" borderId="0" xfId="0" applyNumberFormat="1" applyFont="1" applyAlignment="1">
      <alignment horizontal="left" vertical="center"/>
    </xf>
    <xf numFmtId="2" fontId="8" fillId="0" borderId="0" xfId="0" applyNumberFormat="1" applyFont="1" applyAlignment="1">
      <alignment horizontal="right" vertical="center"/>
    </xf>
    <xf numFmtId="3" fontId="5" fillId="0" borderId="8" xfId="0" applyNumberFormat="1" applyFont="1" applyBorder="1" applyAlignment="1">
      <alignment horizontal="center" vertical="center"/>
    </xf>
    <xf numFmtId="8" fontId="0" fillId="0" borderId="0" xfId="0" applyNumberFormat="1" applyFill="1" applyBorder="1" applyAlignment="1">
      <alignment horizontal="left" vertical="center"/>
    </xf>
    <xf numFmtId="168" fontId="5" fillId="0" borderId="5"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1" fillId="0" borderId="6" xfId="0" applyFont="1" applyBorder="1" applyAlignment="1">
      <alignment horizontal="center" vertical="center"/>
    </xf>
    <xf numFmtId="14" fontId="1" fillId="2" borderId="0" xfId="0" applyNumberFormat="1" applyFont="1" applyFill="1" applyAlignment="1">
      <alignment horizontal="center" vertical="center"/>
    </xf>
    <xf numFmtId="7" fontId="3" fillId="0" borderId="0" xfId="0" applyNumberFormat="1" applyFont="1" applyAlignment="1">
      <alignment horizontal="center" vertical="center"/>
    </xf>
    <xf numFmtId="10" fontId="1" fillId="0" borderId="2" xfId="3" applyNumberFormat="1" applyFont="1" applyBorder="1" applyAlignment="1">
      <alignment horizontal="center" vertical="center"/>
    </xf>
    <xf numFmtId="10" fontId="1" fillId="0" borderId="4" xfId="3" applyNumberFormat="1" applyFont="1" applyBorder="1" applyAlignment="1">
      <alignment horizontal="center" vertical="center"/>
    </xf>
    <xf numFmtId="9" fontId="1" fillId="0" borderId="8" xfId="3" applyFont="1" applyBorder="1" applyAlignment="1">
      <alignment horizontal="center" vertical="center"/>
    </xf>
    <xf numFmtId="44" fontId="1" fillId="0" borderId="23" xfId="1" applyFont="1" applyBorder="1" applyAlignment="1">
      <alignment horizontal="left" vertical="center"/>
    </xf>
    <xf numFmtId="44" fontId="0" fillId="7" borderId="24" xfId="1" applyFont="1" applyFill="1" applyBorder="1" applyAlignment="1">
      <alignment horizontal="left" vertical="center"/>
    </xf>
    <xf numFmtId="44" fontId="0" fillId="0" borderId="24" xfId="1" applyFont="1" applyBorder="1" applyAlignment="1">
      <alignment horizontal="left" vertical="center"/>
    </xf>
    <xf numFmtId="44" fontId="1" fillId="0" borderId="24" xfId="1" applyFont="1" applyBorder="1" applyAlignment="1">
      <alignment horizontal="left" vertical="center"/>
    </xf>
    <xf numFmtId="44" fontId="1" fillId="0" borderId="25" xfId="1" applyFont="1" applyBorder="1" applyAlignment="1">
      <alignment horizontal="left" vertical="center"/>
    </xf>
    <xf numFmtId="178" fontId="1" fillId="0" borderId="6" xfId="0" applyNumberFormat="1" applyFont="1" applyBorder="1" applyAlignment="1">
      <alignment horizontal="left" vertical="center"/>
    </xf>
    <xf numFmtId="9" fontId="0" fillId="0" borderId="4" xfId="3" applyFont="1" applyBorder="1" applyAlignment="1">
      <alignment horizontal="center" vertical="center"/>
    </xf>
    <xf numFmtId="2" fontId="0" fillId="0" borderId="8" xfId="0" applyNumberFormat="1" applyBorder="1" applyAlignment="1">
      <alignment horizontal="center" vertical="center"/>
    </xf>
    <xf numFmtId="2" fontId="1" fillId="0" borderId="2" xfId="0" applyNumberFormat="1" applyFont="1" applyBorder="1" applyAlignment="1">
      <alignment horizontal="left" vertical="center"/>
    </xf>
    <xf numFmtId="8" fontId="5" fillId="2" borderId="0" xfId="0" applyNumberFormat="1" applyFont="1" applyFill="1" applyBorder="1" applyAlignment="1">
      <alignment horizontal="center" vertical="center"/>
    </xf>
    <xf numFmtId="8" fontId="5" fillId="2" borderId="7" xfId="0" applyNumberFormat="1" applyFont="1" applyFill="1" applyBorder="1" applyAlignment="1">
      <alignment horizontal="center" vertical="center"/>
    </xf>
    <xf numFmtId="3" fontId="4" fillId="0" borderId="0" xfId="3" applyNumberFormat="1" applyFont="1" applyBorder="1" applyAlignment="1">
      <alignment horizontal="center" vertical="center"/>
    </xf>
    <xf numFmtId="167" fontId="4" fillId="0" borderId="0" xfId="3" applyNumberFormat="1" applyFont="1" applyBorder="1" applyAlignment="1">
      <alignment horizontal="center" vertical="center"/>
    </xf>
    <xf numFmtId="167" fontId="4" fillId="0" borderId="4" xfId="3" applyNumberFormat="1" applyFont="1" applyBorder="1" applyAlignment="1">
      <alignment horizontal="center" vertical="center"/>
    </xf>
    <xf numFmtId="0" fontId="5" fillId="0" borderId="7" xfId="0" applyFont="1" applyBorder="1" applyAlignment="1">
      <alignment horizontal="right" vertical="center"/>
    </xf>
    <xf numFmtId="3" fontId="5" fillId="0" borderId="5" xfId="0" applyNumberFormat="1" applyFont="1" applyBorder="1" applyAlignment="1">
      <alignment horizontal="center" vertical="center"/>
    </xf>
    <xf numFmtId="0" fontId="4" fillId="0" borderId="0" xfId="0" applyFont="1" applyBorder="1" applyAlignment="1">
      <alignment horizontal="right" vertical="center"/>
    </xf>
    <xf numFmtId="167" fontId="5" fillId="0" borderId="23" xfId="0" applyNumberFormat="1" applyFont="1" applyBorder="1" applyAlignment="1">
      <alignment horizontal="center" vertical="center"/>
    </xf>
    <xf numFmtId="3" fontId="5" fillId="2" borderId="24" xfId="0" applyNumberFormat="1" applyFont="1" applyFill="1" applyBorder="1" applyAlignment="1">
      <alignment horizontal="center" vertical="center"/>
    </xf>
    <xf numFmtId="167" fontId="5" fillId="0" borderId="25" xfId="0" applyNumberFormat="1" applyFont="1" applyBorder="1" applyAlignment="1">
      <alignment horizontal="center" vertical="center"/>
    </xf>
    <xf numFmtId="0" fontId="1" fillId="4" borderId="0" xfId="0" applyFont="1" applyFill="1" applyAlignment="1">
      <alignment horizontal="left" vertical="center"/>
    </xf>
    <xf numFmtId="0" fontId="0" fillId="4" borderId="0" xfId="0" applyFill="1" applyAlignment="1">
      <alignment horizontal="left" vertical="center"/>
    </xf>
    <xf numFmtId="2" fontId="0" fillId="0" borderId="5" xfId="0" applyNumberFormat="1" applyBorder="1" applyAlignment="1">
      <alignment horizontal="center" vertical="center"/>
    </xf>
    <xf numFmtId="37" fontId="5" fillId="2" borderId="7" xfId="5" applyNumberFormat="1" applyFont="1" applyFill="1" applyBorder="1" applyAlignment="1">
      <alignment horizontal="center" vertical="center"/>
    </xf>
    <xf numFmtId="167" fontId="4" fillId="0" borderId="23" xfId="0" applyNumberFormat="1" applyFont="1" applyBorder="1" applyAlignment="1">
      <alignment horizontal="left" vertical="center"/>
    </xf>
    <xf numFmtId="167" fontId="5" fillId="0" borderId="24" xfId="0" applyNumberFormat="1" applyFont="1" applyBorder="1" applyAlignment="1">
      <alignment horizontal="center" vertical="center"/>
    </xf>
    <xf numFmtId="1" fontId="0" fillId="0" borderId="0" xfId="3" applyNumberFormat="1" applyFont="1" applyAlignment="1">
      <alignment horizontal="left" vertical="center"/>
    </xf>
    <xf numFmtId="4" fontId="11" fillId="0" borderId="2" xfId="2" applyNumberFormat="1" applyBorder="1" applyAlignment="1" applyProtection="1">
      <alignment horizontal="center" vertical="center"/>
    </xf>
    <xf numFmtId="0" fontId="11" fillId="0" borderId="1" xfId="2" applyBorder="1" applyAlignment="1" applyProtection="1">
      <alignment horizontal="left" vertical="center"/>
    </xf>
    <xf numFmtId="0" fontId="5" fillId="2" borderId="0" xfId="0" applyFont="1" applyFill="1" applyBorder="1" applyAlignment="1">
      <alignment horizontal="left" vertical="center"/>
    </xf>
    <xf numFmtId="2" fontId="5" fillId="0" borderId="0" xfId="0" applyNumberFormat="1" applyFont="1" applyBorder="1" applyAlignment="1">
      <alignment horizontal="left" vertical="center"/>
    </xf>
    <xf numFmtId="2" fontId="5" fillId="0" borderId="7" xfId="0" applyNumberFormat="1" applyFont="1" applyBorder="1" applyAlignment="1">
      <alignment horizontal="left" vertical="center"/>
    </xf>
    <xf numFmtId="44" fontId="5" fillId="0" borderId="0" xfId="0" applyNumberFormat="1" applyFont="1" applyBorder="1" applyAlignment="1">
      <alignment horizontal="center" vertical="center"/>
    </xf>
    <xf numFmtId="201" fontId="5" fillId="0" borderId="4" xfId="0" applyNumberFormat="1" applyFont="1" applyFill="1" applyBorder="1" applyAlignment="1">
      <alignment horizontal="center" vertical="center"/>
    </xf>
    <xf numFmtId="14" fontId="5" fillId="0" borderId="7" xfId="0" applyNumberFormat="1" applyFont="1" applyFill="1" applyBorder="1" applyAlignment="1">
      <alignment horizontal="center" vertical="center"/>
    </xf>
    <xf numFmtId="2" fontId="5" fillId="0" borderId="7" xfId="0" applyNumberFormat="1" applyFont="1" applyFill="1" applyBorder="1" applyAlignment="1">
      <alignment horizontal="center" vertical="center"/>
    </xf>
    <xf numFmtId="179" fontId="4" fillId="0" borderId="4" xfId="3" applyNumberFormat="1" applyFont="1" applyFill="1" applyBorder="1" applyAlignment="1">
      <alignment horizontal="center" vertical="center"/>
    </xf>
    <xf numFmtId="2" fontId="5" fillId="0" borderId="4" xfId="0" applyNumberFormat="1" applyFont="1" applyFill="1" applyBorder="1" applyAlignment="1">
      <alignment horizontal="center" vertical="center"/>
    </xf>
    <xf numFmtId="44" fontId="1" fillId="0" borderId="0" xfId="1" applyFont="1" applyBorder="1" applyAlignment="1">
      <alignment horizontal="center" vertical="center"/>
    </xf>
    <xf numFmtId="206" fontId="5" fillId="0" borderId="0" xfId="1" applyNumberFormat="1" applyFont="1" applyFill="1" applyBorder="1" applyAlignment="1">
      <alignment horizontal="center" vertical="center"/>
    </xf>
    <xf numFmtId="216" fontId="5" fillId="0" borderId="0" xfId="0" applyNumberFormat="1" applyFont="1" applyBorder="1" applyAlignment="1">
      <alignment horizontal="center" vertical="center"/>
    </xf>
    <xf numFmtId="0" fontId="5" fillId="0" borderId="0" xfId="0" quotePrefix="1" applyFont="1" applyBorder="1" applyAlignment="1">
      <alignment horizontal="left" vertical="center"/>
    </xf>
    <xf numFmtId="174" fontId="5" fillId="0" borderId="0" xfId="3" applyNumberFormat="1" applyFont="1" applyBorder="1" applyAlignment="1">
      <alignment horizontal="center" vertical="center"/>
    </xf>
    <xf numFmtId="214" fontId="5" fillId="0" borderId="0" xfId="3" applyNumberFormat="1" applyFont="1" applyBorder="1" applyAlignment="1">
      <alignment horizontal="center" vertical="center"/>
    </xf>
    <xf numFmtId="214" fontId="5" fillId="0" borderId="0" xfId="0" applyNumberFormat="1" applyFont="1" applyBorder="1" applyAlignment="1">
      <alignment horizontal="center" vertical="center"/>
    </xf>
    <xf numFmtId="206" fontId="5" fillId="0" borderId="0" xfId="1" applyNumberFormat="1" applyFont="1" applyBorder="1" applyAlignment="1">
      <alignment horizontal="center" vertical="center"/>
    </xf>
    <xf numFmtId="0" fontId="4" fillId="0" borderId="35" xfId="0" applyFont="1" applyBorder="1" applyAlignment="1">
      <alignment horizontal="center" vertical="center"/>
    </xf>
    <xf numFmtId="0" fontId="4" fillId="0" borderId="42" xfId="0" applyFont="1" applyBorder="1" applyAlignment="1">
      <alignment horizontal="center" vertical="center"/>
    </xf>
    <xf numFmtId="0" fontId="4" fillId="0" borderId="42" xfId="0" applyFont="1" applyFill="1" applyBorder="1" applyAlignment="1">
      <alignment horizontal="center" vertical="center"/>
    </xf>
    <xf numFmtId="0" fontId="4" fillId="0" borderId="36" xfId="0" applyFont="1" applyFill="1" applyBorder="1" applyAlignment="1">
      <alignment horizontal="center" vertical="center"/>
    </xf>
    <xf numFmtId="0" fontId="5" fillId="16" borderId="6" xfId="0" applyFont="1" applyFill="1" applyBorder="1" applyAlignment="1">
      <alignment horizontal="center" vertical="center"/>
    </xf>
    <xf numFmtId="1" fontId="4" fillId="0" borderId="0" xfId="0" applyNumberFormat="1" applyFont="1" applyBorder="1" applyAlignment="1">
      <alignment horizontal="center" vertical="center"/>
    </xf>
    <xf numFmtId="168" fontId="5" fillId="0" borderId="0" xfId="0" applyNumberFormat="1" applyFont="1" applyBorder="1" applyAlignment="1">
      <alignment horizontal="left" vertical="center"/>
    </xf>
    <xf numFmtId="3" fontId="5" fillId="0" borderId="24" xfId="3" applyNumberFormat="1" applyFont="1" applyBorder="1" applyAlignment="1">
      <alignment horizontal="center" vertical="center"/>
    </xf>
    <xf numFmtId="3" fontId="4" fillId="0" borderId="25" xfId="0" applyNumberFormat="1" applyFont="1" applyBorder="1" applyAlignment="1">
      <alignment horizontal="center" vertical="center"/>
    </xf>
    <xf numFmtId="0" fontId="9" fillId="0" borderId="3" xfId="0" applyFont="1" applyBorder="1" applyAlignment="1">
      <alignment horizontal="center" vertical="center"/>
    </xf>
    <xf numFmtId="167" fontId="1" fillId="0" borderId="1" xfId="0" applyNumberFormat="1" applyFont="1" applyBorder="1" applyAlignment="1">
      <alignment horizontal="center" vertical="center"/>
    </xf>
    <xf numFmtId="167" fontId="1" fillId="0" borderId="3" xfId="3" applyNumberFormat="1" applyFont="1" applyBorder="1" applyAlignment="1">
      <alignment horizontal="center" vertical="center"/>
    </xf>
    <xf numFmtId="10" fontId="5" fillId="0" borderId="3" xfId="3" applyNumberFormat="1" applyFont="1" applyBorder="1" applyAlignment="1">
      <alignment horizontal="center" vertical="center"/>
    </xf>
    <xf numFmtId="0" fontId="5" fillId="0" borderId="23" xfId="0" applyFont="1" applyBorder="1" applyAlignment="1">
      <alignment horizontal="center" vertical="center"/>
    </xf>
    <xf numFmtId="0" fontId="1" fillId="0" borderId="6" xfId="0" applyFont="1" applyBorder="1" applyAlignment="1">
      <alignment horizontal="center" vertical="center"/>
    </xf>
    <xf numFmtId="0" fontId="1" fillId="0" borderId="2" xfId="0"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175" fontId="0" fillId="0" borderId="0" xfId="3" applyNumberFormat="1" applyFont="1" applyBorder="1" applyAlignment="1">
      <alignment horizontal="left" vertical="center"/>
    </xf>
    <xf numFmtId="39" fontId="0" fillId="0" borderId="0" xfId="1" applyNumberFormat="1" applyFont="1" applyBorder="1" applyAlignment="1">
      <alignment horizontal="center" vertical="center"/>
    </xf>
    <xf numFmtId="175" fontId="0" fillId="0" borderId="0" xfId="0" applyNumberFormat="1" applyBorder="1" applyAlignment="1">
      <alignment horizontal="left" vertical="center"/>
    </xf>
    <xf numFmtId="2" fontId="0" fillId="0" borderId="4" xfId="0" applyNumberFormat="1" applyBorder="1" applyAlignment="1">
      <alignment horizontal="center" vertical="center"/>
    </xf>
    <xf numFmtId="175" fontId="0" fillId="0" borderId="7" xfId="0" applyNumberFormat="1" applyBorder="1" applyAlignment="1">
      <alignment horizontal="left" vertical="center"/>
    </xf>
    <xf numFmtId="39" fontId="0" fillId="0" borderId="7" xfId="1" applyNumberFormat="1" applyFont="1" applyBorder="1" applyAlignment="1">
      <alignment horizontal="center" vertical="center"/>
    </xf>
    <xf numFmtId="2" fontId="0" fillId="0" borderId="7" xfId="0" applyNumberFormat="1" applyBorder="1" applyAlignment="1">
      <alignment horizontal="center" vertical="center"/>
    </xf>
    <xf numFmtId="0" fontId="3" fillId="0" borderId="6" xfId="0" applyFont="1" applyBorder="1" applyAlignment="1">
      <alignment horizontal="right" vertical="center"/>
    </xf>
    <xf numFmtId="10" fontId="5" fillId="2" borderId="23" xfId="3" applyNumberFormat="1" applyFont="1" applyFill="1" applyBorder="1" applyAlignment="1">
      <alignment horizontal="center" vertical="center"/>
    </xf>
    <xf numFmtId="14" fontId="5" fillId="0" borderId="24" xfId="3" applyNumberFormat="1" applyFont="1" applyBorder="1" applyAlignment="1">
      <alignment horizontal="center" vertical="center"/>
    </xf>
    <xf numFmtId="167" fontId="5" fillId="0" borderId="24" xfId="3" applyNumberFormat="1" applyFont="1" applyBorder="1" applyAlignment="1">
      <alignment horizontal="center" vertical="center"/>
    </xf>
    <xf numFmtId="10" fontId="5" fillId="0" borderId="25" xfId="0" applyNumberFormat="1" applyFont="1" applyBorder="1" applyAlignment="1">
      <alignment horizontal="center" vertical="center"/>
    </xf>
    <xf numFmtId="0" fontId="9" fillId="0" borderId="4" xfId="0" applyFont="1" applyFill="1" applyBorder="1" applyAlignment="1">
      <alignment horizontal="center" vertical="center"/>
    </xf>
    <xf numFmtId="0" fontId="8" fillId="22" borderId="5" xfId="0" applyFont="1" applyFill="1" applyBorder="1" applyAlignment="1">
      <alignment horizontal="left" vertical="center"/>
    </xf>
    <xf numFmtId="10" fontId="8" fillId="0" borderId="8" xfId="0" applyNumberFormat="1" applyFont="1" applyBorder="1" applyAlignment="1">
      <alignment horizontal="center" vertical="center"/>
    </xf>
    <xf numFmtId="167" fontId="8" fillId="2" borderId="0" xfId="0" applyNumberFormat="1" applyFont="1" applyFill="1" applyAlignment="1">
      <alignment horizontal="center" vertical="center"/>
    </xf>
    <xf numFmtId="214" fontId="8" fillId="0" borderId="0" xfId="0" applyNumberFormat="1" applyFont="1" applyBorder="1" applyAlignment="1">
      <alignment horizontal="center" vertical="center"/>
    </xf>
    <xf numFmtId="10" fontId="8" fillId="0" borderId="2" xfId="0" applyNumberFormat="1" applyFont="1" applyBorder="1" applyAlignment="1">
      <alignment horizontal="center" vertical="center"/>
    </xf>
    <xf numFmtId="0" fontId="8" fillId="9" borderId="5" xfId="0" applyFont="1" applyFill="1" applyBorder="1" applyAlignment="1">
      <alignment horizontal="center" vertical="center"/>
    </xf>
  </cellXfs>
  <cellStyles count="6">
    <cellStyle name="Comma" xfId="5" builtinId="3"/>
    <cellStyle name="Currency" xfId="1" builtinId="4"/>
    <cellStyle name="Hyperlink" xfId="2" builtinId="8"/>
    <cellStyle name="Normal" xfId="0" builtinId="0"/>
    <cellStyle name="Normal 2" xfId="4"/>
    <cellStyle name="Percent" xfId="3" builtinId="5"/>
  </cellStyles>
  <dxfs count="7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7CE"/>
        </patternFill>
      </fill>
    </dxf>
    <dxf>
      <font>
        <condense val="0"/>
        <extend val="0"/>
        <color rgb="FF006100"/>
      </font>
      <fill>
        <patternFill>
          <bgColor rgb="FFC6EFCE"/>
        </patternFill>
      </fill>
    </dxf>
    <dxf>
      <fill>
        <patternFill>
          <bgColor rgb="FF00FF00"/>
        </patternFill>
      </fill>
    </dxf>
    <dxf>
      <fill>
        <patternFill>
          <bgColor rgb="FF00FF00"/>
        </patternFill>
      </fill>
    </dxf>
    <dxf>
      <fill>
        <patternFill>
          <bgColor rgb="FFCCFF99"/>
        </patternFill>
      </fill>
    </dxf>
    <dxf>
      <fill>
        <patternFill>
          <bgColor rgb="FF00FF00"/>
        </patternFill>
      </fill>
    </dxf>
    <dxf>
      <fill>
        <patternFill>
          <bgColor rgb="FF00FF00"/>
        </patternFill>
      </fill>
    </dxf>
    <dxf>
      <font>
        <color rgb="FF9C0006"/>
      </font>
      <fill>
        <patternFill>
          <bgColor rgb="FFFFC7CE"/>
        </patternFill>
      </fill>
    </dxf>
    <dxf>
      <fill>
        <patternFill patternType="solid">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FF00"/>
        </patternFill>
      </fill>
    </dxf>
    <dxf>
      <font>
        <color auto="1"/>
      </font>
      <fill>
        <patternFill>
          <bgColor rgb="FFC6EFCE"/>
        </patternFill>
      </fill>
    </dxf>
    <dxf>
      <fill>
        <patternFill>
          <bgColor rgb="FF00FF00"/>
        </patternFill>
      </fill>
    </dxf>
    <dxf>
      <font>
        <color rgb="FF9C0006"/>
      </font>
      <fill>
        <patternFill>
          <bgColor rgb="FFFFC7CE"/>
        </patternFill>
      </fill>
    </dxf>
    <dxf>
      <font>
        <color auto="1"/>
      </font>
      <fill>
        <patternFill>
          <bgColor rgb="FFFFC7CE"/>
        </patternFill>
      </fill>
    </dxf>
    <dxf>
      <font>
        <color auto="1"/>
      </font>
      <fill>
        <patternFill>
          <bgColor rgb="FFC6EFCE"/>
        </patternFill>
      </fill>
    </dxf>
    <dxf>
      <font>
        <color auto="1"/>
      </font>
      <fill>
        <patternFill>
          <bgColor rgb="FFC6EFCE"/>
        </patternFill>
      </fill>
    </dxf>
    <dxf>
      <font>
        <color auto="1"/>
      </font>
      <fill>
        <patternFill>
          <bgColor rgb="FFFFC7CE"/>
        </patternFill>
      </fill>
    </dxf>
    <dxf>
      <font>
        <color auto="1"/>
      </font>
      <fill>
        <patternFill>
          <bgColor rgb="FFFFC7CE"/>
        </patternFill>
      </fill>
    </dxf>
    <dxf>
      <font>
        <color auto="1"/>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ill>
        <patternFill>
          <bgColor rgb="FF00FF00"/>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00FF00"/>
      <color rgb="FF5BFF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Salary over</a:t>
            </a:r>
            <a:r>
              <a:rPr lang="en-US" baseline="0"/>
              <a:t> Time</a:t>
            </a:r>
            <a:endParaRPr lang="en-US"/>
          </a:p>
        </c:rich>
      </c:tx>
    </c:title>
    <c:plotArea>
      <c:layout/>
      <c:lineChart>
        <c:grouping val="standard"/>
        <c:ser>
          <c:idx val="0"/>
          <c:order val="0"/>
          <c:tx>
            <c:strRef>
              <c:f>Stocks!$BK$111</c:f>
              <c:strCache>
                <c:ptCount val="1"/>
                <c:pt idx="0">
                  <c:v>Salary</c:v>
                </c:pt>
              </c:strCache>
            </c:strRef>
          </c:tx>
          <c:trendline>
            <c:trendlineType val="linear"/>
            <c:dispRSqr val="1"/>
            <c:dispEq val="1"/>
            <c:trendlineLbl>
              <c:layout>
                <c:manualLayout>
                  <c:x val="-0.66402788173911764"/>
                  <c:y val="-3.9261439894498443E-2"/>
                </c:manualLayout>
              </c:layout>
              <c:numFmt formatCode="General" sourceLinked="0"/>
            </c:trendlineLbl>
          </c:trendline>
          <c:cat>
            <c:numRef>
              <c:f>Stocks!$BI$112:$BI$133</c:f>
              <c:numCache>
                <c:formatCode>m/d/yyyy</c:formatCode>
                <c:ptCount val="22"/>
                <c:pt idx="0">
                  <c:v>38418</c:v>
                </c:pt>
                <c:pt idx="1">
                  <c:v>38725</c:v>
                </c:pt>
                <c:pt idx="2">
                  <c:v>38781</c:v>
                </c:pt>
                <c:pt idx="3">
                  <c:v>39089</c:v>
                </c:pt>
                <c:pt idx="4">
                  <c:v>39145</c:v>
                </c:pt>
                <c:pt idx="5">
                  <c:v>39145</c:v>
                </c:pt>
                <c:pt idx="6">
                  <c:v>39453</c:v>
                </c:pt>
                <c:pt idx="7">
                  <c:v>39509</c:v>
                </c:pt>
                <c:pt idx="8">
                  <c:v>39817</c:v>
                </c:pt>
                <c:pt idx="9">
                  <c:v>39873</c:v>
                </c:pt>
                <c:pt idx="10">
                  <c:v>39887</c:v>
                </c:pt>
                <c:pt idx="11">
                  <c:v>40181</c:v>
                </c:pt>
                <c:pt idx="12">
                  <c:v>40237</c:v>
                </c:pt>
                <c:pt idx="13">
                  <c:v>40335</c:v>
                </c:pt>
                <c:pt idx="14">
                  <c:v>40699</c:v>
                </c:pt>
                <c:pt idx="15">
                  <c:v>41063</c:v>
                </c:pt>
                <c:pt idx="16">
                  <c:v>41427</c:v>
                </c:pt>
                <c:pt idx="17">
                  <c:v>41651</c:v>
                </c:pt>
                <c:pt idx="18">
                  <c:v>42015</c:v>
                </c:pt>
                <c:pt idx="19">
                  <c:v>42155</c:v>
                </c:pt>
                <c:pt idx="20">
                  <c:v>42370</c:v>
                </c:pt>
                <c:pt idx="21">
                  <c:v>42736</c:v>
                </c:pt>
              </c:numCache>
            </c:numRef>
          </c:cat>
          <c:val>
            <c:numRef>
              <c:f>Stocks!$BK$112:$BK$133</c:f>
              <c:numCache>
                <c:formatCode>"$"#,##0.00</c:formatCode>
                <c:ptCount val="22"/>
                <c:pt idx="0">
                  <c:v>50103</c:v>
                </c:pt>
                <c:pt idx="1">
                  <c:v>51155</c:v>
                </c:pt>
                <c:pt idx="2">
                  <c:v>60508</c:v>
                </c:pt>
                <c:pt idx="3">
                  <c:v>61536</c:v>
                </c:pt>
                <c:pt idx="4">
                  <c:v>63587</c:v>
                </c:pt>
                <c:pt idx="5">
                  <c:v>68124</c:v>
                </c:pt>
                <c:pt idx="6">
                  <c:v>69828</c:v>
                </c:pt>
                <c:pt idx="7">
                  <c:v>72156</c:v>
                </c:pt>
                <c:pt idx="8">
                  <c:v>75537</c:v>
                </c:pt>
                <c:pt idx="9">
                  <c:v>77973</c:v>
                </c:pt>
                <c:pt idx="10">
                  <c:v>78543</c:v>
                </c:pt>
                <c:pt idx="11">
                  <c:v>79864</c:v>
                </c:pt>
                <c:pt idx="12">
                  <c:v>82359</c:v>
                </c:pt>
                <c:pt idx="13">
                  <c:v>89033</c:v>
                </c:pt>
                <c:pt idx="14">
                  <c:v>92001</c:v>
                </c:pt>
                <c:pt idx="15">
                  <c:v>94969</c:v>
                </c:pt>
                <c:pt idx="16">
                  <c:v>97936</c:v>
                </c:pt>
                <c:pt idx="17">
                  <c:v>98916</c:v>
                </c:pt>
                <c:pt idx="18">
                  <c:v>99905</c:v>
                </c:pt>
                <c:pt idx="19">
                  <c:v>102932</c:v>
                </c:pt>
                <c:pt idx="20">
                  <c:v>104433</c:v>
                </c:pt>
                <c:pt idx="21">
                  <c:v>107435</c:v>
                </c:pt>
              </c:numCache>
            </c:numRef>
          </c:val>
          <c:extLst xmlns:c16r2="http://schemas.microsoft.com/office/drawing/2015/06/chart">
            <c:ext xmlns:c16="http://schemas.microsoft.com/office/drawing/2014/chart" uri="{C3380CC4-5D6E-409C-BE32-E72D297353CC}">
              <c16:uniqueId val="{00000000-2336-4618-B461-8B82FE02AC8B}"/>
            </c:ext>
          </c:extLst>
        </c:ser>
        <c:dLbls/>
        <c:hiLowLines/>
        <c:marker val="1"/>
        <c:axId val="84722048"/>
        <c:axId val="84723968"/>
      </c:lineChart>
      <c:dateAx>
        <c:axId val="84722048"/>
        <c:scaling>
          <c:orientation val="minMax"/>
        </c:scaling>
        <c:axPos val="b"/>
        <c:title>
          <c:tx>
            <c:rich>
              <a:bodyPr/>
              <a:lstStyle/>
              <a:p>
                <a:pPr>
                  <a:defRPr/>
                </a:pPr>
                <a:r>
                  <a:rPr lang="en-US"/>
                  <a:t>Year</a:t>
                </a:r>
              </a:p>
            </c:rich>
          </c:tx>
        </c:title>
        <c:numFmt formatCode="m/d/yyyy" sourceLinked="1"/>
        <c:majorTickMark val="none"/>
        <c:tickLblPos val="nextTo"/>
        <c:crossAx val="84723968"/>
        <c:crosses val="autoZero"/>
        <c:auto val="1"/>
        <c:lblOffset val="100"/>
        <c:baseTimeUnit val="days"/>
      </c:dateAx>
      <c:valAx>
        <c:axId val="84723968"/>
        <c:scaling>
          <c:orientation val="minMax"/>
          <c:min val="50000"/>
        </c:scaling>
        <c:axPos val="l"/>
        <c:majorGridlines/>
        <c:title>
          <c:tx>
            <c:rich>
              <a:bodyPr/>
              <a:lstStyle/>
              <a:p>
                <a:pPr>
                  <a:defRPr/>
                </a:pPr>
                <a:r>
                  <a:rPr lang="en-US"/>
                  <a:t>Salary</a:t>
                </a:r>
              </a:p>
            </c:rich>
          </c:tx>
        </c:title>
        <c:numFmt formatCode="&quot;$&quot;#,##0.00" sourceLinked="1"/>
        <c:tickLblPos val="nextTo"/>
        <c:crossAx val="8472204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Cumulative</a:t>
            </a:r>
            <a:r>
              <a:rPr lang="en-US" baseline="0"/>
              <a:t> Payment Over Month</a:t>
            </a:r>
            <a:endParaRPr lang="en-US"/>
          </a:p>
        </c:rich>
      </c:tx>
      <c:layout/>
    </c:title>
    <c:plotArea>
      <c:layout/>
      <c:lineChart>
        <c:grouping val="standard"/>
        <c:ser>
          <c:idx val="0"/>
          <c:order val="0"/>
          <c:trendline>
            <c:trendlineType val="linear"/>
            <c:dispRSqr val="1"/>
            <c:dispEq val="1"/>
            <c:trendlineLbl>
              <c:layout>
                <c:manualLayout>
                  <c:x val="-0.53405282087159378"/>
                  <c:y val="-4.2098832290098413E-2"/>
                </c:manualLayout>
              </c:layout>
              <c:numFmt formatCode="General" sourceLinked="0"/>
            </c:trendlineLbl>
          </c:trendline>
          <c:val>
            <c:numRef>
              <c:f>'P2P Notes'!$L$2:$L$32</c:f>
              <c:numCache>
                <c:formatCode>"$"#,##0.00</c:formatCode>
                <c:ptCount val="31"/>
                <c:pt idx="0">
                  <c:v>0.75602566236883972</c:v>
                </c:pt>
                <c:pt idx="1">
                  <c:v>7.392939731972354</c:v>
                </c:pt>
                <c:pt idx="2">
                  <c:v>14.060096706414356</c:v>
                </c:pt>
                <c:pt idx="3">
                  <c:v>16.065985959633302</c:v>
                </c:pt>
                <c:pt idx="4">
                  <c:v>19.601786906830441</c:v>
                </c:pt>
                <c:pt idx="5">
                  <c:v>21.123418486353163</c:v>
                </c:pt>
                <c:pt idx="6">
                  <c:v>23.394348207468838</c:v>
                </c:pt>
                <c:pt idx="7">
                  <c:v>26.05554838044014</c:v>
                </c:pt>
                <c:pt idx="8">
                  <c:v>26.808305343211256</c:v>
                </c:pt>
                <c:pt idx="9">
                  <c:v>28.335097129570034</c:v>
                </c:pt>
                <c:pt idx="10">
                  <c:v>29.099730150201722</c:v>
                </c:pt>
                <c:pt idx="11">
                  <c:v>31.076567580495443</c:v>
                </c:pt>
                <c:pt idx="12">
                  <c:v>33.129615463934073</c:v>
                </c:pt>
                <c:pt idx="13">
                  <c:v>34.663887563459689</c:v>
                </c:pt>
                <c:pt idx="14">
                  <c:v>36.93016933426582</c:v>
                </c:pt>
                <c:pt idx="15">
                  <c:v>38.450729370870761</c:v>
                </c:pt>
                <c:pt idx="16">
                  <c:v>39.192393050723055</c:v>
                </c:pt>
                <c:pt idx="17">
                  <c:v>40.712036381799599</c:v>
                </c:pt>
                <c:pt idx="18">
                  <c:v>41.490840521368696</c:v>
                </c:pt>
                <c:pt idx="19">
                  <c:v>44.291701636152837</c:v>
                </c:pt>
                <c:pt idx="20">
                  <c:v>45.579959777396859</c:v>
                </c:pt>
                <c:pt idx="21">
                  <c:v>47.113551790598287</c:v>
                </c:pt>
                <c:pt idx="22">
                  <c:v>51.654779223512215</c:v>
                </c:pt>
                <c:pt idx="23">
                  <c:v>53.946073017305949</c:v>
                </c:pt>
                <c:pt idx="24">
                  <c:v>54.710706037937641</c:v>
                </c:pt>
                <c:pt idx="25">
                  <c:v>57.007448297697181</c:v>
                </c:pt>
                <c:pt idx="26">
                  <c:v>62.385622127548629</c:v>
                </c:pt>
                <c:pt idx="27">
                  <c:v>63.127285807400924</c:v>
                </c:pt>
                <c:pt idx="28">
                  <c:v>70.024833224178167</c:v>
                </c:pt>
                <c:pt idx="29">
                  <c:v>72.321575483937707</c:v>
                </c:pt>
                <c:pt idx="30">
                  <c:v>73.82690142173027</c:v>
                </c:pt>
              </c:numCache>
            </c:numRef>
          </c:val>
          <c:extLst xmlns:c16r2="http://schemas.microsoft.com/office/drawing/2015/06/chart">
            <c:ext xmlns:c16="http://schemas.microsoft.com/office/drawing/2014/chart" uri="{C3380CC4-5D6E-409C-BE32-E72D297353CC}">
              <c16:uniqueId val="{00000000-A51F-407F-B881-EC3A0B563201}"/>
            </c:ext>
          </c:extLst>
        </c:ser>
        <c:dLbls/>
        <c:marker val="1"/>
        <c:axId val="94313472"/>
        <c:axId val="94327552"/>
      </c:lineChart>
      <c:catAx>
        <c:axId val="94313472"/>
        <c:scaling>
          <c:orientation val="minMax"/>
        </c:scaling>
        <c:axPos val="b"/>
        <c:majorTickMark val="none"/>
        <c:tickLblPos val="nextTo"/>
        <c:crossAx val="94327552"/>
        <c:crosses val="autoZero"/>
        <c:auto val="1"/>
        <c:lblAlgn val="ctr"/>
        <c:lblOffset val="100"/>
      </c:catAx>
      <c:valAx>
        <c:axId val="94327552"/>
        <c:scaling>
          <c:orientation val="minMax"/>
        </c:scaling>
        <c:axPos val="l"/>
        <c:majorGridlines/>
        <c:title>
          <c:tx>
            <c:rich>
              <a:bodyPr/>
              <a:lstStyle/>
              <a:p>
                <a:pPr>
                  <a:defRPr/>
                </a:pPr>
                <a:r>
                  <a:rPr lang="en-US"/>
                  <a:t>Cumulative Payment</a:t>
                </a:r>
              </a:p>
            </c:rich>
          </c:tx>
          <c:layout/>
        </c:title>
        <c:numFmt formatCode="&quot;$&quot;#,##0.00" sourceLinked="1"/>
        <c:majorTickMark val="none"/>
        <c:tickLblPos val="nextTo"/>
        <c:crossAx val="94313472"/>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Cumulative Payment by</a:t>
            </a:r>
            <a:r>
              <a:rPr lang="en-US" baseline="0"/>
              <a:t> Year</a:t>
            </a:r>
            <a:endParaRPr lang="en-US"/>
          </a:p>
        </c:rich>
      </c:tx>
      <c:layout/>
    </c:title>
    <c:plotArea>
      <c:layout/>
      <c:lineChart>
        <c:grouping val="standard"/>
        <c:ser>
          <c:idx val="0"/>
          <c:order val="0"/>
          <c:marker>
            <c:symbol val="none"/>
          </c:marker>
          <c:trendline>
            <c:trendlineType val="linear"/>
            <c:dispRSqr val="1"/>
            <c:dispEq val="1"/>
            <c:trendlineLbl>
              <c:layout>
                <c:manualLayout>
                  <c:x val="-0.15466469840359198"/>
                  <c:y val="-5.2768979349279523E-2"/>
                </c:manualLayout>
              </c:layout>
              <c:numFmt formatCode="General" sourceLinked="0"/>
            </c:trendlineLbl>
          </c:trendline>
          <c:val>
            <c:numRef>
              <c:f>'P2P Notes'!$C$100:$C$471</c:f>
              <c:numCache>
                <c:formatCode>"$"#,##0.00</c:formatCode>
                <c:ptCount val="372"/>
                <c:pt idx="0">
                  <c:v>0.75602566236883972</c:v>
                </c:pt>
                <c:pt idx="1">
                  <c:v>7.392939731972354</c:v>
                </c:pt>
                <c:pt idx="2">
                  <c:v>14.060096706414356</c:v>
                </c:pt>
                <c:pt idx="3">
                  <c:v>16.065985959633302</c:v>
                </c:pt>
                <c:pt idx="4">
                  <c:v>19.601786906830441</c:v>
                </c:pt>
                <c:pt idx="5">
                  <c:v>21.123418486353163</c:v>
                </c:pt>
                <c:pt idx="6">
                  <c:v>23.394348207468838</c:v>
                </c:pt>
                <c:pt idx="7">
                  <c:v>26.05554838044014</c:v>
                </c:pt>
                <c:pt idx="8">
                  <c:v>26.808305343211256</c:v>
                </c:pt>
                <c:pt idx="9">
                  <c:v>28.335097129570034</c:v>
                </c:pt>
                <c:pt idx="10">
                  <c:v>29.099730150201722</c:v>
                </c:pt>
                <c:pt idx="11">
                  <c:v>31.076567580495443</c:v>
                </c:pt>
                <c:pt idx="12">
                  <c:v>33.129615463934073</c:v>
                </c:pt>
                <c:pt idx="13">
                  <c:v>34.663887563459689</c:v>
                </c:pt>
                <c:pt idx="14">
                  <c:v>36.93016933426582</c:v>
                </c:pt>
                <c:pt idx="15">
                  <c:v>38.450729370870761</c:v>
                </c:pt>
                <c:pt idx="16">
                  <c:v>39.192393050723055</c:v>
                </c:pt>
                <c:pt idx="17">
                  <c:v>40.712036381799599</c:v>
                </c:pt>
                <c:pt idx="18">
                  <c:v>41.490840521368696</c:v>
                </c:pt>
                <c:pt idx="19">
                  <c:v>44.291701636152837</c:v>
                </c:pt>
                <c:pt idx="20">
                  <c:v>45.579959777396859</c:v>
                </c:pt>
                <c:pt idx="21">
                  <c:v>47.113551790598287</c:v>
                </c:pt>
                <c:pt idx="22">
                  <c:v>51.654779223512215</c:v>
                </c:pt>
                <c:pt idx="23">
                  <c:v>53.946073017305949</c:v>
                </c:pt>
                <c:pt idx="24">
                  <c:v>54.710706037937641</c:v>
                </c:pt>
                <c:pt idx="25">
                  <c:v>57.007448297697181</c:v>
                </c:pt>
                <c:pt idx="26">
                  <c:v>62.385622127548629</c:v>
                </c:pt>
                <c:pt idx="27">
                  <c:v>63.127285807400924</c:v>
                </c:pt>
                <c:pt idx="28">
                  <c:v>70.024833224178167</c:v>
                </c:pt>
                <c:pt idx="29">
                  <c:v>72.321575483937707</c:v>
                </c:pt>
                <c:pt idx="30">
                  <c:v>73.82690142173027</c:v>
                </c:pt>
                <c:pt idx="31">
                  <c:v>74.582927084099111</c:v>
                </c:pt>
                <c:pt idx="32">
                  <c:v>81.219841153702632</c:v>
                </c:pt>
                <c:pt idx="33">
                  <c:v>87.88699812814464</c:v>
                </c:pt>
                <c:pt idx="34">
                  <c:v>89.892887381363579</c:v>
                </c:pt>
                <c:pt idx="35">
                  <c:v>93.428688328560725</c:v>
                </c:pt>
                <c:pt idx="36">
                  <c:v>94.950319908083443</c:v>
                </c:pt>
                <c:pt idx="37">
                  <c:v>97.221249629199122</c:v>
                </c:pt>
                <c:pt idx="38">
                  <c:v>99.882449802170427</c:v>
                </c:pt>
                <c:pt idx="39">
                  <c:v>100.63520676494154</c:v>
                </c:pt>
                <c:pt idx="40">
                  <c:v>102.16199855130033</c:v>
                </c:pt>
                <c:pt idx="41">
                  <c:v>102.92663157193202</c:v>
                </c:pt>
                <c:pt idx="42">
                  <c:v>104.90346900222573</c:v>
                </c:pt>
                <c:pt idx="43">
                  <c:v>106.95651688566436</c:v>
                </c:pt>
                <c:pt idx="44">
                  <c:v>108.49078898518997</c:v>
                </c:pt>
                <c:pt idx="45">
                  <c:v>110.7570707559961</c:v>
                </c:pt>
                <c:pt idx="46">
                  <c:v>112.27763079260104</c:v>
                </c:pt>
                <c:pt idx="47">
                  <c:v>113.01929447245334</c:v>
                </c:pt>
                <c:pt idx="48">
                  <c:v>114.53893780352988</c:v>
                </c:pt>
                <c:pt idx="49">
                  <c:v>115.31774194309898</c:v>
                </c:pt>
                <c:pt idx="50">
                  <c:v>118.11860305788312</c:v>
                </c:pt>
                <c:pt idx="51">
                  <c:v>119.40686119912714</c:v>
                </c:pt>
                <c:pt idx="52">
                  <c:v>120.94045321232856</c:v>
                </c:pt>
                <c:pt idx="53">
                  <c:v>125.48168064524249</c:v>
                </c:pt>
                <c:pt idx="54">
                  <c:v>127.77297443903622</c:v>
                </c:pt>
                <c:pt idx="55">
                  <c:v>128.5376074596679</c:v>
                </c:pt>
                <c:pt idx="56">
                  <c:v>130.83434971942742</c:v>
                </c:pt>
                <c:pt idx="57">
                  <c:v>136.21252354927887</c:v>
                </c:pt>
                <c:pt idx="58">
                  <c:v>136.95418722913115</c:v>
                </c:pt>
                <c:pt idx="59">
                  <c:v>143.85173464590838</c:v>
                </c:pt>
                <c:pt idx="60">
                  <c:v>146.14847690566791</c:v>
                </c:pt>
                <c:pt idx="61">
                  <c:v>147.65380284346045</c:v>
                </c:pt>
                <c:pt idx="62">
                  <c:v>148.4098285058293</c:v>
                </c:pt>
                <c:pt idx="63">
                  <c:v>155.0467425754328</c:v>
                </c:pt>
                <c:pt idx="64">
                  <c:v>161.71389954987481</c:v>
                </c:pt>
                <c:pt idx="65">
                  <c:v>163.71978880309376</c:v>
                </c:pt>
                <c:pt idx="66">
                  <c:v>167.25558975029091</c:v>
                </c:pt>
                <c:pt idx="67">
                  <c:v>168.77722132981364</c:v>
                </c:pt>
                <c:pt idx="68">
                  <c:v>171.04815105092931</c:v>
                </c:pt>
                <c:pt idx="69">
                  <c:v>173.7093512239006</c:v>
                </c:pt>
                <c:pt idx="70">
                  <c:v>174.46210818667171</c:v>
                </c:pt>
                <c:pt idx="71">
                  <c:v>175.9888999730305</c:v>
                </c:pt>
                <c:pt idx="72">
                  <c:v>176.75353299366219</c:v>
                </c:pt>
                <c:pt idx="73">
                  <c:v>178.73037042395592</c:v>
                </c:pt>
                <c:pt idx="74">
                  <c:v>180.78341830739456</c:v>
                </c:pt>
                <c:pt idx="75">
                  <c:v>182.31769040692018</c:v>
                </c:pt>
                <c:pt idx="76">
                  <c:v>184.58397217772631</c:v>
                </c:pt>
                <c:pt idx="77">
                  <c:v>186.10453221433124</c:v>
                </c:pt>
                <c:pt idx="78">
                  <c:v>186.84619589418352</c:v>
                </c:pt>
                <c:pt idx="79">
                  <c:v>188.36583922526006</c:v>
                </c:pt>
                <c:pt idx="80">
                  <c:v>189.14464336482916</c:v>
                </c:pt>
                <c:pt idx="81">
                  <c:v>191.94550447961331</c:v>
                </c:pt>
                <c:pt idx="82">
                  <c:v>193.23376262085733</c:v>
                </c:pt>
                <c:pt idx="83">
                  <c:v>194.76735463405876</c:v>
                </c:pt>
                <c:pt idx="84">
                  <c:v>199.30858206697269</c:v>
                </c:pt>
                <c:pt idx="85">
                  <c:v>201.59987586076642</c:v>
                </c:pt>
                <c:pt idx="86">
                  <c:v>202.36450888139811</c:v>
                </c:pt>
                <c:pt idx="87">
                  <c:v>204.66125114115763</c:v>
                </c:pt>
                <c:pt idx="88">
                  <c:v>210.03942497100908</c:v>
                </c:pt>
                <c:pt idx="89">
                  <c:v>210.78108865086136</c:v>
                </c:pt>
                <c:pt idx="90">
                  <c:v>217.67863606763859</c:v>
                </c:pt>
                <c:pt idx="91">
                  <c:v>219.97537832739812</c:v>
                </c:pt>
                <c:pt idx="92">
                  <c:v>221.48070426519067</c:v>
                </c:pt>
                <c:pt idx="93">
                  <c:v>222.23672992755951</c:v>
                </c:pt>
                <c:pt idx="94">
                  <c:v>228.87364399716301</c:v>
                </c:pt>
                <c:pt idx="95">
                  <c:v>235.54080097160502</c:v>
                </c:pt>
                <c:pt idx="96">
                  <c:v>237.54669022482398</c:v>
                </c:pt>
                <c:pt idx="97">
                  <c:v>241.08249117202112</c:v>
                </c:pt>
                <c:pt idx="98">
                  <c:v>242.60412275154385</c:v>
                </c:pt>
                <c:pt idx="99">
                  <c:v>244.87505247265952</c:v>
                </c:pt>
                <c:pt idx="100">
                  <c:v>247.53625264563081</c:v>
                </c:pt>
                <c:pt idx="101">
                  <c:v>248.28900960840193</c:v>
                </c:pt>
                <c:pt idx="102">
                  <c:v>249.81580139476071</c:v>
                </c:pt>
                <c:pt idx="103">
                  <c:v>250.5804344153924</c:v>
                </c:pt>
                <c:pt idx="104">
                  <c:v>252.55727184568613</c:v>
                </c:pt>
                <c:pt idx="105">
                  <c:v>254.61031972912477</c:v>
                </c:pt>
                <c:pt idx="106">
                  <c:v>256.14459182865039</c:v>
                </c:pt>
                <c:pt idx="107">
                  <c:v>258.41087359945652</c:v>
                </c:pt>
                <c:pt idx="108">
                  <c:v>259.93143363606146</c:v>
                </c:pt>
                <c:pt idx="109">
                  <c:v>260.67309731591376</c:v>
                </c:pt>
                <c:pt idx="110">
                  <c:v>262.19274064699033</c:v>
                </c:pt>
                <c:pt idx="111">
                  <c:v>262.97154478655943</c:v>
                </c:pt>
                <c:pt idx="112">
                  <c:v>265.77240590134357</c:v>
                </c:pt>
                <c:pt idx="113">
                  <c:v>267.06066404258758</c:v>
                </c:pt>
                <c:pt idx="114">
                  <c:v>268.594256055789</c:v>
                </c:pt>
                <c:pt idx="115">
                  <c:v>273.1354834887029</c:v>
                </c:pt>
                <c:pt idx="116">
                  <c:v>275.42677728249663</c:v>
                </c:pt>
                <c:pt idx="117">
                  <c:v>276.19141030312829</c:v>
                </c:pt>
                <c:pt idx="118">
                  <c:v>278.48815256288782</c:v>
                </c:pt>
                <c:pt idx="119">
                  <c:v>283.86632639273927</c:v>
                </c:pt>
                <c:pt idx="120">
                  <c:v>284.60799007259158</c:v>
                </c:pt>
                <c:pt idx="121">
                  <c:v>291.50553748936881</c:v>
                </c:pt>
                <c:pt idx="122">
                  <c:v>293.80227974912833</c:v>
                </c:pt>
                <c:pt idx="123">
                  <c:v>295.30760568692091</c:v>
                </c:pt>
                <c:pt idx="124">
                  <c:v>296.06363134928972</c:v>
                </c:pt>
                <c:pt idx="125">
                  <c:v>302.70054541889323</c:v>
                </c:pt>
                <c:pt idx="126">
                  <c:v>309.36770239333521</c:v>
                </c:pt>
                <c:pt idx="127">
                  <c:v>311.37359164655413</c:v>
                </c:pt>
                <c:pt idx="128">
                  <c:v>314.90939259375125</c:v>
                </c:pt>
                <c:pt idx="129">
                  <c:v>316.43102417327395</c:v>
                </c:pt>
                <c:pt idx="130">
                  <c:v>318.70195389438965</c:v>
                </c:pt>
                <c:pt idx="131">
                  <c:v>321.36315406736094</c:v>
                </c:pt>
                <c:pt idx="132">
                  <c:v>322.11591103013205</c:v>
                </c:pt>
                <c:pt idx="133">
                  <c:v>323.64270281649084</c:v>
                </c:pt>
                <c:pt idx="134">
                  <c:v>324.4073358371225</c:v>
                </c:pt>
                <c:pt idx="135">
                  <c:v>326.3841732674162</c:v>
                </c:pt>
                <c:pt idx="136">
                  <c:v>328.43722115085484</c:v>
                </c:pt>
                <c:pt idx="137">
                  <c:v>329.97149325038043</c:v>
                </c:pt>
                <c:pt idx="138">
                  <c:v>332.23777502118656</c:v>
                </c:pt>
                <c:pt idx="139">
                  <c:v>333.7583350577915</c:v>
                </c:pt>
                <c:pt idx="140">
                  <c:v>334.49999873764381</c:v>
                </c:pt>
                <c:pt idx="141">
                  <c:v>336.01964206872037</c:v>
                </c:pt>
                <c:pt idx="142">
                  <c:v>336.79844620828948</c:v>
                </c:pt>
                <c:pt idx="143">
                  <c:v>339.59930732307362</c:v>
                </c:pt>
                <c:pt idx="144">
                  <c:v>340.88756546431762</c:v>
                </c:pt>
                <c:pt idx="145">
                  <c:v>342.42115747751905</c:v>
                </c:pt>
                <c:pt idx="146">
                  <c:v>346.96238491043295</c:v>
                </c:pt>
                <c:pt idx="147">
                  <c:v>349.25367870422667</c:v>
                </c:pt>
                <c:pt idx="148">
                  <c:v>350.01831172485834</c:v>
                </c:pt>
                <c:pt idx="149">
                  <c:v>352.31505398461786</c:v>
                </c:pt>
                <c:pt idx="150">
                  <c:v>357.69322781446931</c:v>
                </c:pt>
                <c:pt idx="151">
                  <c:v>358.43489149432162</c:v>
                </c:pt>
                <c:pt idx="152">
                  <c:v>365.33243891109885</c:v>
                </c:pt>
                <c:pt idx="153">
                  <c:v>367.62918117085837</c:v>
                </c:pt>
                <c:pt idx="154">
                  <c:v>369.13450710865095</c:v>
                </c:pt>
                <c:pt idx="155">
                  <c:v>369.89053277101976</c:v>
                </c:pt>
                <c:pt idx="156">
                  <c:v>376.52744684062327</c:v>
                </c:pt>
                <c:pt idx="157">
                  <c:v>383.19460381506525</c:v>
                </c:pt>
                <c:pt idx="158">
                  <c:v>385.20049306828417</c:v>
                </c:pt>
                <c:pt idx="159">
                  <c:v>388.73629401548129</c:v>
                </c:pt>
                <c:pt idx="160">
                  <c:v>390.257925595004</c:v>
                </c:pt>
                <c:pt idx="161">
                  <c:v>392.52885531611969</c:v>
                </c:pt>
                <c:pt idx="162">
                  <c:v>395.19005548909098</c:v>
                </c:pt>
                <c:pt idx="163">
                  <c:v>395.9428124518621</c:v>
                </c:pt>
                <c:pt idx="164">
                  <c:v>397.46960423822088</c:v>
                </c:pt>
                <c:pt idx="165">
                  <c:v>398.23423725885254</c:v>
                </c:pt>
                <c:pt idx="166">
                  <c:v>400.21107468914624</c:v>
                </c:pt>
                <c:pt idx="167">
                  <c:v>402.26412257258488</c:v>
                </c:pt>
                <c:pt idx="168">
                  <c:v>403.79839467211048</c:v>
                </c:pt>
                <c:pt idx="169">
                  <c:v>406.06467644291661</c:v>
                </c:pt>
                <c:pt idx="170">
                  <c:v>407.58523647952154</c:v>
                </c:pt>
                <c:pt idx="171">
                  <c:v>408.32690015937385</c:v>
                </c:pt>
                <c:pt idx="172">
                  <c:v>409.84654349045041</c:v>
                </c:pt>
                <c:pt idx="173">
                  <c:v>410.62534763001952</c:v>
                </c:pt>
                <c:pt idx="174">
                  <c:v>413.42620874480366</c:v>
                </c:pt>
                <c:pt idx="175">
                  <c:v>414.71446688604766</c:v>
                </c:pt>
                <c:pt idx="176">
                  <c:v>416.24805889924909</c:v>
                </c:pt>
                <c:pt idx="177">
                  <c:v>420.78928633216299</c:v>
                </c:pt>
                <c:pt idx="178">
                  <c:v>423.08058012595671</c:v>
                </c:pt>
                <c:pt idx="179">
                  <c:v>423.84521314658838</c:v>
                </c:pt>
                <c:pt idx="180">
                  <c:v>426.1419554063479</c:v>
                </c:pt>
                <c:pt idx="181">
                  <c:v>431.52012923619935</c:v>
                </c:pt>
                <c:pt idx="182">
                  <c:v>432.26179291605166</c:v>
                </c:pt>
                <c:pt idx="183">
                  <c:v>439.15934033282889</c:v>
                </c:pt>
                <c:pt idx="184">
                  <c:v>441.45608259258842</c:v>
                </c:pt>
                <c:pt idx="185">
                  <c:v>442.96140853038099</c:v>
                </c:pt>
                <c:pt idx="186">
                  <c:v>443.71743419274981</c:v>
                </c:pt>
                <c:pt idx="187">
                  <c:v>450.35434826235331</c:v>
                </c:pt>
                <c:pt idx="188">
                  <c:v>457.02150523679529</c:v>
                </c:pt>
                <c:pt idx="189">
                  <c:v>459.02739449001422</c:v>
                </c:pt>
                <c:pt idx="190">
                  <c:v>462.56319543721133</c:v>
                </c:pt>
                <c:pt idx="191">
                  <c:v>464.08482701673404</c:v>
                </c:pt>
                <c:pt idx="192">
                  <c:v>466.35575673784973</c:v>
                </c:pt>
                <c:pt idx="193">
                  <c:v>469.01695691082102</c:v>
                </c:pt>
                <c:pt idx="194">
                  <c:v>469.76971387359214</c:v>
                </c:pt>
                <c:pt idx="195">
                  <c:v>471.29650565995092</c:v>
                </c:pt>
                <c:pt idx="196">
                  <c:v>472.06113868058259</c:v>
                </c:pt>
                <c:pt idx="197">
                  <c:v>474.03797611087629</c:v>
                </c:pt>
                <c:pt idx="198">
                  <c:v>476.09102399431492</c:v>
                </c:pt>
                <c:pt idx="199">
                  <c:v>477.62529609384052</c:v>
                </c:pt>
                <c:pt idx="200">
                  <c:v>479.89157786464665</c:v>
                </c:pt>
                <c:pt idx="201">
                  <c:v>481.41213790125158</c:v>
                </c:pt>
                <c:pt idx="202">
                  <c:v>482.15380158110389</c:v>
                </c:pt>
                <c:pt idx="203">
                  <c:v>483.67344491218046</c:v>
                </c:pt>
                <c:pt idx="204">
                  <c:v>484.45224905174956</c:v>
                </c:pt>
                <c:pt idx="205">
                  <c:v>487.2531101665337</c:v>
                </c:pt>
                <c:pt idx="206">
                  <c:v>488.5413683077777</c:v>
                </c:pt>
                <c:pt idx="207">
                  <c:v>490.07496032097913</c:v>
                </c:pt>
                <c:pt idx="208">
                  <c:v>494.61618775389303</c:v>
                </c:pt>
                <c:pt idx="209">
                  <c:v>496.90748154768676</c:v>
                </c:pt>
                <c:pt idx="210">
                  <c:v>497.67211456831842</c:v>
                </c:pt>
                <c:pt idx="211">
                  <c:v>499.96885682807795</c:v>
                </c:pt>
                <c:pt idx="212">
                  <c:v>505.34703065792939</c:v>
                </c:pt>
                <c:pt idx="213">
                  <c:v>506.0886943377817</c:v>
                </c:pt>
                <c:pt idx="214">
                  <c:v>512.98624175455893</c:v>
                </c:pt>
                <c:pt idx="215">
                  <c:v>515.28298401431846</c:v>
                </c:pt>
                <c:pt idx="216">
                  <c:v>516.78830995211104</c:v>
                </c:pt>
                <c:pt idx="217">
                  <c:v>517.54433561447991</c:v>
                </c:pt>
                <c:pt idx="218">
                  <c:v>524.18124968408347</c:v>
                </c:pt>
                <c:pt idx="219">
                  <c:v>530.84840665852551</c:v>
                </c:pt>
                <c:pt idx="220">
                  <c:v>532.85429591174443</c:v>
                </c:pt>
                <c:pt idx="221">
                  <c:v>536.39009685894155</c:v>
                </c:pt>
                <c:pt idx="222">
                  <c:v>537.91172843846425</c:v>
                </c:pt>
                <c:pt idx="223">
                  <c:v>540.18265815957989</c:v>
                </c:pt>
                <c:pt idx="224">
                  <c:v>542.84385833255124</c:v>
                </c:pt>
                <c:pt idx="225">
                  <c:v>543.59661529532241</c:v>
                </c:pt>
                <c:pt idx="226">
                  <c:v>545.12340708168119</c:v>
                </c:pt>
                <c:pt idx="227">
                  <c:v>545.88804010231286</c:v>
                </c:pt>
                <c:pt idx="228">
                  <c:v>547.86487753260656</c:v>
                </c:pt>
                <c:pt idx="229">
                  <c:v>549.91792541604514</c:v>
                </c:pt>
                <c:pt idx="230">
                  <c:v>551.45219751557079</c:v>
                </c:pt>
                <c:pt idx="231">
                  <c:v>553.71847928637692</c:v>
                </c:pt>
                <c:pt idx="232">
                  <c:v>555.23903932298185</c:v>
                </c:pt>
                <c:pt idx="233">
                  <c:v>555.98070300283416</c:v>
                </c:pt>
                <c:pt idx="234">
                  <c:v>557.50034633391067</c:v>
                </c:pt>
                <c:pt idx="235">
                  <c:v>558.27915047347972</c:v>
                </c:pt>
                <c:pt idx="236">
                  <c:v>561.08001158826391</c:v>
                </c:pt>
                <c:pt idx="237">
                  <c:v>562.36826972950792</c:v>
                </c:pt>
                <c:pt idx="238">
                  <c:v>563.90186174270934</c:v>
                </c:pt>
                <c:pt idx="239">
                  <c:v>568.4430891756233</c:v>
                </c:pt>
                <c:pt idx="240">
                  <c:v>570.73438296941708</c:v>
                </c:pt>
                <c:pt idx="241">
                  <c:v>571.49901599004875</c:v>
                </c:pt>
                <c:pt idx="242">
                  <c:v>573.79575824980827</c:v>
                </c:pt>
                <c:pt idx="243">
                  <c:v>579.17393207965972</c:v>
                </c:pt>
                <c:pt idx="244">
                  <c:v>579.91559575951203</c:v>
                </c:pt>
                <c:pt idx="245">
                  <c:v>586.81314317628926</c:v>
                </c:pt>
                <c:pt idx="246">
                  <c:v>589.10988543604878</c:v>
                </c:pt>
                <c:pt idx="247">
                  <c:v>590.61521137384136</c:v>
                </c:pt>
                <c:pt idx="248">
                  <c:v>591.37123703621023</c:v>
                </c:pt>
                <c:pt idx="249">
                  <c:v>598.00815110581379</c:v>
                </c:pt>
                <c:pt idx="250">
                  <c:v>604.67530808025583</c:v>
                </c:pt>
                <c:pt idx="251">
                  <c:v>606.68119733347476</c:v>
                </c:pt>
                <c:pt idx="252">
                  <c:v>610.21699828067187</c:v>
                </c:pt>
                <c:pt idx="253">
                  <c:v>611.73862986019458</c:v>
                </c:pt>
                <c:pt idx="254">
                  <c:v>614.00955958131021</c:v>
                </c:pt>
                <c:pt idx="255">
                  <c:v>616.67075975428156</c:v>
                </c:pt>
                <c:pt idx="256">
                  <c:v>617.42351671705273</c:v>
                </c:pt>
                <c:pt idx="257">
                  <c:v>618.95030850341152</c:v>
                </c:pt>
                <c:pt idx="258">
                  <c:v>619.71494152404318</c:v>
                </c:pt>
                <c:pt idx="259">
                  <c:v>621.69177895433688</c:v>
                </c:pt>
                <c:pt idx="260">
                  <c:v>623.74482683777546</c:v>
                </c:pt>
                <c:pt idx="261">
                  <c:v>625.27909893730111</c:v>
                </c:pt>
                <c:pt idx="262">
                  <c:v>627.54538070810725</c:v>
                </c:pt>
                <c:pt idx="263">
                  <c:v>629.06594074471218</c:v>
                </c:pt>
                <c:pt idx="264">
                  <c:v>629.80760442456449</c:v>
                </c:pt>
                <c:pt idx="265">
                  <c:v>631.327247755641</c:v>
                </c:pt>
                <c:pt idx="266">
                  <c:v>632.10605189521004</c:v>
                </c:pt>
                <c:pt idx="267">
                  <c:v>634.90691300999424</c:v>
                </c:pt>
                <c:pt idx="268">
                  <c:v>636.19517115123824</c:v>
                </c:pt>
                <c:pt idx="269">
                  <c:v>637.72876316443967</c:v>
                </c:pt>
                <c:pt idx="270">
                  <c:v>642.26999059735363</c:v>
                </c:pt>
                <c:pt idx="271">
                  <c:v>644.56128439114741</c:v>
                </c:pt>
                <c:pt idx="272">
                  <c:v>645.32591741177907</c:v>
                </c:pt>
                <c:pt idx="273">
                  <c:v>647.6226596715386</c:v>
                </c:pt>
                <c:pt idx="274">
                  <c:v>653.00083350139005</c:v>
                </c:pt>
                <c:pt idx="275">
                  <c:v>653.74249718124236</c:v>
                </c:pt>
                <c:pt idx="276">
                  <c:v>660.64004459801959</c:v>
                </c:pt>
                <c:pt idx="277">
                  <c:v>662.93678685777911</c:v>
                </c:pt>
                <c:pt idx="278">
                  <c:v>664.44211279557169</c:v>
                </c:pt>
                <c:pt idx="279">
                  <c:v>665.19813845794056</c:v>
                </c:pt>
                <c:pt idx="280">
                  <c:v>671.83505252754412</c:v>
                </c:pt>
                <c:pt idx="281">
                  <c:v>678.50220950198616</c:v>
                </c:pt>
                <c:pt idx="282">
                  <c:v>680.50809875520508</c:v>
                </c:pt>
                <c:pt idx="283">
                  <c:v>684.0438997024022</c:v>
                </c:pt>
                <c:pt idx="284">
                  <c:v>685.5655312819249</c:v>
                </c:pt>
                <c:pt idx="285">
                  <c:v>687.83646100304054</c:v>
                </c:pt>
                <c:pt idx="286">
                  <c:v>690.49766117601189</c:v>
                </c:pt>
                <c:pt idx="287">
                  <c:v>691.25041813878306</c:v>
                </c:pt>
                <c:pt idx="288">
                  <c:v>692.77720992514185</c:v>
                </c:pt>
                <c:pt idx="289">
                  <c:v>693.54184294577351</c:v>
                </c:pt>
                <c:pt idx="290">
                  <c:v>695.51868037606721</c:v>
                </c:pt>
                <c:pt idx="291">
                  <c:v>697.57172825950579</c:v>
                </c:pt>
                <c:pt idx="292">
                  <c:v>699.10600035903144</c:v>
                </c:pt>
                <c:pt idx="293">
                  <c:v>701.37228212983757</c:v>
                </c:pt>
                <c:pt idx="294">
                  <c:v>702.89284216644251</c:v>
                </c:pt>
                <c:pt idx="295">
                  <c:v>703.63450584629481</c:v>
                </c:pt>
                <c:pt idx="296">
                  <c:v>705.15414917737132</c:v>
                </c:pt>
                <c:pt idx="297">
                  <c:v>705.93295331694037</c:v>
                </c:pt>
                <c:pt idx="298">
                  <c:v>708.73381443172457</c:v>
                </c:pt>
                <c:pt idx="299">
                  <c:v>710.02207257296857</c:v>
                </c:pt>
                <c:pt idx="300">
                  <c:v>711.55566458617</c:v>
                </c:pt>
                <c:pt idx="301">
                  <c:v>716.09689201908395</c:v>
                </c:pt>
                <c:pt idx="302">
                  <c:v>718.38818581287774</c:v>
                </c:pt>
                <c:pt idx="303">
                  <c:v>719.1528188335094</c:v>
                </c:pt>
                <c:pt idx="304">
                  <c:v>721.44956109326893</c:v>
                </c:pt>
                <c:pt idx="305">
                  <c:v>726.82773492312037</c:v>
                </c:pt>
                <c:pt idx="306">
                  <c:v>727.56939860297268</c:v>
                </c:pt>
                <c:pt idx="307">
                  <c:v>734.46694601974991</c:v>
                </c:pt>
                <c:pt idx="308">
                  <c:v>736.76368827950944</c:v>
                </c:pt>
                <c:pt idx="309">
                  <c:v>738.26901421730201</c:v>
                </c:pt>
                <c:pt idx="310">
                  <c:v>739.02503987967089</c:v>
                </c:pt>
                <c:pt idx="311">
                  <c:v>745.66195394927445</c:v>
                </c:pt>
                <c:pt idx="312">
                  <c:v>752.32911092371648</c:v>
                </c:pt>
                <c:pt idx="313">
                  <c:v>754.33500017693541</c:v>
                </c:pt>
                <c:pt idx="314">
                  <c:v>757.87080112413253</c:v>
                </c:pt>
                <c:pt idx="315">
                  <c:v>759.39243270365523</c:v>
                </c:pt>
                <c:pt idx="316">
                  <c:v>761.66336242477087</c:v>
                </c:pt>
                <c:pt idx="317">
                  <c:v>764.32456259774222</c:v>
                </c:pt>
                <c:pt idx="318">
                  <c:v>765.07731956051339</c:v>
                </c:pt>
                <c:pt idx="319">
                  <c:v>766.60411134687217</c:v>
                </c:pt>
                <c:pt idx="320">
                  <c:v>767.36874436750384</c:v>
                </c:pt>
                <c:pt idx="321">
                  <c:v>769.34558179779754</c:v>
                </c:pt>
                <c:pt idx="322">
                  <c:v>771.39862968123612</c:v>
                </c:pt>
                <c:pt idx="323">
                  <c:v>772.93290178076177</c:v>
                </c:pt>
                <c:pt idx="324">
                  <c:v>775.1991835515679</c:v>
                </c:pt>
                <c:pt idx="325">
                  <c:v>776.71974358817283</c:v>
                </c:pt>
                <c:pt idx="326">
                  <c:v>777.46140726802514</c:v>
                </c:pt>
                <c:pt idx="327">
                  <c:v>778.98105059910165</c:v>
                </c:pt>
                <c:pt idx="328">
                  <c:v>779.7598547386707</c:v>
                </c:pt>
                <c:pt idx="329">
                  <c:v>782.56071585345489</c:v>
                </c:pt>
                <c:pt idx="330">
                  <c:v>783.84897399469889</c:v>
                </c:pt>
                <c:pt idx="331">
                  <c:v>785.38256600790032</c:v>
                </c:pt>
                <c:pt idx="332">
                  <c:v>789.92379344081428</c:v>
                </c:pt>
                <c:pt idx="333">
                  <c:v>792.21508723460806</c:v>
                </c:pt>
                <c:pt idx="334">
                  <c:v>792.97972025523973</c:v>
                </c:pt>
                <c:pt idx="335">
                  <c:v>795.27646251499925</c:v>
                </c:pt>
                <c:pt idx="336">
                  <c:v>800.6546363448507</c:v>
                </c:pt>
                <c:pt idx="337">
                  <c:v>801.39630002470301</c:v>
                </c:pt>
                <c:pt idx="338">
                  <c:v>808.29384744148024</c:v>
                </c:pt>
                <c:pt idx="339">
                  <c:v>810.59058970123976</c:v>
                </c:pt>
                <c:pt idx="340">
                  <c:v>812.09591563903234</c:v>
                </c:pt>
                <c:pt idx="341">
                  <c:v>812.85194130140121</c:v>
                </c:pt>
                <c:pt idx="342">
                  <c:v>819.48885537100477</c:v>
                </c:pt>
                <c:pt idx="343">
                  <c:v>826.15601234544681</c:v>
                </c:pt>
                <c:pt idx="344">
                  <c:v>828.16190159866574</c:v>
                </c:pt>
                <c:pt idx="345">
                  <c:v>831.69770254586285</c:v>
                </c:pt>
                <c:pt idx="346">
                  <c:v>833.21933412538556</c:v>
                </c:pt>
                <c:pt idx="347">
                  <c:v>835.49026384650119</c:v>
                </c:pt>
                <c:pt idx="348">
                  <c:v>838.15146401947254</c:v>
                </c:pt>
                <c:pt idx="349">
                  <c:v>838.90422098224371</c:v>
                </c:pt>
                <c:pt idx="350">
                  <c:v>840.4310127686025</c:v>
                </c:pt>
                <c:pt idx="351">
                  <c:v>841.19564578923416</c:v>
                </c:pt>
                <c:pt idx="352">
                  <c:v>843.17248321952786</c:v>
                </c:pt>
                <c:pt idx="353">
                  <c:v>845.22553110296644</c:v>
                </c:pt>
                <c:pt idx="354">
                  <c:v>846.75980320249209</c:v>
                </c:pt>
                <c:pt idx="355">
                  <c:v>849.02608497329823</c:v>
                </c:pt>
                <c:pt idx="356">
                  <c:v>850.54664500990316</c:v>
                </c:pt>
                <c:pt idx="357">
                  <c:v>851.28830868975547</c:v>
                </c:pt>
                <c:pt idx="358">
                  <c:v>852.80795202083198</c:v>
                </c:pt>
                <c:pt idx="359">
                  <c:v>853.58675616040102</c:v>
                </c:pt>
                <c:pt idx="360">
                  <c:v>856.38761727518522</c:v>
                </c:pt>
                <c:pt idx="361">
                  <c:v>857.67587541642922</c:v>
                </c:pt>
                <c:pt idx="362">
                  <c:v>859.20946742963065</c:v>
                </c:pt>
                <c:pt idx="363">
                  <c:v>863.75069486254461</c:v>
                </c:pt>
                <c:pt idx="364">
                  <c:v>866.04198865633839</c:v>
                </c:pt>
                <c:pt idx="365">
                  <c:v>866.80662167697005</c:v>
                </c:pt>
                <c:pt idx="366">
                  <c:v>869.10336393672958</c:v>
                </c:pt>
                <c:pt idx="367">
                  <c:v>874.48153776658103</c:v>
                </c:pt>
                <c:pt idx="368">
                  <c:v>875.22320144643334</c:v>
                </c:pt>
                <c:pt idx="369">
                  <c:v>882.12074886321057</c:v>
                </c:pt>
                <c:pt idx="370">
                  <c:v>884.41749112297009</c:v>
                </c:pt>
                <c:pt idx="371">
                  <c:v>885.92281706076267</c:v>
                </c:pt>
              </c:numCache>
            </c:numRef>
          </c:val>
          <c:extLst xmlns:c16r2="http://schemas.microsoft.com/office/drawing/2015/06/chart">
            <c:ext xmlns:c16="http://schemas.microsoft.com/office/drawing/2014/chart" uri="{C3380CC4-5D6E-409C-BE32-E72D297353CC}">
              <c16:uniqueId val="{00000000-1A6E-4BFF-AFE9-7AA1A05AFD10}"/>
            </c:ext>
          </c:extLst>
        </c:ser>
        <c:dLbls/>
        <c:marker val="1"/>
        <c:axId val="94357376"/>
        <c:axId val="94358912"/>
      </c:lineChart>
      <c:catAx>
        <c:axId val="94357376"/>
        <c:scaling>
          <c:orientation val="minMax"/>
        </c:scaling>
        <c:axPos val="b"/>
        <c:majorTickMark val="none"/>
        <c:tickLblPos val="nextTo"/>
        <c:crossAx val="94358912"/>
        <c:crosses val="autoZero"/>
        <c:auto val="1"/>
        <c:lblAlgn val="ctr"/>
        <c:lblOffset val="100"/>
      </c:catAx>
      <c:valAx>
        <c:axId val="94358912"/>
        <c:scaling>
          <c:orientation val="minMax"/>
        </c:scaling>
        <c:axPos val="l"/>
        <c:majorGridlines/>
        <c:title>
          <c:tx>
            <c:rich>
              <a:bodyPr/>
              <a:lstStyle/>
              <a:p>
                <a:pPr>
                  <a:defRPr/>
                </a:pPr>
                <a:r>
                  <a:rPr lang="en-US"/>
                  <a:t>Cumulative Payment</a:t>
                </a:r>
              </a:p>
            </c:rich>
          </c:tx>
          <c:layout/>
        </c:title>
        <c:numFmt formatCode="&quot;$&quot;#,##0.00" sourceLinked="1"/>
        <c:majorTickMark val="none"/>
        <c:tickLblPos val="nextTo"/>
        <c:crossAx val="94357376"/>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Day of Week Notes Pay</a:t>
            </a:r>
          </a:p>
        </c:rich>
      </c:tx>
      <c:layout/>
    </c:title>
    <c:plotArea>
      <c:layout/>
      <c:barChart>
        <c:barDir val="col"/>
        <c:grouping val="clustered"/>
        <c:ser>
          <c:idx val="0"/>
          <c:order val="0"/>
          <c:cat>
            <c:strRef>
              <c:f>'P2P Notes'!$I$34:$I$40</c:f>
              <c:strCache>
                <c:ptCount val="7"/>
                <c:pt idx="0">
                  <c:v>Sun</c:v>
                </c:pt>
                <c:pt idx="1">
                  <c:v>Mon</c:v>
                </c:pt>
                <c:pt idx="2">
                  <c:v>Tues</c:v>
                </c:pt>
                <c:pt idx="3">
                  <c:v>Wed</c:v>
                </c:pt>
                <c:pt idx="4">
                  <c:v>Thurs</c:v>
                </c:pt>
                <c:pt idx="5">
                  <c:v>Fri</c:v>
                </c:pt>
                <c:pt idx="6">
                  <c:v>Sat</c:v>
                </c:pt>
              </c:strCache>
            </c:strRef>
          </c:cat>
          <c:val>
            <c:numRef>
              <c:f>'P2P Notes'!$J$34:$J$40</c:f>
              <c:numCache>
                <c:formatCode>#,##0</c:formatCode>
                <c:ptCount val="7"/>
                <c:pt idx="0">
                  <c:v>0</c:v>
                </c:pt>
                <c:pt idx="1">
                  <c:v>7</c:v>
                </c:pt>
                <c:pt idx="2">
                  <c:v>29</c:v>
                </c:pt>
                <c:pt idx="3">
                  <c:v>16</c:v>
                </c:pt>
                <c:pt idx="4">
                  <c:v>23</c:v>
                </c:pt>
                <c:pt idx="5">
                  <c:v>26</c:v>
                </c:pt>
                <c:pt idx="6">
                  <c:v>0</c:v>
                </c:pt>
              </c:numCache>
            </c:numRef>
          </c:val>
          <c:extLst xmlns:c16r2="http://schemas.microsoft.com/office/drawing/2015/06/chart">
            <c:ext xmlns:c16="http://schemas.microsoft.com/office/drawing/2014/chart" uri="{C3380CC4-5D6E-409C-BE32-E72D297353CC}">
              <c16:uniqueId val="{00000000-19DD-415A-B81D-60189288CB0D}"/>
            </c:ext>
          </c:extLst>
        </c:ser>
        <c:dLbls/>
        <c:gapWidth val="0"/>
        <c:axId val="94220288"/>
        <c:axId val="94222208"/>
      </c:barChart>
      <c:catAx>
        <c:axId val="94220288"/>
        <c:scaling>
          <c:orientation val="minMax"/>
        </c:scaling>
        <c:axPos val="b"/>
        <c:title>
          <c:tx>
            <c:rich>
              <a:bodyPr/>
              <a:lstStyle/>
              <a:p>
                <a:pPr>
                  <a:defRPr/>
                </a:pPr>
                <a:r>
                  <a:rPr lang="en-US"/>
                  <a:t>Day</a:t>
                </a:r>
                <a:r>
                  <a:rPr lang="en-US" baseline="0"/>
                  <a:t> of Month</a:t>
                </a:r>
                <a:endParaRPr lang="en-US"/>
              </a:p>
            </c:rich>
          </c:tx>
          <c:layout/>
        </c:title>
        <c:numFmt formatCode="General" sourceLinked="1"/>
        <c:majorTickMark val="none"/>
        <c:tickLblPos val="nextTo"/>
        <c:crossAx val="94222208"/>
        <c:crosses val="autoZero"/>
        <c:auto val="1"/>
        <c:lblAlgn val="ctr"/>
        <c:lblOffset val="100"/>
      </c:catAx>
      <c:valAx>
        <c:axId val="94222208"/>
        <c:scaling>
          <c:orientation val="minMax"/>
        </c:scaling>
        <c:axPos val="l"/>
        <c:title>
          <c:tx>
            <c:rich>
              <a:bodyPr/>
              <a:lstStyle/>
              <a:p>
                <a:pPr>
                  <a:defRPr/>
                </a:pPr>
                <a:r>
                  <a:rPr lang="en-US"/>
                  <a:t>Number of Notes Paying</a:t>
                </a:r>
              </a:p>
            </c:rich>
          </c:tx>
          <c:layout/>
        </c:title>
        <c:numFmt formatCode="#,##0" sourceLinked="1"/>
        <c:tickLblPos val="nextTo"/>
        <c:crossAx val="9422028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Day of Week Notes Pay</a:t>
            </a:r>
          </a:p>
        </c:rich>
      </c:tx>
      <c:layout/>
    </c:title>
    <c:plotArea>
      <c:layout/>
      <c:barChart>
        <c:barDir val="col"/>
        <c:grouping val="clustered"/>
        <c:ser>
          <c:idx val="0"/>
          <c:order val="0"/>
          <c:cat>
            <c:strRef>
              <c:f>'P2P Notes'!$I$34:$I$40</c:f>
              <c:strCache>
                <c:ptCount val="7"/>
                <c:pt idx="0">
                  <c:v>Sun</c:v>
                </c:pt>
                <c:pt idx="1">
                  <c:v>Mon</c:v>
                </c:pt>
                <c:pt idx="2">
                  <c:v>Tues</c:v>
                </c:pt>
                <c:pt idx="3">
                  <c:v>Wed</c:v>
                </c:pt>
                <c:pt idx="4">
                  <c:v>Thurs</c:v>
                </c:pt>
                <c:pt idx="5">
                  <c:v>Fri</c:v>
                </c:pt>
                <c:pt idx="6">
                  <c:v>Sat</c:v>
                </c:pt>
              </c:strCache>
            </c:strRef>
          </c:cat>
          <c:val>
            <c:numRef>
              <c:f>'P2P Notes'!$K$34:$K$40</c:f>
              <c:numCache>
                <c:formatCode>"$"#,##0.00</c:formatCode>
                <c:ptCount val="7"/>
                <c:pt idx="0">
                  <c:v>0</c:v>
                </c:pt>
                <c:pt idx="1">
                  <c:v>5.1048605212891189</c:v>
                </c:pt>
                <c:pt idx="2">
                  <c:v>21.055593041494991</c:v>
                </c:pt>
                <c:pt idx="3">
                  <c:v>11.379190159425526</c:v>
                </c:pt>
                <c:pt idx="4">
                  <c:v>17.098444135783179</c:v>
                </c:pt>
                <c:pt idx="5">
                  <c:v>19.18881356373744</c:v>
                </c:pt>
                <c:pt idx="6">
                  <c:v>0</c:v>
                </c:pt>
              </c:numCache>
            </c:numRef>
          </c:val>
          <c:extLst xmlns:c16r2="http://schemas.microsoft.com/office/drawing/2015/06/chart">
            <c:ext xmlns:c16="http://schemas.microsoft.com/office/drawing/2014/chart" uri="{C3380CC4-5D6E-409C-BE32-E72D297353CC}">
              <c16:uniqueId val="{00000000-3BB9-4836-808D-09F1B0BC34AE}"/>
            </c:ext>
          </c:extLst>
        </c:ser>
        <c:dLbls/>
        <c:gapWidth val="0"/>
        <c:axId val="94382336"/>
        <c:axId val="94400896"/>
      </c:barChart>
      <c:catAx>
        <c:axId val="94382336"/>
        <c:scaling>
          <c:orientation val="minMax"/>
        </c:scaling>
        <c:axPos val="b"/>
        <c:title>
          <c:tx>
            <c:rich>
              <a:bodyPr/>
              <a:lstStyle/>
              <a:p>
                <a:pPr>
                  <a:defRPr/>
                </a:pPr>
                <a:r>
                  <a:rPr lang="en-US"/>
                  <a:t>Day</a:t>
                </a:r>
                <a:r>
                  <a:rPr lang="en-US" baseline="0"/>
                  <a:t> of Month</a:t>
                </a:r>
                <a:endParaRPr lang="en-US"/>
              </a:p>
            </c:rich>
          </c:tx>
          <c:layout/>
        </c:title>
        <c:numFmt formatCode="General" sourceLinked="1"/>
        <c:majorTickMark val="none"/>
        <c:tickLblPos val="nextTo"/>
        <c:crossAx val="94400896"/>
        <c:crosses val="autoZero"/>
        <c:auto val="1"/>
        <c:lblAlgn val="ctr"/>
        <c:lblOffset val="100"/>
      </c:catAx>
      <c:valAx>
        <c:axId val="94400896"/>
        <c:scaling>
          <c:orientation val="minMax"/>
        </c:scaling>
        <c:axPos val="l"/>
        <c:title>
          <c:tx>
            <c:rich>
              <a:bodyPr/>
              <a:lstStyle/>
              <a:p>
                <a:pPr>
                  <a:defRPr/>
                </a:pPr>
                <a:r>
                  <a:rPr lang="en-US"/>
                  <a:t>Payment</a:t>
                </a:r>
                <a:r>
                  <a:rPr lang="en-US" baseline="0"/>
                  <a:t> by Day</a:t>
                </a:r>
                <a:endParaRPr lang="en-US"/>
              </a:p>
            </c:rich>
          </c:tx>
          <c:layout/>
        </c:title>
        <c:numFmt formatCode="&quot;$&quot;#,##0.00" sourceLinked="1"/>
        <c:tickLblPos val="nextTo"/>
        <c:crossAx val="94382336"/>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Diffs of Futures from Current Spot</a:t>
            </a:r>
          </a:p>
          <a:p>
            <a:pPr>
              <a:defRPr/>
            </a:pPr>
            <a:r>
              <a:rPr lang="en-US"/>
              <a:t>Gold</a:t>
            </a:r>
          </a:p>
        </c:rich>
      </c:tx>
      <c:layout/>
    </c:title>
    <c:plotArea>
      <c:layout/>
      <c:scatterChart>
        <c:scatterStyle val="lineMarker"/>
        <c:ser>
          <c:idx val="0"/>
          <c:order val="0"/>
          <c:spPr>
            <a:ln w="28575">
              <a:noFill/>
            </a:ln>
          </c:spPr>
          <c:trendline>
            <c:trendlineType val="linear"/>
            <c:dispRSqr val="1"/>
            <c:dispEq val="1"/>
            <c:trendlineLbl>
              <c:layout>
                <c:manualLayout>
                  <c:x val="0.11690100930005683"/>
                  <c:y val="-0.21857356298434838"/>
                </c:manualLayout>
              </c:layout>
              <c:numFmt formatCode="General" sourceLinked="0"/>
            </c:trendlineLbl>
          </c:trendline>
          <c:yVal>
            <c:numRef>
              <c:f>Metals!$Q$82:$Q$87</c:f>
              <c:numCache>
                <c:formatCode>"$"#,##0.00</c:formatCode>
                <c:ptCount val="6"/>
                <c:pt idx="0">
                  <c:v>-11.099999999999909</c:v>
                </c:pt>
                <c:pt idx="1">
                  <c:v>12</c:v>
                </c:pt>
                <c:pt idx="2">
                  <c:v>35</c:v>
                </c:pt>
                <c:pt idx="3">
                  <c:v>58.800000000000182</c:v>
                </c:pt>
                <c:pt idx="4">
                  <c:v>84.800000000000182</c:v>
                </c:pt>
                <c:pt idx="5">
                  <c:v>98.800000000000182</c:v>
                </c:pt>
              </c:numCache>
            </c:numRef>
          </c:yVal>
          <c:extLst xmlns:c16r2="http://schemas.microsoft.com/office/drawing/2015/06/chart">
            <c:ext xmlns:c16="http://schemas.microsoft.com/office/drawing/2014/chart" uri="{C3380CC4-5D6E-409C-BE32-E72D297353CC}">
              <c16:uniqueId val="{00000000-3347-4E06-BDB8-5A4B2BF12F4A}"/>
            </c:ext>
          </c:extLst>
        </c:ser>
        <c:dLbls/>
        <c:axId val="208541952"/>
        <c:axId val="208572800"/>
      </c:scatterChart>
      <c:valAx>
        <c:axId val="208541952"/>
        <c:scaling>
          <c:orientation val="minMax"/>
        </c:scaling>
        <c:axPos val="b"/>
        <c:title>
          <c:tx>
            <c:rich>
              <a:bodyPr/>
              <a:lstStyle/>
              <a:p>
                <a:pPr>
                  <a:defRPr/>
                </a:pPr>
                <a:r>
                  <a:rPr lang="en-US"/>
                  <a:t>Years from Now</a:t>
                </a:r>
              </a:p>
            </c:rich>
          </c:tx>
          <c:layout/>
        </c:title>
        <c:majorTickMark val="none"/>
        <c:tickLblPos val="nextTo"/>
        <c:crossAx val="208572800"/>
        <c:crosses val="autoZero"/>
        <c:crossBetween val="midCat"/>
      </c:valAx>
      <c:valAx>
        <c:axId val="208572800"/>
        <c:scaling>
          <c:orientation val="minMax"/>
        </c:scaling>
        <c:axPos val="l"/>
        <c:majorGridlines/>
        <c:numFmt formatCode="&quot;$&quot;#,##0.00" sourceLinked="1"/>
        <c:majorTickMark val="none"/>
        <c:tickLblPos val="nextTo"/>
        <c:crossAx val="208541952"/>
        <c:crosses val="autoZero"/>
        <c:crossBetween val="midCat"/>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Diffs of Futures from Current Spot</a:t>
            </a:r>
          </a:p>
          <a:p>
            <a:pPr>
              <a:defRPr/>
            </a:pPr>
            <a:r>
              <a:rPr lang="en-US"/>
              <a:t>Silver</a:t>
            </a:r>
          </a:p>
        </c:rich>
      </c:tx>
      <c:layout/>
    </c:title>
    <c:plotArea>
      <c:layout/>
      <c:scatterChart>
        <c:scatterStyle val="lineMarker"/>
        <c:ser>
          <c:idx val="0"/>
          <c:order val="0"/>
          <c:spPr>
            <a:ln w="28575">
              <a:noFill/>
            </a:ln>
          </c:spPr>
          <c:trendline>
            <c:trendlineType val="linear"/>
          </c:trendline>
          <c:trendline>
            <c:trendlineType val="linear"/>
            <c:dispRSqr val="1"/>
            <c:dispEq val="1"/>
            <c:trendlineLbl>
              <c:layout>
                <c:manualLayout>
                  <c:x val="0.13495798486310509"/>
                  <c:y val="-0.20896648952452823"/>
                </c:manualLayout>
              </c:layout>
              <c:numFmt formatCode="General" sourceLinked="0"/>
            </c:trendlineLbl>
          </c:trendline>
          <c:yVal>
            <c:numRef>
              <c:f>Metals!$R$82:$R$86</c:f>
              <c:numCache>
                <c:formatCode>"$"#,##0.00</c:formatCode>
                <c:ptCount val="5"/>
                <c:pt idx="0">
                  <c:v>-3.9999999999999147E-2</c:v>
                </c:pt>
                <c:pt idx="1">
                  <c:v>0.23399999999999821</c:v>
                </c:pt>
                <c:pt idx="2">
                  <c:v>0.59699999999999775</c:v>
                </c:pt>
                <c:pt idx="3">
                  <c:v>0.95899999999999963</c:v>
                </c:pt>
                <c:pt idx="4">
                  <c:v>1.1319999999999979</c:v>
                </c:pt>
              </c:numCache>
            </c:numRef>
          </c:yVal>
          <c:extLst xmlns:c16r2="http://schemas.microsoft.com/office/drawing/2015/06/chart">
            <c:ext xmlns:c16="http://schemas.microsoft.com/office/drawing/2014/chart" uri="{C3380CC4-5D6E-409C-BE32-E72D297353CC}">
              <c16:uniqueId val="{00000000-7E58-4FB1-96F5-2436C43F0D8E}"/>
            </c:ext>
          </c:extLst>
        </c:ser>
        <c:dLbls/>
        <c:axId val="94439296"/>
        <c:axId val="94445568"/>
      </c:scatterChart>
      <c:valAx>
        <c:axId val="94439296"/>
        <c:scaling>
          <c:orientation val="minMax"/>
        </c:scaling>
        <c:axPos val="b"/>
        <c:title>
          <c:tx>
            <c:rich>
              <a:bodyPr/>
              <a:lstStyle/>
              <a:p>
                <a:pPr>
                  <a:defRPr/>
                </a:pPr>
                <a:r>
                  <a:rPr lang="en-US"/>
                  <a:t>Years from Now</a:t>
                </a:r>
              </a:p>
            </c:rich>
          </c:tx>
          <c:layout/>
        </c:title>
        <c:majorTickMark val="none"/>
        <c:tickLblPos val="nextTo"/>
        <c:crossAx val="94445568"/>
        <c:crosses val="autoZero"/>
        <c:crossBetween val="midCat"/>
      </c:valAx>
      <c:valAx>
        <c:axId val="94445568"/>
        <c:scaling>
          <c:orientation val="minMax"/>
        </c:scaling>
        <c:axPos val="l"/>
        <c:majorGridlines/>
        <c:numFmt formatCode="&quot;$&quot;#,##0.00" sourceLinked="1"/>
        <c:majorTickMark val="none"/>
        <c:tickLblPos val="nextTo"/>
        <c:crossAx val="94439296"/>
        <c:crosses val="autoZero"/>
        <c:crossBetween val="midCat"/>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Gain</a:t>
            </a:r>
            <a:r>
              <a:rPr lang="en-US" baseline="0"/>
              <a:t> of Tbills</a:t>
            </a:r>
            <a:endParaRPr lang="en-US"/>
          </a:p>
        </c:rich>
      </c:tx>
      <c:layout/>
    </c:title>
    <c:plotArea>
      <c:layout/>
      <c:lineChart>
        <c:grouping val="standard"/>
        <c:ser>
          <c:idx val="0"/>
          <c:order val="0"/>
          <c:tx>
            <c:v>Gain at Maturity (new)</c:v>
          </c:tx>
          <c:cat>
            <c:strRef>
              <c:f>Treasuries!$D$70:$D$73</c:f>
              <c:strCache>
                <c:ptCount val="4"/>
                <c:pt idx="0">
                  <c:v>28 days (month)</c:v>
                </c:pt>
                <c:pt idx="1">
                  <c:v>13 weeks (qtr)</c:v>
                </c:pt>
                <c:pt idx="2">
                  <c:v>26 weeks (half year)</c:v>
                </c:pt>
                <c:pt idx="3">
                  <c:v>52 weeks (year)</c:v>
                </c:pt>
              </c:strCache>
            </c:strRef>
          </c:cat>
          <c:val>
            <c:numRef>
              <c:f>Treasuries!$F$70:$F$73</c:f>
              <c:numCache>
                <c:formatCode>"$"#,##0.00</c:formatCode>
                <c:ptCount val="4"/>
                <c:pt idx="0">
                  <c:v>4.0000000000006253E-2</c:v>
                </c:pt>
                <c:pt idx="1">
                  <c:v>0.12999999999999545</c:v>
                </c:pt>
                <c:pt idx="2">
                  <c:v>0.31999999999999318</c:v>
                </c:pt>
                <c:pt idx="3">
                  <c:v>0.81000000000000227</c:v>
                </c:pt>
              </c:numCache>
            </c:numRef>
          </c:val>
          <c:extLst xmlns:c16r2="http://schemas.microsoft.com/office/drawing/2015/06/chart">
            <c:ext xmlns:c16="http://schemas.microsoft.com/office/drawing/2014/chart" uri="{C3380CC4-5D6E-409C-BE32-E72D297353CC}">
              <c16:uniqueId val="{00000000-E2BA-4B95-9DDD-4D9F4E2309D5}"/>
            </c:ext>
          </c:extLst>
        </c:ser>
        <c:ser>
          <c:idx val="1"/>
          <c:order val="1"/>
          <c:tx>
            <c:v>Gain at Maturity with Reinvestments (new)</c:v>
          </c:tx>
          <c:cat>
            <c:strRef>
              <c:f>Treasuries!$D$70:$D$73</c:f>
              <c:strCache>
                <c:ptCount val="4"/>
                <c:pt idx="0">
                  <c:v>28 days (month)</c:v>
                </c:pt>
                <c:pt idx="1">
                  <c:v>13 weeks (qtr)</c:v>
                </c:pt>
                <c:pt idx="2">
                  <c:v>26 weeks (half year)</c:v>
                </c:pt>
                <c:pt idx="3">
                  <c:v>52 weeks (year)</c:v>
                </c:pt>
              </c:strCache>
            </c:strRef>
          </c:cat>
          <c:val>
            <c:numRef>
              <c:f>Treasuries!$H$70:$H$73</c:f>
              <c:numCache>
                <c:formatCode>"$"#,##0.00000</c:formatCode>
                <c:ptCount val="4"/>
                <c:pt idx="0">
                  <c:v>1.0400000000001626</c:v>
                </c:pt>
                <c:pt idx="1">
                  <c:v>1.0399999999999636</c:v>
                </c:pt>
                <c:pt idx="2">
                  <c:v>1.2799999999999727</c:v>
                </c:pt>
                <c:pt idx="3">
                  <c:v>1.6200000000000045</c:v>
                </c:pt>
              </c:numCache>
            </c:numRef>
          </c:val>
          <c:extLst xmlns:c16r2="http://schemas.microsoft.com/office/drawing/2015/06/chart">
            <c:ext xmlns:c16="http://schemas.microsoft.com/office/drawing/2014/chart" uri="{C3380CC4-5D6E-409C-BE32-E72D297353CC}">
              <c16:uniqueId val="{00000001-E2BA-4B95-9DDD-4D9F4E2309D5}"/>
            </c:ext>
          </c:extLst>
        </c:ser>
        <c:dLbls/>
        <c:marker val="1"/>
        <c:axId val="93810688"/>
        <c:axId val="93812224"/>
      </c:lineChart>
      <c:catAx>
        <c:axId val="93810688"/>
        <c:scaling>
          <c:orientation val="minMax"/>
        </c:scaling>
        <c:axPos val="b"/>
        <c:numFmt formatCode="General" sourceLinked="0"/>
        <c:majorTickMark val="none"/>
        <c:tickLblPos val="nextTo"/>
        <c:crossAx val="93812224"/>
        <c:crosses val="autoZero"/>
        <c:auto val="1"/>
        <c:lblAlgn val="ctr"/>
        <c:lblOffset val="100"/>
      </c:catAx>
      <c:valAx>
        <c:axId val="93812224"/>
        <c:scaling>
          <c:orientation val="minMax"/>
        </c:scaling>
        <c:axPos val="l"/>
        <c:majorGridlines/>
        <c:title>
          <c:tx>
            <c:rich>
              <a:bodyPr/>
              <a:lstStyle/>
              <a:p>
                <a:pPr>
                  <a:defRPr/>
                </a:pPr>
                <a:r>
                  <a:rPr lang="en-US"/>
                  <a:t>Gain</a:t>
                </a:r>
              </a:p>
            </c:rich>
          </c:tx>
          <c:layout/>
        </c:title>
        <c:numFmt formatCode="&quot;$&quot;#,##0.00" sourceLinked="1"/>
        <c:majorTickMark val="none"/>
        <c:tickLblPos val="nextTo"/>
        <c:crossAx val="93810688"/>
        <c:crosses val="autoZero"/>
        <c:crossBetween val="between"/>
      </c:valAx>
    </c:plotArea>
    <c:legend>
      <c:legendPos val="r"/>
      <c:layout/>
    </c:legend>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Yield Curve</a:t>
            </a:r>
            <a:r>
              <a:rPr lang="en-US" baseline="0"/>
              <a:t> (from Google)</a:t>
            </a:r>
            <a:endParaRPr lang="en-US"/>
          </a:p>
        </c:rich>
      </c:tx>
      <c:layout/>
    </c:title>
    <c:plotArea>
      <c:layout/>
      <c:lineChart>
        <c:grouping val="standard"/>
        <c:ser>
          <c:idx val="0"/>
          <c:order val="0"/>
          <c:cat>
            <c:strRef>
              <c:f>Treasuries!$J$90:$J$95</c:f>
              <c:strCache>
                <c:ptCount val="6"/>
                <c:pt idx="0">
                  <c:v>3 Month</c:v>
                </c:pt>
                <c:pt idx="1">
                  <c:v>6 Month</c:v>
                </c:pt>
                <c:pt idx="2">
                  <c:v>2 Year</c:v>
                </c:pt>
                <c:pt idx="3">
                  <c:v>5 Year</c:v>
                </c:pt>
                <c:pt idx="4">
                  <c:v>10 Year</c:v>
                </c:pt>
                <c:pt idx="5">
                  <c:v>30 Year</c:v>
                </c:pt>
              </c:strCache>
            </c:strRef>
          </c:cat>
          <c:val>
            <c:numRef>
              <c:f>Treasuries!$K$90:$K$95</c:f>
              <c:numCache>
                <c:formatCode>0.00%</c:formatCode>
                <c:ptCount val="6"/>
                <c:pt idx="0">
                  <c:v>4.5999999999999999E-3</c:v>
                </c:pt>
                <c:pt idx="1">
                  <c:v>5.4000000000000003E-3</c:v>
                </c:pt>
                <c:pt idx="2">
                  <c:v>1.2E-2</c:v>
                </c:pt>
                <c:pt idx="3">
                  <c:v>1.9099999999999999E-2</c:v>
                </c:pt>
                <c:pt idx="4">
                  <c:v>2.47E-2</c:v>
                </c:pt>
                <c:pt idx="5">
                  <c:v>3.09E-2</c:v>
                </c:pt>
              </c:numCache>
            </c:numRef>
          </c:val>
          <c:extLst xmlns:c16r2="http://schemas.microsoft.com/office/drawing/2015/06/chart">
            <c:ext xmlns:c16="http://schemas.microsoft.com/office/drawing/2014/chart" uri="{C3380CC4-5D6E-409C-BE32-E72D297353CC}">
              <c16:uniqueId val="{00000000-BC84-4BF3-8AA5-44AFD5DB2B2D}"/>
            </c:ext>
          </c:extLst>
        </c:ser>
        <c:dLbls/>
        <c:marker val="1"/>
        <c:axId val="93833472"/>
        <c:axId val="93843456"/>
      </c:lineChart>
      <c:catAx>
        <c:axId val="93833472"/>
        <c:scaling>
          <c:orientation val="minMax"/>
        </c:scaling>
        <c:axPos val="b"/>
        <c:numFmt formatCode="General" sourceLinked="0"/>
        <c:majorTickMark val="none"/>
        <c:tickLblPos val="nextTo"/>
        <c:crossAx val="93843456"/>
        <c:crosses val="autoZero"/>
        <c:auto val="1"/>
        <c:lblAlgn val="ctr"/>
        <c:lblOffset val="100"/>
      </c:catAx>
      <c:valAx>
        <c:axId val="93843456"/>
        <c:scaling>
          <c:orientation val="minMax"/>
        </c:scaling>
        <c:axPos val="l"/>
        <c:majorGridlines/>
        <c:title>
          <c:tx>
            <c:rich>
              <a:bodyPr/>
              <a:lstStyle/>
              <a:p>
                <a:pPr>
                  <a:defRPr/>
                </a:pPr>
                <a:r>
                  <a:rPr lang="en-US"/>
                  <a:t>Yield</a:t>
                </a:r>
              </a:p>
            </c:rich>
          </c:tx>
          <c:layout/>
        </c:title>
        <c:numFmt formatCode="0.00%" sourceLinked="1"/>
        <c:majorTickMark val="none"/>
        <c:tickLblPos val="nextTo"/>
        <c:crossAx val="93833472"/>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Yield Curve (w Tbill info)</a:t>
            </a:r>
          </a:p>
        </c:rich>
      </c:tx>
      <c:layout/>
    </c:title>
    <c:plotArea>
      <c:layout/>
      <c:lineChart>
        <c:grouping val="standard"/>
        <c:ser>
          <c:idx val="0"/>
          <c:order val="0"/>
          <c:cat>
            <c:strRef>
              <c:f>Treasuries!$J$121:$J$128</c:f>
              <c:strCache>
                <c:ptCount val="8"/>
                <c:pt idx="0">
                  <c:v>28 days (month)</c:v>
                </c:pt>
                <c:pt idx="1">
                  <c:v>13 weeks (qtr)</c:v>
                </c:pt>
                <c:pt idx="2">
                  <c:v>26 weeks (half year)</c:v>
                </c:pt>
                <c:pt idx="3">
                  <c:v>52 weeks (year)</c:v>
                </c:pt>
                <c:pt idx="4">
                  <c:v>2 Year</c:v>
                </c:pt>
                <c:pt idx="5">
                  <c:v>5 Year</c:v>
                </c:pt>
                <c:pt idx="6">
                  <c:v>10 Year</c:v>
                </c:pt>
                <c:pt idx="7">
                  <c:v>30 Year</c:v>
                </c:pt>
              </c:strCache>
            </c:strRef>
          </c:cat>
          <c:val>
            <c:numRef>
              <c:f>Treasuries!$L$121:$L$128</c:f>
              <c:numCache>
                <c:formatCode>#,##0.00_);\(#,##0.00\)</c:formatCode>
                <c:ptCount val="8"/>
                <c:pt idx="0">
                  <c:v>1</c:v>
                </c:pt>
                <c:pt idx="1">
                  <c:v>3.2499999999993787</c:v>
                </c:pt>
                <c:pt idx="2">
                  <c:v>7.9999999999985789</c:v>
                </c:pt>
                <c:pt idx="3">
                  <c:v>20.249999999996891</c:v>
                </c:pt>
                <c:pt idx="4">
                  <c:v>29.99999999999531</c:v>
                </c:pt>
                <c:pt idx="5">
                  <c:v>47.749999999992532</c:v>
                </c:pt>
                <c:pt idx="6">
                  <c:v>61.749999999990351</c:v>
                </c:pt>
                <c:pt idx="7">
                  <c:v>77.249999999987921</c:v>
                </c:pt>
              </c:numCache>
            </c:numRef>
          </c:val>
          <c:extLst xmlns:c16r2="http://schemas.microsoft.com/office/drawing/2015/06/chart">
            <c:ext xmlns:c16="http://schemas.microsoft.com/office/drawing/2014/chart" uri="{C3380CC4-5D6E-409C-BE32-E72D297353CC}">
              <c16:uniqueId val="{00000000-40BB-4ABA-94E0-26D164D94384}"/>
            </c:ext>
          </c:extLst>
        </c:ser>
        <c:dLbls/>
        <c:marker val="1"/>
        <c:axId val="93467008"/>
        <c:axId val="93468544"/>
      </c:lineChart>
      <c:catAx>
        <c:axId val="93467008"/>
        <c:scaling>
          <c:orientation val="minMax"/>
        </c:scaling>
        <c:axPos val="b"/>
        <c:numFmt formatCode="General" sourceLinked="0"/>
        <c:majorTickMark val="none"/>
        <c:tickLblPos val="nextTo"/>
        <c:crossAx val="93468544"/>
        <c:crosses val="autoZero"/>
        <c:auto val="1"/>
        <c:lblAlgn val="ctr"/>
        <c:lblOffset val="100"/>
      </c:catAx>
      <c:valAx>
        <c:axId val="93468544"/>
        <c:scaling>
          <c:orientation val="minMax"/>
        </c:scaling>
        <c:axPos val="l"/>
        <c:majorGridlines/>
        <c:title>
          <c:tx>
            <c:rich>
              <a:bodyPr/>
              <a:lstStyle/>
              <a:p>
                <a:pPr>
                  <a:defRPr/>
                </a:pPr>
                <a:r>
                  <a:rPr lang="en-US"/>
                  <a:t>Yield</a:t>
                </a:r>
              </a:p>
            </c:rich>
          </c:tx>
          <c:layout/>
        </c:title>
        <c:numFmt formatCode="#,##0.00_);\(#,##0.00\)" sourceLinked="1"/>
        <c:majorTickMark val="none"/>
        <c:tickLblPos val="nextTo"/>
        <c:crossAx val="9346700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Gift Contributions to Reduce Debt Held by the Public</a:t>
            </a:r>
          </a:p>
        </c:rich>
      </c:tx>
    </c:title>
    <c:plotArea>
      <c:layout/>
      <c:lineChart>
        <c:grouping val="standard"/>
        <c:ser>
          <c:idx val="0"/>
          <c:order val="0"/>
          <c:trendline>
            <c:trendlineType val="linear"/>
            <c:dispRSqr val="1"/>
            <c:dispEq val="1"/>
            <c:trendlineLbl>
              <c:layout>
                <c:manualLayout>
                  <c:x val="-0.55591151077072742"/>
                  <c:y val="-0.29809275675612279"/>
                </c:manualLayout>
              </c:layout>
              <c:numFmt formatCode="General" sourceLinked="0"/>
            </c:trendlineLbl>
          </c:trendline>
          <c:cat>
            <c:numRef>
              <c:f>Treasuries!$GD$28:$GD$48</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Treasuries!$GF$28:$GF$48</c:f>
              <c:numCache>
                <c:formatCode>"$"#,##0.00_);[Red]\("$"#,##0.00\)</c:formatCode>
                <c:ptCount val="21"/>
                <c:pt idx="0">
                  <c:v>1985175.1</c:v>
                </c:pt>
                <c:pt idx="1">
                  <c:v>955897.15</c:v>
                </c:pt>
                <c:pt idx="2">
                  <c:v>1535541.02</c:v>
                </c:pt>
                <c:pt idx="3">
                  <c:v>1457510.59</c:v>
                </c:pt>
                <c:pt idx="4">
                  <c:v>1868891.93</c:v>
                </c:pt>
                <c:pt idx="5">
                  <c:v>1645082.28</c:v>
                </c:pt>
                <c:pt idx="6">
                  <c:v>744675.06</c:v>
                </c:pt>
                <c:pt idx="7">
                  <c:v>1277423.3999999999</c:v>
                </c:pt>
                <c:pt idx="8">
                  <c:v>664911.25</c:v>
                </c:pt>
                <c:pt idx="9">
                  <c:v>1455541.65</c:v>
                </c:pt>
                <c:pt idx="10">
                  <c:v>1646209.41</c:v>
                </c:pt>
                <c:pt idx="11">
                  <c:v>2624862.42</c:v>
                </c:pt>
                <c:pt idx="12">
                  <c:v>2189358.89</c:v>
                </c:pt>
                <c:pt idx="13">
                  <c:v>3063057.05</c:v>
                </c:pt>
                <c:pt idx="14">
                  <c:v>2840466.75</c:v>
                </c:pt>
                <c:pt idx="15">
                  <c:v>3277369.23</c:v>
                </c:pt>
                <c:pt idx="16">
                  <c:v>7749618.2699999996</c:v>
                </c:pt>
                <c:pt idx="17">
                  <c:v>1763754.56</c:v>
                </c:pt>
                <c:pt idx="18">
                  <c:v>5103452.84</c:v>
                </c:pt>
                <c:pt idx="19">
                  <c:v>3864661.38</c:v>
                </c:pt>
                <c:pt idx="20">
                  <c:v>2469666.731567164</c:v>
                </c:pt>
              </c:numCache>
            </c:numRef>
          </c:val>
          <c:extLst xmlns:c16r2="http://schemas.microsoft.com/office/drawing/2015/06/chart">
            <c:ext xmlns:c16="http://schemas.microsoft.com/office/drawing/2014/chart" uri="{C3380CC4-5D6E-409C-BE32-E72D297353CC}">
              <c16:uniqueId val="{00000000-4657-4486-9B33-874B580F68CC}"/>
            </c:ext>
          </c:extLst>
        </c:ser>
        <c:dLbls/>
        <c:marker val="1"/>
        <c:axId val="93929472"/>
        <c:axId val="93931008"/>
      </c:lineChart>
      <c:catAx>
        <c:axId val="93929472"/>
        <c:scaling>
          <c:orientation val="minMax"/>
        </c:scaling>
        <c:axPos val="b"/>
        <c:numFmt formatCode="General" sourceLinked="1"/>
        <c:majorTickMark val="none"/>
        <c:tickLblPos val="nextTo"/>
        <c:crossAx val="93931008"/>
        <c:crosses val="autoZero"/>
        <c:auto val="1"/>
        <c:lblAlgn val="ctr"/>
        <c:lblOffset val="100"/>
      </c:catAx>
      <c:valAx>
        <c:axId val="93931008"/>
        <c:scaling>
          <c:orientation val="minMax"/>
        </c:scaling>
        <c:axPos val="l"/>
        <c:majorGridlines/>
        <c:numFmt formatCode="&quot;$&quot;#,##0.00_);[Red]\(&quot;$&quot;#,##0.00\)" sourceLinked="1"/>
        <c:majorTickMark val="none"/>
        <c:tickLblPos val="nextTo"/>
        <c:crossAx val="93929472"/>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Cumulative Payments Over Year</a:t>
            </a:r>
          </a:p>
        </c:rich>
      </c:tx>
      <c:layout/>
    </c:title>
    <c:plotArea>
      <c:layout/>
      <c:lineChart>
        <c:grouping val="standard"/>
        <c:ser>
          <c:idx val="0"/>
          <c:order val="0"/>
          <c:tx>
            <c:strRef>
              <c:f>Treasuries!$J$41:$J$52</c:f>
              <c:strCache>
                <c:ptCount val="1"/>
                <c:pt idx="0">
                  <c:v>Jan Feb Mar Apr May Jun Jul Aug Sep Oct Nov Dec</c:v>
                </c:pt>
              </c:strCache>
            </c:strRef>
          </c:tx>
          <c:trendline>
            <c:trendlineType val="linear"/>
            <c:dispRSqr val="1"/>
            <c:dispEq val="1"/>
            <c:trendlineLbl>
              <c:layout>
                <c:manualLayout>
                  <c:x val="6.1725822733696804E-3"/>
                  <c:y val="-0.16011013637130331"/>
                </c:manualLayout>
              </c:layout>
              <c:numFmt formatCode="General" sourceLinked="0"/>
            </c:trendlineLbl>
          </c:trendline>
          <c:cat>
            <c:strRef>
              <c:f>Treasuries!$J$41:$J$52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Treasuries!$N$41:$N$52</c:f>
              <c:numCache>
                <c:formatCode>"$"#,##0.00</c:formatCode>
                <c:ptCount val="12"/>
                <c:pt idx="0">
                  <c:v>6.3183499999999997</c:v>
                </c:pt>
                <c:pt idx="1">
                  <c:v>72.533131249999997</c:v>
                </c:pt>
                <c:pt idx="2">
                  <c:v>76.408131249999997</c:v>
                </c:pt>
                <c:pt idx="3">
                  <c:v>77.540075000000002</c:v>
                </c:pt>
                <c:pt idx="4">
                  <c:v>154.165075</c:v>
                </c:pt>
                <c:pt idx="5">
                  <c:v>156.790075</c:v>
                </c:pt>
                <c:pt idx="6">
                  <c:v>163.10842500000001</c:v>
                </c:pt>
                <c:pt idx="7">
                  <c:v>229.32320625</c:v>
                </c:pt>
                <c:pt idx="8">
                  <c:v>233.19820625</c:v>
                </c:pt>
                <c:pt idx="9">
                  <c:v>234.33015</c:v>
                </c:pt>
                <c:pt idx="10">
                  <c:v>310.95515</c:v>
                </c:pt>
                <c:pt idx="11">
                  <c:v>313.58015</c:v>
                </c:pt>
              </c:numCache>
            </c:numRef>
          </c:val>
          <c:extLst xmlns:c16r2="http://schemas.microsoft.com/office/drawing/2015/06/chart">
            <c:ext xmlns:c16="http://schemas.microsoft.com/office/drawing/2014/chart" uri="{C3380CC4-5D6E-409C-BE32-E72D297353CC}">
              <c16:uniqueId val="{00000000-1B36-40D7-9D81-3AAC1824F6F7}"/>
            </c:ext>
          </c:extLst>
        </c:ser>
        <c:dLbls/>
        <c:marker val="1"/>
        <c:axId val="93955584"/>
        <c:axId val="93957120"/>
      </c:lineChart>
      <c:catAx>
        <c:axId val="93955584"/>
        <c:scaling>
          <c:orientation val="minMax"/>
        </c:scaling>
        <c:axPos val="b"/>
        <c:numFmt formatCode="General" sourceLinked="0"/>
        <c:majorTickMark val="none"/>
        <c:tickLblPos val="nextTo"/>
        <c:crossAx val="93957120"/>
        <c:crosses val="autoZero"/>
        <c:auto val="1"/>
        <c:lblAlgn val="ctr"/>
        <c:lblOffset val="100"/>
      </c:catAx>
      <c:valAx>
        <c:axId val="93957120"/>
        <c:scaling>
          <c:orientation val="minMax"/>
        </c:scaling>
        <c:axPos val="l"/>
        <c:majorGridlines/>
        <c:numFmt formatCode="&quot;$&quot;#,##0.00" sourceLinked="1"/>
        <c:majorTickMark val="none"/>
        <c:tickLblPos val="nextTo"/>
        <c:crossAx val="93955584"/>
        <c:crosses val="autoZero"/>
        <c:crossBetween val="between"/>
      </c:valAx>
    </c:plotArea>
    <c:plotVisOnly val="1"/>
    <c:dispBlanksAs val="gap"/>
  </c:chart>
  <c:printSettings>
    <c:headerFooter/>
    <c:pageMargins b="0.75000000000001088" l="0.70000000000000062" r="0.70000000000000062" t="0.750000000000010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Payments Over Year</a:t>
            </a:r>
          </a:p>
        </c:rich>
      </c:tx>
      <c:layout/>
    </c:title>
    <c:plotArea>
      <c:layout/>
      <c:lineChart>
        <c:grouping val="standard"/>
        <c:ser>
          <c:idx val="0"/>
          <c:order val="0"/>
          <c:tx>
            <c:strRef>
              <c:f>Treasuries!$J$41:$J$52</c:f>
              <c:strCache>
                <c:ptCount val="1"/>
                <c:pt idx="0">
                  <c:v>Jan Feb Mar Apr May Jun Jul Aug Sep Oct Nov Dec</c:v>
                </c:pt>
              </c:strCache>
            </c:strRef>
          </c:tx>
          <c:trendline>
            <c:trendlineType val="linear"/>
            <c:dispRSqr val="1"/>
            <c:dispEq val="1"/>
            <c:trendlineLbl>
              <c:layout>
                <c:manualLayout>
                  <c:x val="7.9343463659562102E-2"/>
                  <c:y val="-0.44848998978737425"/>
                </c:manualLayout>
              </c:layout>
              <c:numFmt formatCode="General" sourceLinked="0"/>
            </c:trendlineLbl>
          </c:trendline>
          <c:cat>
            <c:strRef>
              <c:f>Treasuries!$J$41:$J$52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Treasuries!$L$41:$L$52</c:f>
              <c:numCache>
                <c:formatCode>"$"#,##0.00</c:formatCode>
                <c:ptCount val="12"/>
                <c:pt idx="0">
                  <c:v>6.3183499999999997</c:v>
                </c:pt>
                <c:pt idx="1">
                  <c:v>66.214781250000001</c:v>
                </c:pt>
                <c:pt idx="2">
                  <c:v>3.875</c:v>
                </c:pt>
                <c:pt idx="3">
                  <c:v>1.13194375</c:v>
                </c:pt>
                <c:pt idx="4">
                  <c:v>76.625</c:v>
                </c:pt>
                <c:pt idx="5">
                  <c:v>2.625</c:v>
                </c:pt>
                <c:pt idx="6">
                  <c:v>6.3183499999999997</c:v>
                </c:pt>
                <c:pt idx="7">
                  <c:v>66.214781250000001</c:v>
                </c:pt>
                <c:pt idx="8">
                  <c:v>3.875</c:v>
                </c:pt>
                <c:pt idx="9">
                  <c:v>1.13194375</c:v>
                </c:pt>
                <c:pt idx="10">
                  <c:v>76.625</c:v>
                </c:pt>
                <c:pt idx="11">
                  <c:v>2.625</c:v>
                </c:pt>
              </c:numCache>
            </c:numRef>
          </c:val>
          <c:extLst xmlns:c16r2="http://schemas.microsoft.com/office/drawing/2015/06/chart">
            <c:ext xmlns:c16="http://schemas.microsoft.com/office/drawing/2014/chart" uri="{C3380CC4-5D6E-409C-BE32-E72D297353CC}">
              <c16:uniqueId val="{00000000-9822-4118-90EF-128E53DE7CA9}"/>
            </c:ext>
          </c:extLst>
        </c:ser>
        <c:dLbls/>
        <c:marker val="1"/>
        <c:axId val="93859840"/>
        <c:axId val="93861376"/>
      </c:lineChart>
      <c:catAx>
        <c:axId val="93859840"/>
        <c:scaling>
          <c:orientation val="minMax"/>
        </c:scaling>
        <c:axPos val="b"/>
        <c:numFmt formatCode="General" sourceLinked="0"/>
        <c:majorTickMark val="none"/>
        <c:tickLblPos val="nextTo"/>
        <c:crossAx val="93861376"/>
        <c:crosses val="autoZero"/>
        <c:auto val="1"/>
        <c:lblAlgn val="ctr"/>
        <c:lblOffset val="100"/>
      </c:catAx>
      <c:valAx>
        <c:axId val="93861376"/>
        <c:scaling>
          <c:orientation val="minMax"/>
        </c:scaling>
        <c:axPos val="l"/>
        <c:majorGridlines/>
        <c:numFmt formatCode="&quot;$&quot;#,##0.00" sourceLinked="1"/>
        <c:majorTickMark val="none"/>
        <c:tickLblPos val="nextTo"/>
        <c:crossAx val="93859840"/>
        <c:crosses val="autoZero"/>
        <c:crossBetween val="between"/>
      </c:valAx>
    </c:plotArea>
    <c:plotVisOnly val="1"/>
    <c:dispBlanksAs val="gap"/>
  </c:chart>
  <c:printSettings>
    <c:headerFooter/>
    <c:pageMargins b="0.7500000000000111" l="0.70000000000000062" r="0.70000000000000062" t="0.75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Day of Month Notes Pay</a:t>
            </a:r>
          </a:p>
        </c:rich>
      </c:tx>
      <c:layout/>
    </c:title>
    <c:plotArea>
      <c:layout/>
      <c:barChart>
        <c:barDir val="col"/>
        <c:grouping val="clustered"/>
        <c:ser>
          <c:idx val="0"/>
          <c:order val="0"/>
          <c:val>
            <c:numRef>
              <c:f>'P2P Notes'!$J$2:$J$32</c:f>
              <c:numCache>
                <c:formatCode>General</c:formatCode>
                <c:ptCount val="31"/>
                <c:pt idx="0">
                  <c:v>1</c:v>
                </c:pt>
                <c:pt idx="1">
                  <c:v>9</c:v>
                </c:pt>
                <c:pt idx="2">
                  <c:v>9</c:v>
                </c:pt>
                <c:pt idx="3">
                  <c:v>3</c:v>
                </c:pt>
                <c:pt idx="4">
                  <c:v>5</c:v>
                </c:pt>
                <c:pt idx="5">
                  <c:v>2</c:v>
                </c:pt>
                <c:pt idx="6">
                  <c:v>3</c:v>
                </c:pt>
                <c:pt idx="7">
                  <c:v>4</c:v>
                </c:pt>
                <c:pt idx="8">
                  <c:v>1</c:v>
                </c:pt>
                <c:pt idx="9">
                  <c:v>2</c:v>
                </c:pt>
                <c:pt idx="10">
                  <c:v>1</c:v>
                </c:pt>
                <c:pt idx="11">
                  <c:v>3</c:v>
                </c:pt>
                <c:pt idx="12">
                  <c:v>3</c:v>
                </c:pt>
                <c:pt idx="13">
                  <c:v>2</c:v>
                </c:pt>
                <c:pt idx="14">
                  <c:v>3</c:v>
                </c:pt>
                <c:pt idx="15">
                  <c:v>2</c:v>
                </c:pt>
                <c:pt idx="16">
                  <c:v>1</c:v>
                </c:pt>
                <c:pt idx="17">
                  <c:v>2</c:v>
                </c:pt>
                <c:pt idx="18">
                  <c:v>1</c:v>
                </c:pt>
                <c:pt idx="19">
                  <c:v>4</c:v>
                </c:pt>
                <c:pt idx="20">
                  <c:v>2</c:v>
                </c:pt>
                <c:pt idx="21">
                  <c:v>2</c:v>
                </c:pt>
                <c:pt idx="22">
                  <c:v>6</c:v>
                </c:pt>
                <c:pt idx="23">
                  <c:v>3</c:v>
                </c:pt>
                <c:pt idx="24">
                  <c:v>1</c:v>
                </c:pt>
                <c:pt idx="25">
                  <c:v>3</c:v>
                </c:pt>
                <c:pt idx="26">
                  <c:v>7</c:v>
                </c:pt>
                <c:pt idx="27">
                  <c:v>1</c:v>
                </c:pt>
                <c:pt idx="28">
                  <c:v>10</c:v>
                </c:pt>
                <c:pt idx="29">
                  <c:v>3</c:v>
                </c:pt>
                <c:pt idx="30">
                  <c:v>2</c:v>
                </c:pt>
              </c:numCache>
            </c:numRef>
          </c:val>
          <c:extLst xmlns:c16r2="http://schemas.microsoft.com/office/drawing/2015/06/chart">
            <c:ext xmlns:c16="http://schemas.microsoft.com/office/drawing/2014/chart" uri="{C3380CC4-5D6E-409C-BE32-E72D297353CC}">
              <c16:uniqueId val="{00000000-DB9C-43CF-AD49-CB966F5C205E}"/>
            </c:ext>
          </c:extLst>
        </c:ser>
        <c:dLbls/>
        <c:gapWidth val="0"/>
        <c:axId val="94164480"/>
        <c:axId val="94166400"/>
      </c:barChart>
      <c:catAx>
        <c:axId val="94164480"/>
        <c:scaling>
          <c:orientation val="minMax"/>
        </c:scaling>
        <c:axPos val="b"/>
        <c:title>
          <c:tx>
            <c:rich>
              <a:bodyPr/>
              <a:lstStyle/>
              <a:p>
                <a:pPr>
                  <a:defRPr/>
                </a:pPr>
                <a:r>
                  <a:rPr lang="en-US"/>
                  <a:t>Day</a:t>
                </a:r>
                <a:r>
                  <a:rPr lang="en-US" baseline="0"/>
                  <a:t> of Month</a:t>
                </a:r>
                <a:endParaRPr lang="en-US"/>
              </a:p>
            </c:rich>
          </c:tx>
          <c:layout/>
        </c:title>
        <c:majorTickMark val="none"/>
        <c:tickLblPos val="nextTo"/>
        <c:crossAx val="94166400"/>
        <c:crosses val="autoZero"/>
        <c:auto val="1"/>
        <c:lblAlgn val="ctr"/>
        <c:lblOffset val="100"/>
      </c:catAx>
      <c:valAx>
        <c:axId val="94166400"/>
        <c:scaling>
          <c:orientation val="minMax"/>
        </c:scaling>
        <c:axPos val="l"/>
        <c:title>
          <c:tx>
            <c:rich>
              <a:bodyPr/>
              <a:lstStyle/>
              <a:p>
                <a:pPr>
                  <a:defRPr/>
                </a:pPr>
                <a:r>
                  <a:rPr lang="en-US"/>
                  <a:t>Number of Notes Paying</a:t>
                </a:r>
              </a:p>
            </c:rich>
          </c:tx>
          <c:layout/>
        </c:title>
        <c:numFmt formatCode="General" sourceLinked="1"/>
        <c:tickLblPos val="nextTo"/>
        <c:crossAx val="9416448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Day of Month Notes Pay</a:t>
            </a:r>
          </a:p>
        </c:rich>
      </c:tx>
      <c:layout/>
    </c:title>
    <c:plotArea>
      <c:layout/>
      <c:barChart>
        <c:barDir val="col"/>
        <c:grouping val="clustered"/>
        <c:ser>
          <c:idx val="0"/>
          <c:order val="0"/>
          <c:val>
            <c:numRef>
              <c:f>'P2P Notes'!$K$2:$K$32</c:f>
              <c:numCache>
                <c:formatCode>"$"#,##0.00</c:formatCode>
                <c:ptCount val="31"/>
                <c:pt idx="0">
                  <c:v>0.75602566236883972</c:v>
                </c:pt>
                <c:pt idx="1">
                  <c:v>6.636914069603514</c:v>
                </c:pt>
                <c:pt idx="2">
                  <c:v>6.6671569744420029</c:v>
                </c:pt>
                <c:pt idx="3">
                  <c:v>2.0058892532189443</c:v>
                </c:pt>
                <c:pt idx="4">
                  <c:v>3.5358009471971386</c:v>
                </c:pt>
                <c:pt idx="5">
                  <c:v>1.5216315795227215</c:v>
                </c:pt>
                <c:pt idx="6">
                  <c:v>2.2709297211156727</c:v>
                </c:pt>
                <c:pt idx="7">
                  <c:v>2.6612001729713008</c:v>
                </c:pt>
                <c:pt idx="8">
                  <c:v>0.75275696277111681</c:v>
                </c:pt>
                <c:pt idx="9">
                  <c:v>1.5267917863587788</c:v>
                </c:pt>
                <c:pt idx="10">
                  <c:v>0.76463302063168959</c:v>
                </c:pt>
                <c:pt idx="11">
                  <c:v>1.9768374302937195</c:v>
                </c:pt>
                <c:pt idx="12">
                  <c:v>2.0530478834386292</c:v>
                </c:pt>
                <c:pt idx="13">
                  <c:v>1.5342720995256134</c:v>
                </c:pt>
                <c:pt idx="14">
                  <c:v>2.2662817708061302</c:v>
                </c:pt>
                <c:pt idx="15">
                  <c:v>1.5205600366049443</c:v>
                </c:pt>
                <c:pt idx="16">
                  <c:v>0.74166367985229376</c:v>
                </c:pt>
                <c:pt idx="17">
                  <c:v>1.5196433310765429</c:v>
                </c:pt>
                <c:pt idx="18">
                  <c:v>0.77880413956909822</c:v>
                </c:pt>
                <c:pt idx="19">
                  <c:v>2.8008611147841416</c:v>
                </c:pt>
                <c:pt idx="20">
                  <c:v>1.2882581412440199</c:v>
                </c:pt>
                <c:pt idx="21">
                  <c:v>1.5335920132014276</c:v>
                </c:pt>
                <c:pt idx="22">
                  <c:v>4.5412274329139262</c:v>
                </c:pt>
                <c:pt idx="23">
                  <c:v>2.2912937937937334</c:v>
                </c:pt>
                <c:pt idx="24">
                  <c:v>0.76463302063168959</c:v>
                </c:pt>
                <c:pt idx="25">
                  <c:v>2.2967422597595393</c:v>
                </c:pt>
                <c:pt idx="26">
                  <c:v>5.3781738298514519</c:v>
                </c:pt>
                <c:pt idx="27">
                  <c:v>0.74166367985229376</c:v>
                </c:pt>
                <c:pt idx="28">
                  <c:v>6.8975474167772406</c:v>
                </c:pt>
                <c:pt idx="29">
                  <c:v>2.2967422597595393</c:v>
                </c:pt>
                <c:pt idx="30">
                  <c:v>1.5053259377925574</c:v>
                </c:pt>
              </c:numCache>
            </c:numRef>
          </c:val>
          <c:extLst xmlns:c16r2="http://schemas.microsoft.com/office/drawing/2015/06/chart">
            <c:ext xmlns:c16="http://schemas.microsoft.com/office/drawing/2014/chart" uri="{C3380CC4-5D6E-409C-BE32-E72D297353CC}">
              <c16:uniqueId val="{00000000-73FE-4A6F-8E4D-2020CF9F1FAD}"/>
            </c:ext>
          </c:extLst>
        </c:ser>
        <c:dLbls/>
        <c:gapWidth val="0"/>
        <c:axId val="94285824"/>
        <c:axId val="94287744"/>
      </c:barChart>
      <c:catAx>
        <c:axId val="94285824"/>
        <c:scaling>
          <c:orientation val="minMax"/>
        </c:scaling>
        <c:axPos val="b"/>
        <c:title>
          <c:tx>
            <c:rich>
              <a:bodyPr/>
              <a:lstStyle/>
              <a:p>
                <a:pPr>
                  <a:defRPr/>
                </a:pPr>
                <a:r>
                  <a:rPr lang="en-US"/>
                  <a:t>Day</a:t>
                </a:r>
                <a:r>
                  <a:rPr lang="en-US" baseline="0"/>
                  <a:t> of Month</a:t>
                </a:r>
                <a:endParaRPr lang="en-US"/>
              </a:p>
            </c:rich>
          </c:tx>
          <c:layout/>
        </c:title>
        <c:majorTickMark val="none"/>
        <c:tickLblPos val="nextTo"/>
        <c:crossAx val="94287744"/>
        <c:crosses val="autoZero"/>
        <c:auto val="1"/>
        <c:lblAlgn val="ctr"/>
        <c:lblOffset val="100"/>
      </c:catAx>
      <c:valAx>
        <c:axId val="94287744"/>
        <c:scaling>
          <c:orientation val="minMax"/>
        </c:scaling>
        <c:axPos val="l"/>
        <c:title>
          <c:tx>
            <c:rich>
              <a:bodyPr/>
              <a:lstStyle/>
              <a:p>
                <a:pPr>
                  <a:defRPr/>
                </a:pPr>
                <a:r>
                  <a:rPr lang="en-US"/>
                  <a:t>Payment</a:t>
                </a:r>
                <a:r>
                  <a:rPr lang="en-US" baseline="0"/>
                  <a:t> by Day</a:t>
                </a:r>
                <a:endParaRPr lang="en-US"/>
              </a:p>
            </c:rich>
          </c:tx>
          <c:layout/>
        </c:title>
        <c:numFmt formatCode="&quot;$&quot;#,##0.00" sourceLinked="1"/>
        <c:tickLblPos val="nextTo"/>
        <c:crossAx val="94285824"/>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59</xdr:col>
      <xdr:colOff>1200262</xdr:colOff>
      <xdr:row>135</xdr:row>
      <xdr:rowOff>2438</xdr:rowOff>
    </xdr:from>
    <xdr:to>
      <xdr:col>67</xdr:col>
      <xdr:colOff>33451</xdr:colOff>
      <xdr:row>159</xdr:row>
      <xdr:rowOff>62932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57452</xdr:colOff>
      <xdr:row>63</xdr:row>
      <xdr:rowOff>5746</xdr:rowOff>
    </xdr:from>
    <xdr:to>
      <xdr:col>12</xdr:col>
      <xdr:colOff>755952</xdr:colOff>
      <xdr:row>79</xdr:row>
      <xdr:rowOff>48382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71438</xdr:colOff>
      <xdr:row>95</xdr:row>
      <xdr:rowOff>71437</xdr:rowOff>
    </xdr:from>
    <xdr:to>
      <xdr:col>12</xdr:col>
      <xdr:colOff>769938</xdr:colOff>
      <xdr:row>111</xdr:row>
      <xdr:rowOff>117475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128</xdr:row>
      <xdr:rowOff>47626</xdr:rowOff>
    </xdr:from>
    <xdr:to>
      <xdr:col>12</xdr:col>
      <xdr:colOff>698501</xdr:colOff>
      <xdr:row>144</xdr:row>
      <xdr:rowOff>93664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184</xdr:col>
      <xdr:colOff>1483177</xdr:colOff>
      <xdr:row>53</xdr:row>
      <xdr:rowOff>29935</xdr:rowOff>
    </xdr:from>
    <xdr:to>
      <xdr:col>191</xdr:col>
      <xdr:colOff>312964</xdr:colOff>
      <xdr:row>79</xdr:row>
      <xdr:rowOff>40821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785814</xdr:colOff>
      <xdr:row>54</xdr:row>
      <xdr:rowOff>39121</xdr:rowOff>
    </xdr:from>
    <xdr:to>
      <xdr:col>15</xdr:col>
      <xdr:colOff>381000</xdr:colOff>
      <xdr:row>66</xdr:row>
      <xdr:rowOff>108857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775606</xdr:colOff>
      <xdr:row>66</xdr:row>
      <xdr:rowOff>149678</xdr:rowOff>
    </xdr:from>
    <xdr:to>
      <xdr:col>15</xdr:col>
      <xdr:colOff>370792</xdr:colOff>
      <xdr:row>79</xdr:row>
      <xdr:rowOff>69735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299694</xdr:colOff>
      <xdr:row>58</xdr:row>
      <xdr:rowOff>106814</xdr:rowOff>
    </xdr:from>
    <xdr:to>
      <xdr:col>8</xdr:col>
      <xdr:colOff>509246</xdr:colOff>
      <xdr:row>78</xdr:row>
      <xdr:rowOff>168728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607219</xdr:colOff>
      <xdr:row>58</xdr:row>
      <xdr:rowOff>102393</xdr:rowOff>
    </xdr:from>
    <xdr:to>
      <xdr:col>18</xdr:col>
      <xdr:colOff>550071</xdr:colOff>
      <xdr:row>78</xdr:row>
      <xdr:rowOff>164306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1173611</xdr:colOff>
      <xdr:row>41</xdr:row>
      <xdr:rowOff>62932</xdr:rowOff>
    </xdr:from>
    <xdr:to>
      <xdr:col>15</xdr:col>
      <xdr:colOff>316362</xdr:colOff>
      <xdr:row>57</xdr:row>
      <xdr:rowOff>130968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119061</xdr:colOff>
      <xdr:row>100</xdr:row>
      <xdr:rowOff>35719</xdr:rowOff>
    </xdr:from>
    <xdr:to>
      <xdr:col>22</xdr:col>
      <xdr:colOff>190501</xdr:colOff>
      <xdr:row>130</xdr:row>
      <xdr:rowOff>83344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304800</xdr:colOff>
      <xdr:row>79</xdr:row>
      <xdr:rowOff>76200</xdr:rowOff>
    </xdr:from>
    <xdr:to>
      <xdr:col>8</xdr:col>
      <xdr:colOff>533400</xdr:colOff>
      <xdr:row>99</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609600</xdr:colOff>
      <xdr:row>79</xdr:row>
      <xdr:rowOff>76200</xdr:rowOff>
    </xdr:from>
    <xdr:to>
      <xdr:col>18</xdr:col>
      <xdr:colOff>571500</xdr:colOff>
      <xdr:row>99</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54428</xdr:colOff>
      <xdr:row>96</xdr:row>
      <xdr:rowOff>54429</xdr:rowOff>
    </xdr:from>
    <xdr:to>
      <xdr:col>19</xdr:col>
      <xdr:colOff>421822</xdr:colOff>
      <xdr:row>110</xdr:row>
      <xdr:rowOff>163285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176891</xdr:colOff>
      <xdr:row>111</xdr:row>
      <xdr:rowOff>176893</xdr:rowOff>
    </xdr:from>
    <xdr:to>
      <xdr:col>19</xdr:col>
      <xdr:colOff>544285</xdr:colOff>
      <xdr:row>126</xdr:row>
      <xdr:rowOff>81642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ubmit.shutterstock.com/payouts" TargetMode="External"/><Relationship Id="rId1" Type="http://schemas.openxmlformats.org/officeDocument/2006/relationships/hyperlink" Target="https://www.spdrs.com/product/fund.seam?ticker=DIA"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treasurydirect.gov/govt/reports/pd/gift/gift.ht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bloomberg.com/energy" TargetMode="External"/><Relationship Id="rId13" Type="http://schemas.openxmlformats.org/officeDocument/2006/relationships/hyperlink" Target="https://fred.stlouisfed.org/series/WCURCIR" TargetMode="External"/><Relationship Id="rId18" Type="http://schemas.openxmlformats.org/officeDocument/2006/relationships/hyperlink" Target="http://www.imf.org/external/np/fin/data/rms_sdrv.aspx" TargetMode="External"/><Relationship Id="rId26" Type="http://schemas.openxmlformats.org/officeDocument/2006/relationships/hyperlink" Target="http://www.goarmy.com/benefits/money/basic-pay-active-duty-soldiers.html" TargetMode="External"/><Relationship Id="rId3" Type="http://schemas.openxmlformats.org/officeDocument/2006/relationships/hyperlink" Target="http://www.cmegroup.com/delivery_reports/Silver_stocks.xls" TargetMode="External"/><Relationship Id="rId21" Type="http://schemas.openxmlformats.org/officeDocument/2006/relationships/hyperlink" Target="http://www.xe.com/currencycharts/?from=XBT&amp;to=XAU&amp;view=10Y" TargetMode="External"/><Relationship Id="rId7" Type="http://schemas.openxmlformats.org/officeDocument/2006/relationships/hyperlink" Target="https://www.census.gov/popclock/" TargetMode="External"/><Relationship Id="rId12" Type="http://schemas.openxmlformats.org/officeDocument/2006/relationships/hyperlink" Target="http://data.worldbank.org/indicator/NY.GDP.MKTP.CD" TargetMode="External"/><Relationship Id="rId17" Type="http://schemas.openxmlformats.org/officeDocument/2006/relationships/hyperlink" Target="http://www.imf.org/external/np/exr/facts/sdr.htm" TargetMode="External"/><Relationship Id="rId25" Type="http://schemas.openxmlformats.org/officeDocument/2006/relationships/hyperlink" Target="https://ycharts.com/indicators/comex_silver_futures_open_interest" TargetMode="External"/><Relationship Id="rId2" Type="http://schemas.openxmlformats.org/officeDocument/2006/relationships/hyperlink" Target="http://www.cmegroup.com/delivery_reports/Gold_Stocks.xls" TargetMode="External"/><Relationship Id="rId16" Type="http://schemas.openxmlformats.org/officeDocument/2006/relationships/hyperlink" Target="https://fred.stlouisfed.org/series/M2" TargetMode="External"/><Relationship Id="rId20" Type="http://schemas.openxmlformats.org/officeDocument/2006/relationships/hyperlink" Target="https://ycharts.com/indicators/sales_price_of_existing_homes" TargetMode="External"/><Relationship Id="rId1" Type="http://schemas.openxmlformats.org/officeDocument/2006/relationships/hyperlink" Target="https://srsroccoreport.com/making-the-case-for-12000-gold-360-silver/" TargetMode="External"/><Relationship Id="rId6" Type="http://schemas.openxmlformats.org/officeDocument/2006/relationships/hyperlink" Target="http://www.barchart.com/commodityfutures/Silver_Futures/SI" TargetMode="External"/><Relationship Id="rId11" Type="http://schemas.openxmlformats.org/officeDocument/2006/relationships/hyperlink" Target="http://www.macrotrends.net/1470/historical-silver-prices-100-year-chart" TargetMode="External"/><Relationship Id="rId24" Type="http://schemas.openxmlformats.org/officeDocument/2006/relationships/hyperlink" Target="https://fred.stlouisfed.org/series/M1" TargetMode="External"/><Relationship Id="rId5" Type="http://schemas.openxmlformats.org/officeDocument/2006/relationships/hyperlink" Target="http://www.barchart.com/commodityfutures/Gold_Futures/GC" TargetMode="External"/><Relationship Id="rId15" Type="http://schemas.openxmlformats.org/officeDocument/2006/relationships/hyperlink" Target="http://data.bls.gov/cgi-bin/cpicalc.pl" TargetMode="External"/><Relationship Id="rId23" Type="http://schemas.openxmlformats.org/officeDocument/2006/relationships/hyperlink" Target="http://www.bls.gov/news.release/empsit.t19.htm" TargetMode="External"/><Relationship Id="rId28" Type="http://schemas.openxmlformats.org/officeDocument/2006/relationships/drawing" Target="../drawings/drawing4.xml"/><Relationship Id="rId10" Type="http://schemas.openxmlformats.org/officeDocument/2006/relationships/hyperlink" Target="http://www.macrotrends.net/1333/historical-gold-prices-100-year-chart" TargetMode="External"/><Relationship Id="rId19" Type="http://schemas.openxmlformats.org/officeDocument/2006/relationships/hyperlink" Target="http://minerals.usgs.gov/minerals/pubs/mcs/2016/mcs2016.pdf" TargetMode="External"/><Relationship Id="rId4" Type="http://schemas.openxmlformats.org/officeDocument/2006/relationships/hyperlink" Target="https://ycharts.com/indicators/comex_gold_futures_open_interest" TargetMode="External"/><Relationship Id="rId9" Type="http://schemas.openxmlformats.org/officeDocument/2006/relationships/hyperlink" Target="https://www.fiscal.treasury.gov/fsreports/rpt/goldRpt/current_report.htm" TargetMode="External"/><Relationship Id="rId14" Type="http://schemas.openxmlformats.org/officeDocument/2006/relationships/hyperlink" Target="https://fred.stlouisfed.org/series/BASE" TargetMode="External"/><Relationship Id="rId22" Type="http://schemas.openxmlformats.org/officeDocument/2006/relationships/hyperlink" Target="http://danielamerman.com/va/GHratio.html" TargetMode="External"/><Relationship Id="rId27"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3"/>
  <dimension ref="A1:X146"/>
  <sheetViews>
    <sheetView zoomScale="90" zoomScaleNormal="90" workbookViewId="0">
      <selection activeCell="M2" sqref="M2"/>
    </sheetView>
  </sheetViews>
  <sheetFormatPr defaultRowHeight="12.75"/>
  <cols>
    <col min="1" max="1" width="9.140625" style="38" customWidth="1"/>
    <col min="2" max="2" width="9.28515625" style="38" customWidth="1"/>
    <col min="3" max="3" width="8.42578125" style="38" bestFit="1" customWidth="1"/>
    <col min="4" max="4" width="7" style="38" bestFit="1" customWidth="1"/>
    <col min="5" max="5" width="14.42578125" style="38" bestFit="1" customWidth="1"/>
    <col min="6" max="6" width="11.5703125" style="38" customWidth="1"/>
    <col min="7" max="7" width="2.7109375" style="38" customWidth="1"/>
    <col min="8" max="8" width="8" style="154" bestFit="1" customWidth="1"/>
    <col min="9" max="9" width="10" style="848" bestFit="1" customWidth="1"/>
    <col min="10" max="10" width="2.7109375" style="848" customWidth="1"/>
    <col min="11" max="11" width="8.85546875" style="38" customWidth="1"/>
    <col min="12" max="12" width="35.5703125" style="38" bestFit="1" customWidth="1"/>
    <col min="13" max="13" width="18.28515625" style="38" customWidth="1"/>
    <col min="14" max="15" width="9.140625" style="38"/>
    <col min="16" max="16" width="15.5703125" style="43" bestFit="1" customWidth="1"/>
    <col min="17" max="17" width="9.140625" style="38"/>
    <col min="18" max="18" width="3.28515625" style="38" customWidth="1"/>
    <col min="19" max="19" width="15.85546875" style="43" customWidth="1"/>
    <col min="20" max="20" width="15.5703125" style="38" bestFit="1" customWidth="1"/>
    <col min="21" max="21" width="17" style="38" bestFit="1" customWidth="1"/>
    <col min="22" max="16384" width="9.140625" style="38"/>
  </cols>
  <sheetData>
    <row r="1" spans="1:22">
      <c r="A1" s="747" t="s">
        <v>2173</v>
      </c>
      <c r="B1" s="40" t="str">
        <f>I1</f>
        <v>% Change</v>
      </c>
      <c r="C1" s="42" t="s">
        <v>14</v>
      </c>
      <c r="D1" s="42" t="s">
        <v>13</v>
      </c>
      <c r="E1" s="42" t="s">
        <v>505</v>
      </c>
      <c r="F1" s="42" t="s">
        <v>506</v>
      </c>
      <c r="H1" s="155" t="s">
        <v>505</v>
      </c>
      <c r="I1" s="245" t="s">
        <v>507</v>
      </c>
      <c r="J1" s="245"/>
      <c r="L1" s="792" t="s">
        <v>381</v>
      </c>
      <c r="M1" s="69"/>
      <c r="N1" s="42" t="s">
        <v>1914</v>
      </c>
      <c r="O1" s="42" t="s">
        <v>1268</v>
      </c>
      <c r="P1" s="213" t="s">
        <v>1915</v>
      </c>
      <c r="Q1" s="42" t="s">
        <v>1913</v>
      </c>
      <c r="S1" s="213" t="s">
        <v>6</v>
      </c>
    </row>
    <row r="2" spans="1:22">
      <c r="A2" s="154">
        <f t="shared" ref="A2:A6" si="0">D2*(1+I2)-D2</f>
        <v>-3.9915656299420732E-2</v>
      </c>
      <c r="B2" s="40">
        <f t="shared" ref="B2:B65" si="1">I2</f>
        <v>-2.1085925144965767E-3</v>
      </c>
      <c r="C2" s="740" t="s">
        <v>879</v>
      </c>
      <c r="D2" s="38">
        <v>18.93</v>
      </c>
      <c r="E2" s="38" t="s">
        <v>2964</v>
      </c>
      <c r="F2" s="38" t="s">
        <v>2965</v>
      </c>
      <c r="H2" s="154" t="str">
        <f>MID(E2,1,5)</f>
        <v>-0.04</v>
      </c>
      <c r="I2" s="848">
        <f t="shared" ref="I2" si="2">-(1-(D2/(D2+-H2)))</f>
        <v>-2.1085925144965767E-3</v>
      </c>
      <c r="L2" s="42" t="s">
        <v>433</v>
      </c>
      <c r="N2" s="38" t="str">
        <f t="shared" ref="N2" si="3">RIGHT(TRIM(F2))</f>
        <v>B</v>
      </c>
      <c r="O2" s="38" t="str">
        <f t="shared" ref="O2" si="4">IF(ISERROR(LEFT(F2,FIND("B",F2,1)-1))=TRUE,LEFT(F2,FIND("M",F2,1)-1),LEFT(F2,FIND("B",F2,1)-1))</f>
        <v>22.07</v>
      </c>
      <c r="P2" s="43">
        <f>IF(N2="B",O2*10^9,O2*10^6)</f>
        <v>22070000000</v>
      </c>
      <c r="Q2" s="38" t="str">
        <f>IF(AND(P2&lt;$M$26,P2&gt;=$L$26),$K$26,IF(AND(P2&lt;$M$27,P2&gt;=$L$27),$K$27,IF(AND(P2&lt;$M$28,P2&gt;=$L$28),$K$28,IF(AND(P2&lt;$M$29,P2&gt;=$L$29),$K$29,IF(AND(P2&lt;$M$30,P2&gt;=$L$30),$K$30,$K$31)))))</f>
        <v>big</v>
      </c>
      <c r="S2" s="43">
        <f t="shared" ref="S2" si="5">P2/D2</f>
        <v>1165874273.6397252</v>
      </c>
      <c r="U2" s="39">
        <f>A2*VLOOKUP(C2,Stocks!$D$2:$F$146,3)</f>
        <v>-4.0342753821824534E-2</v>
      </c>
      <c r="V2" s="154" t="str">
        <f t="shared" ref="V2:V33" si="6">C2</f>
        <v>ABX</v>
      </c>
    </row>
    <row r="3" spans="1:22">
      <c r="A3" s="154">
        <f t="shared" si="0"/>
        <v>0.11064259160913181</v>
      </c>
      <c r="B3" s="40">
        <f t="shared" si="1"/>
        <v>5.8417419012213312E-3</v>
      </c>
      <c r="C3" s="38" t="s">
        <v>348</v>
      </c>
      <c r="D3" s="38">
        <v>18.940000000000001</v>
      </c>
      <c r="E3" s="38" t="s">
        <v>2966</v>
      </c>
      <c r="F3" s="38" t="s">
        <v>2967</v>
      </c>
      <c r="H3" s="154" t="str">
        <f t="shared" ref="H3:H67" si="7">MID(E3,1,5)</f>
        <v>+0.11</v>
      </c>
      <c r="I3" s="848">
        <f t="shared" ref="I3:I67" si="8">-(1-(D3/(D3+-H3)))</f>
        <v>5.8417419012213312E-3</v>
      </c>
      <c r="L3" s="39">
        <f>Stocks!G150</f>
        <v>66370.613769200005</v>
      </c>
      <c r="N3" s="38" t="str">
        <f t="shared" ref="N3:N33" si="9">RIGHT(TRIM(F3))</f>
        <v>B</v>
      </c>
      <c r="O3" s="38" t="str">
        <f t="shared" ref="O3:O33" si="10">IF(ISERROR(LEFT(F3,FIND("B",F3,1)-1))=TRUE,LEFT(F3,FIND("M",F3,1)-1),LEFT(F3,FIND("B",F3,1)-1))</f>
        <v>6.31</v>
      </c>
      <c r="P3" s="43">
        <f t="shared" ref="P3:P67" si="11">IF(N3="B",O3*10^9,O3*10^6)</f>
        <v>6310000000</v>
      </c>
      <c r="Q3" s="38" t="str">
        <f t="shared" ref="Q3:Q67" si="12">IF(AND(P3&lt;$M$26,P3&gt;=$L$26),$K$26,IF(AND(P3&lt;$M$27,P3&gt;=$L$27),$K$27,IF(AND(P3&lt;$M$28,P3&gt;=$L$28),$K$28,IF(AND(P3&lt;$M$29,P3&gt;=$L$29),$K$29,IF(AND(P3&lt;$M$30,P3&gt;=$L$30),$K$30,$K$31)))))</f>
        <v>mid</v>
      </c>
      <c r="S3" s="43">
        <f t="shared" ref="S3:S34" si="13">P3/D3</f>
        <v>333157338.9651531</v>
      </c>
      <c r="U3" s="39">
        <f>A3*VLOOKUP(C3,Stocks!$D$2:$F$146,3)</f>
        <v>0.3995525268188968</v>
      </c>
      <c r="V3" s="154" t="str">
        <f t="shared" si="6"/>
        <v>AGNC</v>
      </c>
    </row>
    <row r="4" spans="1:22" ht="13.5" thickBot="1">
      <c r="A4" s="154">
        <f t="shared" si="0"/>
        <v>0.43467155128852397</v>
      </c>
      <c r="B4" s="40">
        <f t="shared" si="1"/>
        <v>1.0864072764022126E-2</v>
      </c>
      <c r="C4" s="747" t="s">
        <v>2020</v>
      </c>
      <c r="D4" s="38">
        <v>40.01</v>
      </c>
      <c r="E4" s="38" t="s">
        <v>2968</v>
      </c>
      <c r="F4" s="38" t="s">
        <v>2969</v>
      </c>
      <c r="H4" s="154" t="str">
        <f t="shared" ref="H4" si="14">MID(E4,1,5)</f>
        <v>+0.43</v>
      </c>
      <c r="I4" s="848">
        <f t="shared" ref="I4" si="15">-(1-(D4/(D4+-H4)))</f>
        <v>1.0864072764022126E-2</v>
      </c>
      <c r="N4" s="38" t="str">
        <f t="shared" si="9"/>
        <v>B</v>
      </c>
      <c r="O4" s="38" t="str">
        <f t="shared" si="10"/>
        <v>5.27</v>
      </c>
      <c r="P4" s="43">
        <f t="shared" si="11"/>
        <v>5270000000</v>
      </c>
      <c r="Q4" s="38" t="str">
        <f t="shared" si="12"/>
        <v>mid</v>
      </c>
      <c r="S4" s="43">
        <f t="shared" si="13"/>
        <v>131717070.73231693</v>
      </c>
      <c r="U4" s="39">
        <f>A4*VLOOKUP(C4,Stocks!$D$2:$F$146,3)</f>
        <v>3.0427008590196678</v>
      </c>
      <c r="V4" s="154" t="str">
        <f t="shared" si="6"/>
        <v>AGO</v>
      </c>
    </row>
    <row r="5" spans="1:22">
      <c r="A5" s="154">
        <f t="shared" si="0"/>
        <v>0.15113693784739368</v>
      </c>
      <c r="B5" s="40">
        <f t="shared" si="1"/>
        <v>7.5795856493177105E-3</v>
      </c>
      <c r="C5" s="38" t="s">
        <v>2518</v>
      </c>
      <c r="D5" s="38">
        <v>19.940000000000001</v>
      </c>
      <c r="E5" s="38" t="s">
        <v>2853</v>
      </c>
      <c r="F5" s="38" t="s">
        <v>2836</v>
      </c>
      <c r="H5" s="154" t="str">
        <f t="shared" si="7"/>
        <v>+0.15</v>
      </c>
      <c r="I5" s="848">
        <f t="shared" si="8"/>
        <v>7.5795856493177105E-3</v>
      </c>
      <c r="L5" s="461" t="s">
        <v>1487</v>
      </c>
      <c r="N5" s="38" t="str">
        <f t="shared" si="9"/>
        <v>B</v>
      </c>
      <c r="O5" s="38" t="str">
        <f t="shared" si="10"/>
        <v>4.49</v>
      </c>
      <c r="P5" s="43">
        <f t="shared" si="11"/>
        <v>4490000000</v>
      </c>
      <c r="Q5" s="38" t="str">
        <f t="shared" si="12"/>
        <v>mid</v>
      </c>
      <c r="S5" s="43">
        <f t="shared" si="13"/>
        <v>225175526.57973921</v>
      </c>
      <c r="U5" s="39">
        <f>A5*VLOOKUP(C5,Stocks!$D$2:$F$146,3)</f>
        <v>1.2193425871652028</v>
      </c>
      <c r="V5" s="154" t="str">
        <f t="shared" si="6"/>
        <v>APLE</v>
      </c>
    </row>
    <row r="6" spans="1:22">
      <c r="A6" s="154">
        <f t="shared" si="0"/>
        <v>0.10046816479400533</v>
      </c>
      <c r="B6" s="40">
        <f t="shared" si="1"/>
        <v>4.6816479400748623E-3</v>
      </c>
      <c r="C6" s="38" t="s">
        <v>254</v>
      </c>
      <c r="D6" s="38">
        <v>21.46</v>
      </c>
      <c r="E6" s="38" t="s">
        <v>2970</v>
      </c>
      <c r="F6" s="38" t="s">
        <v>2971</v>
      </c>
      <c r="H6" s="154" t="str">
        <f t="shared" si="7"/>
        <v>+0.10</v>
      </c>
      <c r="I6" s="848">
        <f t="shared" si="8"/>
        <v>4.6816479400748623E-3</v>
      </c>
      <c r="L6" s="462">
        <f>COUNTIF(I:I,"&lt;0")</f>
        <v>27</v>
      </c>
      <c r="M6" s="386">
        <f>L6/SUM($L$6,$L$9,$L$12)</f>
        <v>0.18620689655172415</v>
      </c>
      <c r="N6" s="38" t="str">
        <f t="shared" si="9"/>
        <v>M</v>
      </c>
      <c r="O6" s="38" t="str">
        <f t="shared" si="10"/>
        <v>792.49</v>
      </c>
      <c r="P6" s="43">
        <f t="shared" si="11"/>
        <v>792490000</v>
      </c>
      <c r="Q6" s="38" t="str">
        <f t="shared" si="12"/>
        <v>small</v>
      </c>
      <c r="S6" s="43">
        <f t="shared" si="13"/>
        <v>36928704.566635601</v>
      </c>
      <c r="U6" s="39">
        <f>A6*VLOOKUP(C6,Stocks!$D$2:$F$146,3)</f>
        <v>1.5354750561797423</v>
      </c>
      <c r="V6" s="154" t="str">
        <f t="shared" si="6"/>
        <v>ARR</v>
      </c>
    </row>
    <row r="7" spans="1:22">
      <c r="A7" s="154">
        <f t="shared" ref="A7:A71" si="16">D7*(1+I7)-D7</f>
        <v>0.22156989944858907</v>
      </c>
      <c r="B7" s="40">
        <f t="shared" si="1"/>
        <v>7.1359065844955882E-3</v>
      </c>
      <c r="C7" s="38" t="s">
        <v>1200</v>
      </c>
      <c r="D7" s="38">
        <v>31.05</v>
      </c>
      <c r="E7" s="38" t="s">
        <v>2854</v>
      </c>
      <c r="F7" s="38" t="s">
        <v>2972</v>
      </c>
      <c r="H7" s="154" t="str">
        <f t="shared" si="7"/>
        <v>+0.22</v>
      </c>
      <c r="I7" s="848">
        <f t="shared" si="8"/>
        <v>7.1359065844955882E-3</v>
      </c>
      <c r="K7" s="154"/>
      <c r="L7" s="849"/>
      <c r="M7" s="386"/>
      <c r="N7" s="38" t="str">
        <f t="shared" si="9"/>
        <v>M</v>
      </c>
      <c r="O7" s="38" t="str">
        <f t="shared" si="10"/>
        <v>283.23</v>
      </c>
      <c r="P7" s="43">
        <f t="shared" si="11"/>
        <v>283230000</v>
      </c>
      <c r="Q7" s="38" t="str">
        <f t="shared" si="12"/>
        <v>micro</v>
      </c>
      <c r="S7" s="43">
        <f t="shared" si="13"/>
        <v>9121739.1304347832</v>
      </c>
      <c r="U7" s="39">
        <f>A7*VLOOKUP(C7,Stocks!$D$2:$F$146,3)</f>
        <v>0.23284780733052224</v>
      </c>
      <c r="V7" s="154" t="str">
        <f t="shared" si="6"/>
        <v>ARTNA</v>
      </c>
    </row>
    <row r="8" spans="1:22">
      <c r="A8" s="154">
        <f t="shared" si="16"/>
        <v>0</v>
      </c>
      <c r="B8" s="40">
        <f t="shared" si="1"/>
        <v>0</v>
      </c>
      <c r="C8" s="38" t="s">
        <v>50</v>
      </c>
      <c r="D8" s="38">
        <v>2.35</v>
      </c>
      <c r="E8" s="38" t="s">
        <v>2828</v>
      </c>
      <c r="F8" s="38" t="s">
        <v>2973</v>
      </c>
      <c r="H8" s="154" t="str">
        <f t="shared" si="7"/>
        <v xml:space="preserve">0.00 </v>
      </c>
      <c r="I8" s="848">
        <f t="shared" si="8"/>
        <v>0</v>
      </c>
      <c r="K8" s="154"/>
      <c r="L8" s="668" t="s">
        <v>1488</v>
      </c>
      <c r="M8" s="386"/>
      <c r="N8" s="38" t="str">
        <f t="shared" si="9"/>
        <v>M</v>
      </c>
      <c r="O8" s="38" t="str">
        <f t="shared" si="10"/>
        <v>268.18</v>
      </c>
      <c r="P8" s="43">
        <f t="shared" si="11"/>
        <v>268180000</v>
      </c>
      <c r="Q8" s="38" t="str">
        <f t="shared" si="12"/>
        <v>micro</v>
      </c>
      <c r="S8" s="43">
        <f t="shared" si="13"/>
        <v>114119148.93617021</v>
      </c>
      <c r="U8" s="39">
        <f>A8*VLOOKUP(C8,Stocks!$D$2:$F$146,3)</f>
        <v>0</v>
      </c>
      <c r="V8" s="154" t="str">
        <f t="shared" si="6"/>
        <v>AT</v>
      </c>
    </row>
    <row r="9" spans="1:22">
      <c r="A9" s="154">
        <f t="shared" si="16"/>
        <v>-0.19944911169261559</v>
      </c>
      <c r="B9" s="40">
        <f t="shared" si="1"/>
        <v>-2.7544415369784581E-3</v>
      </c>
      <c r="C9" s="38" t="s">
        <v>229</v>
      </c>
      <c r="D9" s="38">
        <v>72.41</v>
      </c>
      <c r="E9" s="38" t="s">
        <v>2855</v>
      </c>
      <c r="F9" s="38" t="s">
        <v>2974</v>
      </c>
      <c r="H9" s="154" t="str">
        <f t="shared" si="7"/>
        <v>-0.20</v>
      </c>
      <c r="I9" s="848">
        <f t="shared" si="8"/>
        <v>-2.7544415369784581E-3</v>
      </c>
      <c r="K9" s="154"/>
      <c r="L9" s="462">
        <f>COUNTIF(I:I,"&gt;0")</f>
        <v>108</v>
      </c>
      <c r="M9" s="386">
        <f>L9/SUM($L$6,$L$9,$L$12)</f>
        <v>0.7448275862068966</v>
      </c>
      <c r="N9" s="38" t="str">
        <f t="shared" si="9"/>
        <v>B</v>
      </c>
      <c r="O9" s="38" t="str">
        <f t="shared" si="10"/>
        <v>12.79</v>
      </c>
      <c r="P9" s="43">
        <f t="shared" si="11"/>
        <v>12790000000</v>
      </c>
      <c r="Q9" s="38" t="str">
        <f t="shared" si="12"/>
        <v>mid</v>
      </c>
      <c r="S9" s="43">
        <f t="shared" si="13"/>
        <v>176633061.731805</v>
      </c>
      <c r="U9" s="39">
        <f>A9*VLOOKUP(C9,Stocks!$D$2:$F$146,3)</f>
        <v>-2.7127672028647725</v>
      </c>
      <c r="V9" s="154" t="str">
        <f t="shared" si="6"/>
        <v>AWK</v>
      </c>
    </row>
    <row r="10" spans="1:22">
      <c r="A10" s="154">
        <f t="shared" si="16"/>
        <v>-0.14949141048824544</v>
      </c>
      <c r="B10" s="40">
        <f t="shared" si="1"/>
        <v>-3.3905967450270635E-3</v>
      </c>
      <c r="C10" s="38" t="s">
        <v>617</v>
      </c>
      <c r="D10" s="38">
        <v>44.09</v>
      </c>
      <c r="E10" s="38" t="s">
        <v>2856</v>
      </c>
      <c r="F10" s="38" t="s">
        <v>2975</v>
      </c>
      <c r="H10" s="154" t="str">
        <f t="shared" si="7"/>
        <v>-0.15</v>
      </c>
      <c r="I10" s="848">
        <f t="shared" si="8"/>
        <v>-3.3905967450270635E-3</v>
      </c>
      <c r="K10" s="154"/>
      <c r="L10" s="462"/>
      <c r="M10" s="386"/>
      <c r="N10" s="38" t="str">
        <f t="shared" si="9"/>
        <v>B</v>
      </c>
      <c r="O10" s="38" t="str">
        <f t="shared" si="10"/>
        <v>1.61</v>
      </c>
      <c r="P10" s="43">
        <f t="shared" si="11"/>
        <v>1610000000</v>
      </c>
      <c r="Q10" s="38" t="str">
        <f t="shared" si="12"/>
        <v>small</v>
      </c>
      <c r="S10" s="43">
        <f t="shared" si="13"/>
        <v>36516216.829212971</v>
      </c>
      <c r="U10" s="39">
        <f>A10*VLOOKUP(C10,Stocks!$D$2:$F$146,3)</f>
        <v>-0.30757857707956499</v>
      </c>
      <c r="V10" s="154" t="str">
        <f t="shared" si="6"/>
        <v>AWR</v>
      </c>
    </row>
    <row r="11" spans="1:22">
      <c r="A11" s="154">
        <f t="shared" si="16"/>
        <v>0.59481285777190607</v>
      </c>
      <c r="B11" s="40">
        <f t="shared" si="1"/>
        <v>2.5539409951563119E-2</v>
      </c>
      <c r="C11" s="38" t="s">
        <v>98</v>
      </c>
      <c r="D11" s="38">
        <v>23.29</v>
      </c>
      <c r="E11" s="38" t="s">
        <v>2976</v>
      </c>
      <c r="F11" s="38" t="s">
        <v>2977</v>
      </c>
      <c r="H11" s="154" t="str">
        <f t="shared" si="7"/>
        <v>+0.58</v>
      </c>
      <c r="I11" s="848">
        <f t="shared" si="8"/>
        <v>2.5539409951563119E-2</v>
      </c>
      <c r="K11" s="154"/>
      <c r="L11" s="850" t="s">
        <v>1489</v>
      </c>
      <c r="M11" s="386"/>
      <c r="N11" s="38" t="str">
        <f t="shared" si="9"/>
        <v>B</v>
      </c>
      <c r="O11" s="38" t="str">
        <f t="shared" si="10"/>
        <v>240.00</v>
      </c>
      <c r="P11" s="43">
        <f t="shared" si="11"/>
        <v>240000000000</v>
      </c>
      <c r="Q11" s="38" t="str">
        <f t="shared" si="12"/>
        <v>mega</v>
      </c>
      <c r="S11" s="43">
        <f t="shared" si="13"/>
        <v>10304851867.754402</v>
      </c>
      <c r="U11" s="39">
        <f>A11*VLOOKUP(C11,Stocks!$D$2:$F$146,3)</f>
        <v>1.81530936063408</v>
      </c>
      <c r="V11" s="154" t="str">
        <f t="shared" si="6"/>
        <v>BAC</v>
      </c>
    </row>
    <row r="12" spans="1:22" ht="13.5" thickBot="1">
      <c r="A12" s="154">
        <f t="shared" si="16"/>
        <v>3.0026102088172024E-2</v>
      </c>
      <c r="B12" s="40">
        <f t="shared" si="1"/>
        <v>8.700696055685686E-4</v>
      </c>
      <c r="C12" s="38" t="s">
        <v>82</v>
      </c>
      <c r="D12" s="38">
        <v>34.51</v>
      </c>
      <c r="E12" s="38" t="s">
        <v>2978</v>
      </c>
      <c r="F12" s="38" t="s">
        <v>2979</v>
      </c>
      <c r="H12" s="154" t="str">
        <f t="shared" si="7"/>
        <v>+0.03</v>
      </c>
      <c r="I12" s="848">
        <f t="shared" si="8"/>
        <v>8.700696055685686E-4</v>
      </c>
      <c r="K12" s="154"/>
      <c r="L12" s="851">
        <f>COUNTIF(I:I,"=0")</f>
        <v>10</v>
      </c>
      <c r="M12" s="386">
        <f>L12/SUM($L$6,$L$9,$L$12)</f>
        <v>6.8965517241379309E-2</v>
      </c>
      <c r="N12" s="38" t="str">
        <f t="shared" si="9"/>
        <v>B</v>
      </c>
      <c r="O12" s="38" t="str">
        <f t="shared" si="10"/>
        <v>5.18</v>
      </c>
      <c r="P12" s="43">
        <f t="shared" si="11"/>
        <v>5180000000</v>
      </c>
      <c r="Q12" s="38" t="str">
        <f t="shared" si="12"/>
        <v>mid</v>
      </c>
      <c r="S12" s="43">
        <f t="shared" si="13"/>
        <v>150101419.87829617</v>
      </c>
      <c r="U12" s="39">
        <f>A12*VLOOKUP(C12,Stocks!$D$2:$F$146,3)</f>
        <v>1.1966933013343048</v>
      </c>
      <c r="V12" s="154" t="str">
        <f t="shared" si="6"/>
        <v>BAH</v>
      </c>
    </row>
    <row r="13" spans="1:22">
      <c r="A13" s="154">
        <f t="shared" si="16"/>
        <v>0.15224327018943207</v>
      </c>
      <c r="B13" s="40">
        <f t="shared" si="1"/>
        <v>1.4955134596211339E-2</v>
      </c>
      <c r="C13" s="38" t="s">
        <v>85</v>
      </c>
      <c r="D13" s="38">
        <v>10.18</v>
      </c>
      <c r="E13" s="38" t="s">
        <v>2980</v>
      </c>
      <c r="F13" s="38" t="s">
        <v>2981</v>
      </c>
      <c r="H13" s="154" t="str">
        <f t="shared" si="7"/>
        <v>+0.15</v>
      </c>
      <c r="I13" s="848">
        <f t="shared" si="8"/>
        <v>1.4955134596211339E-2</v>
      </c>
      <c r="K13" s="154"/>
      <c r="L13" s="40"/>
      <c r="M13" s="39"/>
      <c r="N13" s="38" t="str">
        <f t="shared" si="9"/>
        <v>B</v>
      </c>
      <c r="O13" s="38" t="str">
        <f t="shared" si="10"/>
        <v>57.74</v>
      </c>
      <c r="P13" s="43">
        <f t="shared" si="11"/>
        <v>57740000000</v>
      </c>
      <c r="Q13" s="38" t="str">
        <f t="shared" si="12"/>
        <v>big</v>
      </c>
      <c r="S13" s="43">
        <f t="shared" si="13"/>
        <v>5671905697.4459724</v>
      </c>
      <c r="U13" s="39">
        <f>A13*VLOOKUP(C13,Stocks!$D$2:$F$146,3)</f>
        <v>9.1295569591226542</v>
      </c>
      <c r="V13" s="154" t="str">
        <f t="shared" si="6"/>
        <v>BBD</v>
      </c>
    </row>
    <row r="14" spans="1:22">
      <c r="A14" s="154">
        <f t="shared" si="16"/>
        <v>-1.1507728531855932</v>
      </c>
      <c r="B14" s="40">
        <f t="shared" si="1"/>
        <v>-3.2963988919667564E-2</v>
      </c>
      <c r="C14" s="38" t="s">
        <v>877</v>
      </c>
      <c r="D14" s="38">
        <v>34.909999999999997</v>
      </c>
      <c r="E14" s="38" t="s">
        <v>2857</v>
      </c>
      <c r="F14" s="38" t="s">
        <v>2982</v>
      </c>
      <c r="H14" s="154" t="str">
        <f t="shared" si="7"/>
        <v>-1.19</v>
      </c>
      <c r="I14" s="848">
        <f t="shared" si="8"/>
        <v>-3.2963988919667564E-2</v>
      </c>
      <c r="K14" s="154"/>
      <c r="L14" s="38">
        <f>SUM(L6,L9,L12)</f>
        <v>145</v>
      </c>
      <c r="M14" s="40">
        <f>SUM(M6,M9,M12)</f>
        <v>1</v>
      </c>
      <c r="N14" s="38" t="str">
        <f t="shared" si="9"/>
        <v>B</v>
      </c>
      <c r="O14" s="38" t="str">
        <f t="shared" si="10"/>
        <v>98.01</v>
      </c>
      <c r="P14" s="43">
        <f t="shared" si="11"/>
        <v>98010000000</v>
      </c>
      <c r="Q14" s="38" t="str">
        <f t="shared" si="12"/>
        <v>big</v>
      </c>
      <c r="S14" s="43">
        <f t="shared" si="13"/>
        <v>2807505012.8902898</v>
      </c>
      <c r="U14" s="39">
        <f>A14*VLOOKUP(C14,Stocks!$D$2:$F$146,3)</f>
        <v>-1.186561888919665</v>
      </c>
      <c r="V14" s="154" t="str">
        <f t="shared" si="6"/>
        <v>BBL</v>
      </c>
    </row>
    <row r="15" spans="1:22" ht="13.5" thickBot="1">
      <c r="A15" s="154">
        <f t="shared" si="16"/>
        <v>1.3926315789473733</v>
      </c>
      <c r="B15" s="40">
        <f t="shared" si="1"/>
        <v>3.1578947368421151E-2</v>
      </c>
      <c r="C15" s="38" t="s">
        <v>564</v>
      </c>
      <c r="D15" s="38">
        <v>44.1</v>
      </c>
      <c r="E15" s="38" t="s">
        <v>2983</v>
      </c>
      <c r="F15" s="38" t="s">
        <v>2984</v>
      </c>
      <c r="H15" s="154" t="str">
        <f t="shared" si="7"/>
        <v>+1.35</v>
      </c>
      <c r="I15" s="848">
        <f t="shared" si="8"/>
        <v>3.1578947368421151E-2</v>
      </c>
      <c r="K15" s="154"/>
      <c r="L15" s="154"/>
      <c r="M15" s="204"/>
      <c r="N15" s="38" t="str">
        <f t="shared" si="9"/>
        <v>B</v>
      </c>
      <c r="O15" s="38" t="str">
        <f t="shared" si="10"/>
        <v>2.26</v>
      </c>
      <c r="P15" s="43">
        <f t="shared" si="11"/>
        <v>2260000000</v>
      </c>
      <c r="Q15" s="38" t="str">
        <f t="shared" si="12"/>
        <v>mid</v>
      </c>
      <c r="S15" s="43">
        <f t="shared" si="13"/>
        <v>51247165.532879815</v>
      </c>
      <c r="U15" s="39">
        <f>A15*VLOOKUP(C15,Stocks!$D$2:$F$146,3)</f>
        <v>4.2919512631579098</v>
      </c>
      <c r="V15" s="154" t="str">
        <f t="shared" si="6"/>
        <v>BCO</v>
      </c>
    </row>
    <row r="16" spans="1:22">
      <c r="A16" s="154">
        <f t="shared" si="16"/>
        <v>0.74229012915128578</v>
      </c>
      <c r="B16" s="40">
        <f t="shared" si="1"/>
        <v>1.6835793357933504E-2</v>
      </c>
      <c r="C16" s="38" t="s">
        <v>47</v>
      </c>
      <c r="D16" s="38">
        <v>44.09</v>
      </c>
      <c r="E16" s="38" t="s">
        <v>2858</v>
      </c>
      <c r="F16" s="38" t="s">
        <v>2985</v>
      </c>
      <c r="H16" s="154" t="str">
        <f t="shared" si="7"/>
        <v>+0.73</v>
      </c>
      <c r="I16" s="848">
        <f t="shared" si="8"/>
        <v>1.6835793357933504E-2</v>
      </c>
      <c r="K16" s="3" t="s">
        <v>882</v>
      </c>
      <c r="L16" s="388" t="str">
        <f t="shared" ref="L16:L21" si="17">K26</f>
        <v>mega</v>
      </c>
      <c r="M16" s="1022">
        <f t="shared" ref="M16:M21" si="18">COUNTIF($Q:$Q,L16)/$L$14</f>
        <v>0.18620689655172415</v>
      </c>
      <c r="N16" s="38" t="str">
        <f t="shared" si="9"/>
        <v>B</v>
      </c>
      <c r="O16" s="38" t="str">
        <f t="shared" si="10"/>
        <v>4.65</v>
      </c>
      <c r="P16" s="43">
        <f t="shared" si="11"/>
        <v>4650000000</v>
      </c>
      <c r="Q16" s="38" t="str">
        <f t="shared" si="12"/>
        <v>mid</v>
      </c>
      <c r="S16" s="43">
        <f t="shared" si="13"/>
        <v>105466092.08437286</v>
      </c>
      <c r="U16" s="39">
        <f>A16*VLOOKUP(C16,Stocks!$D$2:$F$146,3)</f>
        <v>19.453420101706492</v>
      </c>
      <c r="V16" s="154" t="str">
        <f t="shared" si="6"/>
        <v>BPOP</v>
      </c>
    </row>
    <row r="17" spans="1:22">
      <c r="A17" s="154">
        <f t="shared" si="16"/>
        <v>0.15106382978723332</v>
      </c>
      <c r="B17" s="40">
        <f t="shared" si="1"/>
        <v>7.0921985815601829E-3</v>
      </c>
      <c r="C17" s="38" t="s">
        <v>367</v>
      </c>
      <c r="D17" s="38">
        <v>21.3</v>
      </c>
      <c r="E17" s="38" t="s">
        <v>2859</v>
      </c>
      <c r="F17" s="38" t="s">
        <v>2986</v>
      </c>
      <c r="H17" s="154" t="str">
        <f t="shared" si="7"/>
        <v>+0.15</v>
      </c>
      <c r="I17" s="848">
        <f t="shared" si="8"/>
        <v>7.0921985815601829E-3</v>
      </c>
      <c r="K17" s="3" t="s">
        <v>882</v>
      </c>
      <c r="L17" s="192" t="str">
        <f t="shared" si="17"/>
        <v>big</v>
      </c>
      <c r="M17" s="1013">
        <f t="shared" si="18"/>
        <v>0.17241379310344829</v>
      </c>
      <c r="N17" s="38" t="str">
        <f t="shared" si="9"/>
        <v>M</v>
      </c>
      <c r="O17" s="38" t="str">
        <f t="shared" si="10"/>
        <v>110.76</v>
      </c>
      <c r="P17" s="43">
        <f t="shared" si="11"/>
        <v>110760000</v>
      </c>
      <c r="Q17" s="38" t="str">
        <f t="shared" si="12"/>
        <v>micro</v>
      </c>
      <c r="S17" s="43">
        <f t="shared" si="13"/>
        <v>5200000</v>
      </c>
      <c r="U17" s="39">
        <f>A17*VLOOKUP(C17,Stocks!$D$2:$F$146,3)</f>
        <v>1.5106382978723332</v>
      </c>
      <c r="V17" s="154" t="str">
        <f t="shared" si="6"/>
        <v>BPOPM</v>
      </c>
    </row>
    <row r="18" spans="1:22">
      <c r="A18" s="154">
        <f t="shared" si="16"/>
        <v>7.0204336947455204E-2</v>
      </c>
      <c r="B18" s="40">
        <f t="shared" si="1"/>
        <v>2.9190992493743906E-3</v>
      </c>
      <c r="C18" s="38" t="s">
        <v>368</v>
      </c>
      <c r="D18" s="38">
        <v>24.05</v>
      </c>
      <c r="E18" s="38" t="s">
        <v>2860</v>
      </c>
      <c r="F18" s="38" t="s">
        <v>2987</v>
      </c>
      <c r="H18" s="154" t="str">
        <f t="shared" si="7"/>
        <v>+0.07</v>
      </c>
      <c r="I18" s="848">
        <f t="shared" si="8"/>
        <v>2.9190992493743906E-3</v>
      </c>
      <c r="K18" s="3" t="s">
        <v>882</v>
      </c>
      <c r="L18" s="192" t="str">
        <f t="shared" si="17"/>
        <v>mid</v>
      </c>
      <c r="M18" s="1013">
        <f t="shared" si="18"/>
        <v>0.31724137931034485</v>
      </c>
      <c r="N18" s="38" t="str">
        <f t="shared" si="9"/>
        <v>M</v>
      </c>
      <c r="O18" s="38" t="str">
        <f t="shared" si="10"/>
        <v>288.00</v>
      </c>
      <c r="P18" s="43">
        <f t="shared" si="11"/>
        <v>288000000</v>
      </c>
      <c r="Q18" s="38" t="str">
        <f t="shared" si="12"/>
        <v>micro</v>
      </c>
      <c r="S18" s="43">
        <f t="shared" si="13"/>
        <v>11975051.975051975</v>
      </c>
      <c r="U18" s="39">
        <f>A18*VLOOKUP(C18,Stocks!$D$2:$F$146,3)</f>
        <v>0.63183903252709683</v>
      </c>
      <c r="V18" s="154" t="str">
        <f t="shared" si="6"/>
        <v>BPOPN</v>
      </c>
    </row>
    <row r="19" spans="1:22">
      <c r="A19" s="154">
        <f t="shared" si="16"/>
        <v>0</v>
      </c>
      <c r="B19" s="40">
        <f t="shared" si="1"/>
        <v>0</v>
      </c>
      <c r="C19" s="38" t="s">
        <v>369</v>
      </c>
      <c r="D19" s="38">
        <v>22.74</v>
      </c>
      <c r="E19" s="38" t="s">
        <v>2828</v>
      </c>
      <c r="F19" s="38" t="s">
        <v>2839</v>
      </c>
      <c r="H19" s="154" t="str">
        <f t="shared" si="7"/>
        <v xml:space="preserve">0.00 </v>
      </c>
      <c r="I19" s="848">
        <f t="shared" si="8"/>
        <v>0</v>
      </c>
      <c r="K19" s="3" t="s">
        <v>1914</v>
      </c>
      <c r="L19" s="192" t="str">
        <f t="shared" si="17"/>
        <v>small</v>
      </c>
      <c r="M19" s="1013">
        <f t="shared" si="18"/>
        <v>0.20689655172413793</v>
      </c>
      <c r="N19" s="38" t="str">
        <f t="shared" si="9"/>
        <v>B</v>
      </c>
      <c r="O19" s="38" t="str">
        <f t="shared" si="10"/>
        <v>4.59</v>
      </c>
      <c r="P19" s="43">
        <f t="shared" si="11"/>
        <v>4590000000</v>
      </c>
      <c r="Q19" s="38" t="str">
        <f t="shared" si="12"/>
        <v>mid</v>
      </c>
      <c r="S19" s="43">
        <f t="shared" si="13"/>
        <v>201846965.69920847</v>
      </c>
      <c r="U19" s="39">
        <f>A19*VLOOKUP(C19,Stocks!$D$2:$F$146,3)</f>
        <v>0</v>
      </c>
      <c r="V19" s="154" t="str">
        <f t="shared" si="6"/>
        <v>BPOPO</v>
      </c>
    </row>
    <row r="20" spans="1:22">
      <c r="A20" s="154">
        <f t="shared" si="16"/>
        <v>0</v>
      </c>
      <c r="B20" s="40">
        <f t="shared" si="1"/>
        <v>0</v>
      </c>
      <c r="C20" s="38" t="s">
        <v>370</v>
      </c>
      <c r="D20" s="38">
        <v>25.18</v>
      </c>
      <c r="E20" s="38" t="s">
        <v>2828</v>
      </c>
      <c r="F20" s="38" t="s">
        <v>2840</v>
      </c>
      <c r="H20" s="154" t="str">
        <f t="shared" si="7"/>
        <v xml:space="preserve">0.00 </v>
      </c>
      <c r="I20" s="848">
        <f t="shared" si="8"/>
        <v>0</v>
      </c>
      <c r="K20" s="747" t="s">
        <v>56</v>
      </c>
      <c r="L20" s="192" t="str">
        <f t="shared" si="17"/>
        <v>micro</v>
      </c>
      <c r="M20" s="1013">
        <f t="shared" si="18"/>
        <v>9.6551724137931033E-2</v>
      </c>
      <c r="N20" s="38" t="str">
        <f t="shared" si="9"/>
        <v>B</v>
      </c>
      <c r="O20" s="38" t="str">
        <f t="shared" si="10"/>
        <v>4.52</v>
      </c>
      <c r="P20" s="43">
        <f t="shared" si="11"/>
        <v>4520000000</v>
      </c>
      <c r="Q20" s="38" t="str">
        <f t="shared" si="12"/>
        <v>mid</v>
      </c>
      <c r="S20" s="43">
        <f t="shared" si="13"/>
        <v>179507545.67116758</v>
      </c>
      <c r="U20" s="39">
        <f>A20*VLOOKUP(C20,Stocks!$D$2:$F$146,3)</f>
        <v>0</v>
      </c>
      <c r="V20" s="154" t="str">
        <f t="shared" si="6"/>
        <v>BPOPP</v>
      </c>
    </row>
    <row r="21" spans="1:22">
      <c r="A21" s="154">
        <f t="shared" si="16"/>
        <v>0.98589347079038703</v>
      </c>
      <c r="B21" s="40">
        <f t="shared" si="1"/>
        <v>6.0137457044673326E-3</v>
      </c>
      <c r="C21" s="38" t="s">
        <v>312</v>
      </c>
      <c r="D21" s="38">
        <v>163.94</v>
      </c>
      <c r="E21" s="38" t="s">
        <v>2988</v>
      </c>
      <c r="F21" s="38" t="s">
        <v>2989</v>
      </c>
      <c r="H21" s="154" t="str">
        <f t="shared" si="7"/>
        <v>+0.98</v>
      </c>
      <c r="I21" s="848">
        <f t="shared" si="8"/>
        <v>6.0137457044673326E-3</v>
      </c>
      <c r="K21" s="747" t="s">
        <v>1916</v>
      </c>
      <c r="L21" s="192" t="str">
        <f t="shared" si="17"/>
        <v>nano</v>
      </c>
      <c r="M21" s="1013">
        <f t="shared" si="18"/>
        <v>2.0689655172413793E-2</v>
      </c>
      <c r="N21" s="38" t="str">
        <f t="shared" si="9"/>
        <v>B</v>
      </c>
      <c r="O21" s="38" t="str">
        <f t="shared" si="10"/>
        <v>405.32</v>
      </c>
      <c r="P21" s="43">
        <f t="shared" si="11"/>
        <v>405320000000</v>
      </c>
      <c r="Q21" s="38" t="str">
        <f t="shared" si="12"/>
        <v>mega</v>
      </c>
      <c r="S21" s="43">
        <f t="shared" si="13"/>
        <v>2472367939.4900575</v>
      </c>
      <c r="U21" s="39">
        <f>A21*VLOOKUP(C21,Stocks!$D$2:$F$146,3)</f>
        <v>1.9717869415807741</v>
      </c>
      <c r="V21" s="154" t="str">
        <f t="shared" si="6"/>
        <v>BRK.B</v>
      </c>
    </row>
    <row r="22" spans="1:22" ht="13.5" thickBot="1">
      <c r="A22" s="154">
        <f t="shared" si="16"/>
        <v>3.0226130653265848E-2</v>
      </c>
      <c r="B22" s="40">
        <f t="shared" si="1"/>
        <v>7.5376884422109214E-3</v>
      </c>
      <c r="C22" s="38" t="s">
        <v>318</v>
      </c>
      <c r="D22" s="38">
        <v>4.01</v>
      </c>
      <c r="E22" s="38" t="s">
        <v>2990</v>
      </c>
      <c r="F22" s="38" t="s">
        <v>2845</v>
      </c>
      <c r="H22" s="154" t="str">
        <f t="shared" si="7"/>
        <v>+0.03</v>
      </c>
      <c r="I22" s="848">
        <f t="shared" si="8"/>
        <v>7.5376884422109214E-3</v>
      </c>
      <c r="L22" s="101"/>
      <c r="M22" s="1023">
        <f>SUM(M16:M21)</f>
        <v>1</v>
      </c>
      <c r="N22" s="38" t="str">
        <f t="shared" si="9"/>
        <v>M</v>
      </c>
      <c r="O22" s="38" t="str">
        <f t="shared" si="10"/>
        <v>850.53</v>
      </c>
      <c r="P22" s="43">
        <f t="shared" si="11"/>
        <v>850530000</v>
      </c>
      <c r="Q22" s="38" t="str">
        <f t="shared" si="12"/>
        <v>small</v>
      </c>
      <c r="S22" s="43">
        <f t="shared" si="13"/>
        <v>212102244.38902745</v>
      </c>
      <c r="U22" s="39">
        <f>A22*VLOOKUP(C22,Stocks!$D$2:$F$146,3)</f>
        <v>3.2094105527637681E-2</v>
      </c>
      <c r="V22" s="154" t="str">
        <f t="shared" si="6"/>
        <v>BTE</v>
      </c>
    </row>
    <row r="23" spans="1:22" ht="13.5" thickBot="1">
      <c r="A23" s="154">
        <f t="shared" si="16"/>
        <v>1.8259546347562008</v>
      </c>
      <c r="B23" s="40">
        <f t="shared" si="1"/>
        <v>3.1612787997856717E-2</v>
      </c>
      <c r="C23" s="38" t="s">
        <v>0</v>
      </c>
      <c r="D23" s="38">
        <v>57.76</v>
      </c>
      <c r="E23" s="38" t="s">
        <v>2991</v>
      </c>
      <c r="F23" s="38" t="s">
        <v>2992</v>
      </c>
      <c r="H23" s="154" t="str">
        <f t="shared" si="7"/>
        <v>+1.77</v>
      </c>
      <c r="I23" s="848">
        <f t="shared" si="8"/>
        <v>3.1612787997856717E-2</v>
      </c>
      <c r="N23" s="38" t="str">
        <f t="shared" si="9"/>
        <v>B</v>
      </c>
      <c r="O23" s="38" t="str">
        <f t="shared" si="10"/>
        <v>169.83</v>
      </c>
      <c r="P23" s="43">
        <f t="shared" si="11"/>
        <v>169830000000</v>
      </c>
      <c r="Q23" s="38" t="str">
        <f t="shared" si="12"/>
        <v>mega</v>
      </c>
      <c r="S23" s="43">
        <f t="shared" si="13"/>
        <v>2940270083.1024933</v>
      </c>
      <c r="U23" s="39">
        <f>A23*VLOOKUP(C23,Stocks!$D$2:$F$146,3)</f>
        <v>3.662134615467036</v>
      </c>
      <c r="V23" s="154" t="str">
        <f t="shared" si="6"/>
        <v>C</v>
      </c>
    </row>
    <row r="24" spans="1:22">
      <c r="A24" s="154">
        <f t="shared" si="16"/>
        <v>4.0089736399323783E-2</v>
      </c>
      <c r="B24" s="40">
        <f t="shared" si="1"/>
        <v>2.2434099831742937E-3</v>
      </c>
      <c r="C24" s="38" t="s">
        <v>97</v>
      </c>
      <c r="D24" s="38">
        <v>17.87</v>
      </c>
      <c r="E24" s="38" t="s">
        <v>2861</v>
      </c>
      <c r="F24" s="38" t="s">
        <v>2841</v>
      </c>
      <c r="H24" s="154" t="str">
        <f t="shared" si="7"/>
        <v>+0.04</v>
      </c>
      <c r="I24" s="848">
        <f t="shared" si="8"/>
        <v>2.2434099831742937E-3</v>
      </c>
      <c r="K24" s="198"/>
      <c r="L24" s="1459" t="s">
        <v>1915</v>
      </c>
      <c r="M24" s="1460"/>
      <c r="N24" s="38" t="str">
        <f t="shared" si="9"/>
        <v>B</v>
      </c>
      <c r="O24" s="38" t="str">
        <f t="shared" si="10"/>
        <v>3.36</v>
      </c>
      <c r="P24" s="43">
        <f t="shared" si="11"/>
        <v>3360000000</v>
      </c>
      <c r="Q24" s="38" t="str">
        <f t="shared" si="12"/>
        <v>mid</v>
      </c>
      <c r="S24" s="43">
        <f t="shared" si="13"/>
        <v>188024622.27196416</v>
      </c>
      <c r="U24" s="39">
        <f>A24*VLOOKUP(C24,Stocks!$D$2:$F$146,3)</f>
        <v>0.31130883006166898</v>
      </c>
      <c r="V24" s="154" t="str">
        <f t="shared" si="6"/>
        <v>CIM</v>
      </c>
    </row>
    <row r="25" spans="1:22">
      <c r="A25" s="154">
        <f t="shared" si="16"/>
        <v>4.9504377104377078</v>
      </c>
      <c r="B25" s="40">
        <f t="shared" si="1"/>
        <v>0.19865319865319853</v>
      </c>
      <c r="C25" s="38" t="s">
        <v>389</v>
      </c>
      <c r="D25" s="38">
        <v>24.92</v>
      </c>
      <c r="E25" s="38" t="s">
        <v>2862</v>
      </c>
      <c r="F25" s="38" t="s">
        <v>2993</v>
      </c>
      <c r="H25" s="154" t="str">
        <f t="shared" si="7"/>
        <v>+4.13</v>
      </c>
      <c r="I25" s="848">
        <f t="shared" si="8"/>
        <v>0.19865319865319853</v>
      </c>
      <c r="K25" s="192" t="s">
        <v>1913</v>
      </c>
      <c r="L25" s="172" t="s">
        <v>131</v>
      </c>
      <c r="M25" s="398" t="s">
        <v>1672</v>
      </c>
      <c r="N25" s="38" t="str">
        <f t="shared" si="9"/>
        <v>M</v>
      </c>
      <c r="O25" s="38" t="str">
        <f t="shared" si="10"/>
        <v>265.79</v>
      </c>
      <c r="P25" s="43">
        <f t="shared" si="11"/>
        <v>265790000.00000003</v>
      </c>
      <c r="Q25" s="38" t="str">
        <f t="shared" si="12"/>
        <v>micro</v>
      </c>
      <c r="S25" s="43">
        <f t="shared" si="13"/>
        <v>10665730.337078651</v>
      </c>
      <c r="U25" s="39">
        <f>A25*VLOOKUP(C25,Stocks!$D$2:$F$146,3)</f>
        <v>69.306127946127901</v>
      </c>
      <c r="V25" s="154" t="str">
        <f t="shared" si="6"/>
        <v>CLCT</v>
      </c>
    </row>
    <row r="26" spans="1:22">
      <c r="A26" s="154">
        <f t="shared" si="16"/>
        <v>0.43923115327009654</v>
      </c>
      <c r="B26" s="40">
        <f t="shared" si="1"/>
        <v>2.1467798302546193E-2</v>
      </c>
      <c r="C26" s="38" t="s">
        <v>359</v>
      </c>
      <c r="D26" s="38">
        <v>20.46</v>
      </c>
      <c r="E26" s="38" t="s">
        <v>2863</v>
      </c>
      <c r="F26" s="38" t="s">
        <v>2994</v>
      </c>
      <c r="H26" s="154" t="str">
        <f t="shared" si="7"/>
        <v>+0.43</v>
      </c>
      <c r="I26" s="848">
        <f t="shared" si="8"/>
        <v>2.1467798302546193E-2</v>
      </c>
      <c r="K26" s="192" t="s">
        <v>1907</v>
      </c>
      <c r="L26" s="391">
        <f>M27</f>
        <v>100000000000</v>
      </c>
      <c r="M26" s="1024">
        <f>100*10^10</f>
        <v>1000000000000</v>
      </c>
      <c r="N26" s="38" t="str">
        <f t="shared" si="9"/>
        <v>M</v>
      </c>
      <c r="O26" s="38" t="str">
        <f t="shared" si="10"/>
        <v>801.75</v>
      </c>
      <c r="P26" s="43">
        <f t="shared" si="11"/>
        <v>801750000</v>
      </c>
      <c r="Q26" s="38" t="str">
        <f t="shared" si="12"/>
        <v>small</v>
      </c>
      <c r="S26" s="43">
        <f t="shared" si="13"/>
        <v>39186217.008797653</v>
      </c>
      <c r="U26" s="39">
        <f>A26*VLOOKUP(C26,Stocks!$D$2:$F$146,3)</f>
        <v>0.92080418971543043</v>
      </c>
      <c r="V26" s="154" t="str">
        <f t="shared" si="6"/>
        <v>CLDT</v>
      </c>
    </row>
    <row r="27" spans="1:22">
      <c r="A27" s="154">
        <f t="shared" si="16"/>
        <v>-0.11874345549738052</v>
      </c>
      <c r="B27" s="40">
        <f t="shared" si="1"/>
        <v>-1.0471204188481575E-2</v>
      </c>
      <c r="C27" s="38" t="s">
        <v>828</v>
      </c>
      <c r="D27" s="38">
        <v>11.34</v>
      </c>
      <c r="E27" s="38" t="s">
        <v>2864</v>
      </c>
      <c r="F27" s="38" t="s">
        <v>2995</v>
      </c>
      <c r="H27" s="154" t="str">
        <f t="shared" si="7"/>
        <v>-0.12</v>
      </c>
      <c r="I27" s="848">
        <f t="shared" si="8"/>
        <v>-1.0471204188481575E-2</v>
      </c>
      <c r="K27" s="192" t="s">
        <v>1908</v>
      </c>
      <c r="L27" s="391">
        <f>M28</f>
        <v>20000000000</v>
      </c>
      <c r="M27" s="1025">
        <f>100*10^9</f>
        <v>100000000000</v>
      </c>
      <c r="N27" s="38" t="str">
        <f t="shared" si="9"/>
        <v>B</v>
      </c>
      <c r="O27" s="38" t="str">
        <f t="shared" si="10"/>
        <v>6.14</v>
      </c>
      <c r="P27" s="43">
        <f t="shared" si="11"/>
        <v>6140000000</v>
      </c>
      <c r="Q27" s="38" t="str">
        <f t="shared" si="12"/>
        <v>mid</v>
      </c>
      <c r="S27" s="43">
        <f t="shared" si="13"/>
        <v>541446208.11287475</v>
      </c>
      <c r="U27" s="39">
        <f>A27*VLOOKUP(C27,Stocks!$D$2:$F$146,3)</f>
        <v>-0.24307972774868766</v>
      </c>
      <c r="V27" s="154" t="str">
        <f t="shared" si="6"/>
        <v>CPG</v>
      </c>
    </row>
    <row r="28" spans="1:22">
      <c r="A28" s="154">
        <f t="shared" si="16"/>
        <v>0.48497516735046275</v>
      </c>
      <c r="B28" s="40">
        <f t="shared" si="1"/>
        <v>1.0364931980133774E-2</v>
      </c>
      <c r="C28" s="38" t="s">
        <v>1149</v>
      </c>
      <c r="D28" s="38">
        <v>46.79</v>
      </c>
      <c r="E28" s="38" t="s">
        <v>2865</v>
      </c>
      <c r="F28" s="38" t="s">
        <v>2996</v>
      </c>
      <c r="H28" s="154" t="str">
        <f t="shared" si="7"/>
        <v>+0.48</v>
      </c>
      <c r="I28" s="848">
        <f t="shared" si="8"/>
        <v>1.0364931980133774E-2</v>
      </c>
      <c r="K28" s="192" t="s">
        <v>1909</v>
      </c>
      <c r="L28" s="391">
        <f>M29</f>
        <v>2000000000</v>
      </c>
      <c r="M28" s="1025">
        <f>20*10^9</f>
        <v>20000000000</v>
      </c>
      <c r="N28" s="38" t="str">
        <f t="shared" si="9"/>
        <v>B</v>
      </c>
      <c r="O28" s="38" t="str">
        <f t="shared" si="10"/>
        <v>44.28</v>
      </c>
      <c r="P28" s="43">
        <f t="shared" si="11"/>
        <v>44280000000</v>
      </c>
      <c r="Q28" s="38" t="str">
        <f t="shared" si="12"/>
        <v>big</v>
      </c>
      <c r="S28" s="43">
        <f t="shared" si="13"/>
        <v>946356058.98696303</v>
      </c>
      <c r="U28" s="39">
        <f>A28*VLOOKUP(C28,Stocks!$D$2:$F$146,3)</f>
        <v>0.49690555646728413</v>
      </c>
      <c r="V28" s="154" t="str">
        <f t="shared" si="6"/>
        <v>CSX</v>
      </c>
    </row>
    <row r="29" spans="1:22">
      <c r="A29" s="154">
        <f t="shared" si="16"/>
        <v>0</v>
      </c>
      <c r="B29" s="40">
        <f t="shared" si="1"/>
        <v>0</v>
      </c>
      <c r="C29" s="38" t="s">
        <v>1201</v>
      </c>
      <c r="D29" s="38">
        <v>52.96</v>
      </c>
      <c r="E29" s="38" t="s">
        <v>2828</v>
      </c>
      <c r="F29" s="38" t="s">
        <v>2997</v>
      </c>
      <c r="H29" s="154" t="str">
        <f t="shared" si="7"/>
        <v xml:space="preserve">0.00 </v>
      </c>
      <c r="I29" s="848">
        <f t="shared" si="8"/>
        <v>0</v>
      </c>
      <c r="K29" s="192" t="s">
        <v>1910</v>
      </c>
      <c r="L29" s="391">
        <f>M30</f>
        <v>300000000</v>
      </c>
      <c r="M29" s="1025">
        <f>2*10^9</f>
        <v>2000000000</v>
      </c>
      <c r="N29" s="38" t="str">
        <f t="shared" si="9"/>
        <v>M</v>
      </c>
      <c r="O29" s="38" t="str">
        <f t="shared" si="10"/>
        <v>595.29</v>
      </c>
      <c r="P29" s="43">
        <f t="shared" si="11"/>
        <v>595290000</v>
      </c>
      <c r="Q29" s="38" t="str">
        <f t="shared" si="12"/>
        <v>small</v>
      </c>
      <c r="S29" s="43">
        <f t="shared" si="13"/>
        <v>11240370.090634441</v>
      </c>
      <c r="U29" s="39">
        <f>A29*VLOOKUP(C29,Stocks!$D$2:$F$146,3)</f>
        <v>0</v>
      </c>
      <c r="V29" s="154" t="str">
        <f t="shared" si="6"/>
        <v>CTWS</v>
      </c>
    </row>
    <row r="30" spans="1:22">
      <c r="A30" s="154">
        <f t="shared" si="16"/>
        <v>1.3559992871781219</v>
      </c>
      <c r="B30" s="40">
        <f t="shared" si="1"/>
        <v>1.1939766550833175E-2</v>
      </c>
      <c r="C30" s="38" t="s">
        <v>2186</v>
      </c>
      <c r="D30" s="38">
        <v>113.57</v>
      </c>
      <c r="E30" s="38" t="s">
        <v>2998</v>
      </c>
      <c r="F30" s="38" t="s">
        <v>2999</v>
      </c>
      <c r="H30" s="154" t="str">
        <f t="shared" si="7"/>
        <v>+1.34</v>
      </c>
      <c r="I30" s="848">
        <f t="shared" si="8"/>
        <v>1.1939766550833175E-2</v>
      </c>
      <c r="K30" s="192" t="s">
        <v>1911</v>
      </c>
      <c r="L30" s="391">
        <f>M31</f>
        <v>50000000</v>
      </c>
      <c r="M30" s="1025">
        <f>300*10^6</f>
        <v>300000000</v>
      </c>
      <c r="N30" s="38" t="str">
        <f t="shared" si="9"/>
        <v>B</v>
      </c>
      <c r="O30" s="38" t="str">
        <f t="shared" si="10"/>
        <v>216.99</v>
      </c>
      <c r="P30" s="43">
        <f t="shared" si="11"/>
        <v>216990000000</v>
      </c>
      <c r="Q30" s="38" t="str">
        <f t="shared" si="12"/>
        <v>mega</v>
      </c>
      <c r="S30" s="43">
        <f t="shared" si="13"/>
        <v>1910627806.6390774</v>
      </c>
      <c r="U30" s="39">
        <f>A30*VLOOKUP(C30,Stocks!$D$2:$F$146,3)</f>
        <v>1.3703728796222099</v>
      </c>
      <c r="V30" s="154" t="str">
        <f t="shared" si="6"/>
        <v>CVX</v>
      </c>
    </row>
    <row r="31" spans="1:22" ht="13.5" thickBot="1">
      <c r="A31" s="154">
        <f t="shared" si="16"/>
        <v>0.20398009950248586</v>
      </c>
      <c r="B31" s="40">
        <f t="shared" si="1"/>
        <v>1.990049751243772E-2</v>
      </c>
      <c r="C31" s="38" t="s">
        <v>1135</v>
      </c>
      <c r="D31" s="38">
        <v>10.25</v>
      </c>
      <c r="E31" s="38" t="s">
        <v>2866</v>
      </c>
      <c r="F31" s="38" t="s">
        <v>3000</v>
      </c>
      <c r="H31" s="154" t="str">
        <f t="shared" si="7"/>
        <v>+0.20</v>
      </c>
      <c r="I31" s="848">
        <f t="shared" si="8"/>
        <v>1.990049751243772E-2</v>
      </c>
      <c r="K31" s="51" t="s">
        <v>1912</v>
      </c>
      <c r="L31" s="698">
        <v>0</v>
      </c>
      <c r="M31" s="1026">
        <f>50*10^6</f>
        <v>50000000</v>
      </c>
      <c r="N31" s="38" t="str">
        <f t="shared" si="9"/>
        <v>M</v>
      </c>
      <c r="O31" s="38" t="str">
        <f t="shared" si="10"/>
        <v>154.91</v>
      </c>
      <c r="P31" s="43">
        <f t="shared" si="11"/>
        <v>154910000</v>
      </c>
      <c r="Q31" s="38" t="str">
        <f t="shared" si="12"/>
        <v>micro</v>
      </c>
      <c r="S31" s="43">
        <f t="shared" si="13"/>
        <v>15113170.731707318</v>
      </c>
      <c r="U31" s="39">
        <f>A31*VLOOKUP(C31,Stocks!$D$2:$F$146,3)</f>
        <v>1.658847761194016</v>
      </c>
      <c r="V31" s="154" t="str">
        <f t="shared" si="6"/>
        <v>CWCO</v>
      </c>
    </row>
    <row r="32" spans="1:22" ht="13.5" thickBot="1">
      <c r="A32" s="154">
        <f t="shared" si="16"/>
        <v>0.1506646971934984</v>
      </c>
      <c r="B32" s="40">
        <f t="shared" si="1"/>
        <v>4.4313146233381229E-3</v>
      </c>
      <c r="C32" s="747" t="s">
        <v>712</v>
      </c>
      <c r="D32" s="38">
        <v>34</v>
      </c>
      <c r="E32" s="38" t="s">
        <v>3001</v>
      </c>
      <c r="F32" s="38" t="s">
        <v>2867</v>
      </c>
      <c r="H32" s="154" t="str">
        <f t="shared" ref="H32" si="19">MID(E32,1,5)</f>
        <v>+0.15</v>
      </c>
      <c r="I32" s="848">
        <f t="shared" ref="I32" si="20">-(1-(D32/(D32+-H32)))</f>
        <v>4.4313146233381229E-3</v>
      </c>
      <c r="N32" s="38" t="str">
        <f t="shared" si="9"/>
        <v>B</v>
      </c>
      <c r="O32" s="38" t="str">
        <f t="shared" si="10"/>
        <v>1.64</v>
      </c>
      <c r="P32" s="43">
        <f t="shared" si="11"/>
        <v>1640000000</v>
      </c>
      <c r="Q32" s="38" t="str">
        <f t="shared" si="12"/>
        <v>small</v>
      </c>
      <c r="S32" s="43">
        <f t="shared" si="13"/>
        <v>48235294.117647059</v>
      </c>
      <c r="U32" s="39">
        <f>A32*VLOOKUP(C32,Stocks!$D$2:$F$146,3)</f>
        <v>0.15860472673559575</v>
      </c>
      <c r="V32" s="154" t="str">
        <f t="shared" si="6"/>
        <v>CWT</v>
      </c>
    </row>
    <row r="33" spans="1:22">
      <c r="A33" s="154">
        <f t="shared" si="16"/>
        <v>0.23180792891318802</v>
      </c>
      <c r="B33" s="40">
        <f t="shared" si="1"/>
        <v>7.8605604921393457E-3</v>
      </c>
      <c r="C33" s="38" t="s">
        <v>52</v>
      </c>
      <c r="D33" s="38">
        <v>29.49</v>
      </c>
      <c r="E33" s="38" t="s">
        <v>3002</v>
      </c>
      <c r="F33" s="38" t="s">
        <v>3003</v>
      </c>
      <c r="H33" s="154" t="str">
        <f t="shared" si="7"/>
        <v>+0.23</v>
      </c>
      <c r="I33" s="848">
        <f t="shared" si="8"/>
        <v>7.8605604921393457E-3</v>
      </c>
      <c r="K33" s="388" t="s">
        <v>221</v>
      </c>
      <c r="L33" s="1061">
        <f>MAX(I:I)</f>
        <v>0.19865319865319853</v>
      </c>
      <c r="M33" s="90" t="str">
        <f>VLOOKUP(L33,$B$2:$C$146,2,FALSE)</f>
        <v>CLCT</v>
      </c>
      <c r="N33" s="38" t="str">
        <f t="shared" si="9"/>
        <v>B</v>
      </c>
      <c r="O33" s="38" t="str">
        <f t="shared" si="10"/>
        <v>3.49</v>
      </c>
      <c r="P33" s="43">
        <f t="shared" si="11"/>
        <v>3490000000</v>
      </c>
      <c r="Q33" s="38" t="str">
        <f t="shared" si="12"/>
        <v>mid</v>
      </c>
      <c r="S33" s="43">
        <f t="shared" si="13"/>
        <v>118345201.7633096</v>
      </c>
      <c r="U33" s="39">
        <f>A33*VLOOKUP(C33,Stocks!$D$2:$F$146,3)</f>
        <v>14.698477156527426</v>
      </c>
      <c r="V33" s="154" t="str">
        <f t="shared" si="6"/>
        <v>CXW</v>
      </c>
    </row>
    <row r="34" spans="1:22">
      <c r="A34" s="154">
        <f t="shared" ref="A34" si="21">D34*(1+I34)-D34</f>
        <v>0</v>
      </c>
      <c r="B34" s="40">
        <f t="shared" ref="B34" si="22">I34</f>
        <v>0</v>
      </c>
      <c r="C34" s="747" t="s">
        <v>1150</v>
      </c>
      <c r="D34" s="38">
        <v>71.7</v>
      </c>
      <c r="E34" s="38" t="s">
        <v>2828</v>
      </c>
      <c r="F34" s="38" t="s">
        <v>3004</v>
      </c>
      <c r="H34" s="154" t="str">
        <f t="shared" ref="H34" si="23">MID(E34,1,5)</f>
        <v xml:space="preserve">0.00 </v>
      </c>
      <c r="I34" s="848">
        <f t="shared" ref="I34" si="24">-(1-(D34/(D34+-H34)))</f>
        <v>0</v>
      </c>
      <c r="K34" s="192" t="s">
        <v>161</v>
      </c>
      <c r="L34" s="97">
        <f>MIN(I:I)</f>
        <v>-5.8298631766805387E-2</v>
      </c>
      <c r="M34" s="151" t="str">
        <f>VLOOKUP(L34,$B$2:$C$146,2,FALSE)</f>
        <v>FCX</v>
      </c>
      <c r="N34" s="38" t="str">
        <f t="shared" ref="N34" si="25">RIGHT(TRIM(F34))</f>
        <v>B</v>
      </c>
      <c r="O34" s="38" t="str">
        <f t="shared" ref="O34" si="26">IF(ISERROR(LEFT(F34,FIND("B",F34,1)-1))=TRUE,LEFT(F34,FIND("M",F34,1)-1),LEFT(F34,FIND("B",F34,1)-1))</f>
        <v>44.95</v>
      </c>
      <c r="P34" s="43">
        <f t="shared" ref="P34" si="27">IF(N34="B",O34*10^9,O34*10^6)</f>
        <v>44950000000</v>
      </c>
      <c r="Q34" s="38" t="str">
        <f t="shared" ref="Q34" si="28">IF(AND(P34&lt;$M$26,P34&gt;=$L$26),$K$26,IF(AND(P34&lt;$M$27,P34&gt;=$L$27),$K$27,IF(AND(P34&lt;$M$28,P34&gt;=$L$28),$K$28,IF(AND(P34&lt;$M$29,P34&gt;=$L$29),$K$29,IF(AND(P34&lt;$M$30,P34&gt;=$L$30),$K$30,$K$31)))))</f>
        <v>big</v>
      </c>
      <c r="S34" s="43">
        <f t="shared" si="13"/>
        <v>626917712.69177127</v>
      </c>
      <c r="U34" s="39">
        <f>A34*VLOOKUP(C34,Stocks!$D$2:$F$146,3)</f>
        <v>0</v>
      </c>
      <c r="V34" s="154" t="str">
        <f t="shared" ref="V34:V65" si="29">C34</f>
        <v>D</v>
      </c>
    </row>
    <row r="35" spans="1:22">
      <c r="A35" s="154">
        <f t="shared" si="16"/>
        <v>-2.9940436796822567E-2</v>
      </c>
      <c r="B35" s="40">
        <f t="shared" si="1"/>
        <v>-1.9854401058900795E-3</v>
      </c>
      <c r="C35" s="38" t="s">
        <v>2130</v>
      </c>
      <c r="D35" s="38">
        <v>15.08</v>
      </c>
      <c r="E35" s="38" t="s">
        <v>2868</v>
      </c>
      <c r="F35" s="38" t="s">
        <v>3005</v>
      </c>
      <c r="H35" s="154" t="str">
        <f t="shared" si="7"/>
        <v>-0.03</v>
      </c>
      <c r="I35" s="848">
        <f t="shared" si="8"/>
        <v>-1.9854401058900795E-3</v>
      </c>
      <c r="K35" s="192" t="s">
        <v>474</v>
      </c>
      <c r="L35" s="97">
        <f>MEDIAN(I:I)</f>
        <v>6.7317401548299127E-3</v>
      </c>
      <c r="M35" s="151" t="str">
        <f>VLOOKUP(L35,$B$2:$C$146,2,FALSE)</f>
        <v>O</v>
      </c>
      <c r="N35" s="38" t="str">
        <f t="shared" ref="N35:N66" si="30">RIGHT(TRIM(F35))</f>
        <v>B</v>
      </c>
      <c r="O35" s="38" t="str">
        <f t="shared" ref="O35:O66" si="31">IF(ISERROR(LEFT(F35,FIND("B",F35,1)-1))=TRUE,LEFT(F35,FIND("M",F35,1)-1),LEFT(F35,FIND("B",F35,1)-1))</f>
        <v>5.51</v>
      </c>
      <c r="P35" s="43">
        <f t="shared" si="11"/>
        <v>5510000000</v>
      </c>
      <c r="Q35" s="38" t="str">
        <f t="shared" si="12"/>
        <v>mid</v>
      </c>
      <c r="S35" s="43">
        <f t="shared" ref="S35:S66" si="32">P35/D35</f>
        <v>365384615.38461536</v>
      </c>
      <c r="U35" s="39">
        <f>A35*VLOOKUP(C35,Stocks!$D$2:$F$146,3)</f>
        <v>-9.0926112508270457E-2</v>
      </c>
      <c r="V35" s="154" t="str">
        <f t="shared" si="29"/>
        <v>DDR</v>
      </c>
    </row>
    <row r="36" spans="1:22" ht="13.5" thickBot="1">
      <c r="A36" s="154">
        <f t="shared" si="16"/>
        <v>0</v>
      </c>
      <c r="B36" s="40">
        <f t="shared" si="1"/>
        <v>0</v>
      </c>
      <c r="C36" s="38" t="s">
        <v>336</v>
      </c>
      <c r="D36" s="38">
        <v>3.42</v>
      </c>
      <c r="E36" s="38" t="s">
        <v>2828</v>
      </c>
      <c r="F36" s="38" t="s">
        <v>3006</v>
      </c>
      <c r="H36" s="154" t="str">
        <f t="shared" si="7"/>
        <v xml:space="preserve">0.00 </v>
      </c>
      <c r="I36" s="848">
        <f t="shared" si="8"/>
        <v>0</v>
      </c>
      <c r="K36" s="51" t="s">
        <v>472</v>
      </c>
      <c r="L36" s="353">
        <f>AVERAGE(I:I)</f>
        <v>7.8023779554698353E-3</v>
      </c>
      <c r="M36" s="377" t="e">
        <f>VLOOKUP(L36,$B$2:$C$146,2,FALSE)</f>
        <v>#N/A</v>
      </c>
      <c r="N36" s="38" t="str">
        <f t="shared" si="30"/>
        <v>M</v>
      </c>
      <c r="O36" s="38" t="str">
        <f t="shared" si="31"/>
        <v>248.66</v>
      </c>
      <c r="P36" s="43">
        <f t="shared" si="11"/>
        <v>248660000</v>
      </c>
      <c r="Q36" s="38" t="str">
        <f t="shared" si="12"/>
        <v>micro</v>
      </c>
      <c r="S36" s="43">
        <f t="shared" si="32"/>
        <v>72707602.339181289</v>
      </c>
      <c r="U36" s="39">
        <f>A36*VLOOKUP(C36,Stocks!$D$2:$F$146,3)</f>
        <v>0</v>
      </c>
      <c r="V36" s="154" t="str">
        <f t="shared" si="29"/>
        <v>DHF</v>
      </c>
    </row>
    <row r="37" spans="1:22" ht="13.5" thickBot="1">
      <c r="A37" s="154">
        <f t="shared" si="16"/>
        <v>2.0148148148147804E-2</v>
      </c>
      <c r="B37" s="40">
        <f t="shared" si="1"/>
        <v>7.4074074074073071E-3</v>
      </c>
      <c r="C37" s="38" t="s">
        <v>596</v>
      </c>
      <c r="D37" s="38">
        <v>2.72</v>
      </c>
      <c r="E37" s="38" t="s">
        <v>2869</v>
      </c>
      <c r="F37" s="38" t="s">
        <v>3007</v>
      </c>
      <c r="H37" s="154" t="str">
        <f t="shared" si="7"/>
        <v>+0.02</v>
      </c>
      <c r="I37" s="848">
        <f t="shared" si="8"/>
        <v>7.4074074074073071E-3</v>
      </c>
      <c r="N37" s="38" t="str">
        <f t="shared" si="30"/>
        <v>M</v>
      </c>
      <c r="O37" s="38" t="str">
        <f t="shared" si="31"/>
        <v>273.79</v>
      </c>
      <c r="P37" s="43">
        <f t="shared" si="11"/>
        <v>273790000</v>
      </c>
      <c r="Q37" s="38" t="str">
        <f t="shared" si="12"/>
        <v>micro</v>
      </c>
      <c r="S37" s="43">
        <f t="shared" si="32"/>
        <v>100658088.2352941</v>
      </c>
      <c r="U37" s="39">
        <f>A37*VLOOKUP(C37,Stocks!$D$2:$F$146,3)</f>
        <v>1.259517155555534</v>
      </c>
      <c r="V37" s="154" t="str">
        <f t="shared" si="29"/>
        <v>DHY</v>
      </c>
    </row>
    <row r="38" spans="1:22">
      <c r="A38" s="154">
        <f t="shared" si="16"/>
        <v>1.7857741302049419</v>
      </c>
      <c r="B38" s="40">
        <f t="shared" si="1"/>
        <v>8.9119379688837874E-3</v>
      </c>
      <c r="C38" s="38" t="s">
        <v>45</v>
      </c>
      <c r="D38" s="38">
        <v>200.38</v>
      </c>
      <c r="E38" s="38" t="s">
        <v>2870</v>
      </c>
      <c r="F38" s="38" t="s">
        <v>3008</v>
      </c>
      <c r="H38" s="154" t="str">
        <f t="shared" si="7"/>
        <v>+1.77</v>
      </c>
      <c r="I38" s="848">
        <f t="shared" si="8"/>
        <v>8.9119379688837874E-3</v>
      </c>
      <c r="K38" s="388" t="s">
        <v>221</v>
      </c>
      <c r="L38" s="733">
        <f>MAX(A:A)</f>
        <v>4.9504377104377078</v>
      </c>
      <c r="M38" s="90" t="str">
        <f>VLOOKUP(L38,$A$2:$C$146,3,FALSE)</f>
        <v>CLCT</v>
      </c>
      <c r="N38" s="38" t="str">
        <f t="shared" si="30"/>
        <v>B</v>
      </c>
      <c r="O38" s="38" t="str">
        <f t="shared" si="31"/>
        <v>16.69</v>
      </c>
      <c r="P38" s="43">
        <f t="shared" si="11"/>
        <v>16690000000.000002</v>
      </c>
      <c r="Q38" s="38" t="str">
        <f t="shared" si="12"/>
        <v>mid</v>
      </c>
      <c r="S38" s="43">
        <f t="shared" si="32"/>
        <v>83291745.683201924</v>
      </c>
      <c r="U38" s="39">
        <f>A38*VLOOKUP(C38,Stocks!$D$2:$F$146,3)</f>
        <v>51.917989864861298</v>
      </c>
      <c r="V38" s="154" t="str">
        <f t="shared" si="29"/>
        <v>DIA</v>
      </c>
    </row>
    <row r="39" spans="1:22">
      <c r="A39" s="154">
        <f t="shared" si="16"/>
        <v>0.35204644169729704</v>
      </c>
      <c r="B39" s="40">
        <f t="shared" si="1"/>
        <v>5.84697627798203E-3</v>
      </c>
      <c r="C39" s="38" t="s">
        <v>1140</v>
      </c>
      <c r="D39" s="38">
        <v>60.21</v>
      </c>
      <c r="E39" s="38" t="s">
        <v>2871</v>
      </c>
      <c r="F39" s="38" t="s">
        <v>3009</v>
      </c>
      <c r="H39" s="154" t="str">
        <f t="shared" si="7"/>
        <v>+0.35</v>
      </c>
      <c r="I39" s="848">
        <f t="shared" si="8"/>
        <v>5.84697627798203E-3</v>
      </c>
      <c r="K39" s="192" t="s">
        <v>161</v>
      </c>
      <c r="L39" s="96">
        <f>MIN(A:A)</f>
        <v>-1.8556332660838351</v>
      </c>
      <c r="M39" s="151" t="str">
        <f>VLOOKUP(L39,$A$2:$C$146,3,FALSE)</f>
        <v>RIO</v>
      </c>
      <c r="N39" s="38" t="str">
        <f t="shared" si="30"/>
        <v>B</v>
      </c>
      <c r="O39" s="38" t="str">
        <f t="shared" si="31"/>
        <v>67.91</v>
      </c>
      <c r="P39" s="43">
        <f t="shared" si="11"/>
        <v>67910000000</v>
      </c>
      <c r="Q39" s="38" t="str">
        <f t="shared" si="12"/>
        <v>big</v>
      </c>
      <c r="S39" s="43">
        <f t="shared" si="32"/>
        <v>1127885733.2668991</v>
      </c>
      <c r="U39" s="39">
        <f>A39*VLOOKUP(C39,Stocks!$D$2:$F$146,3)</f>
        <v>0.3639456114266657</v>
      </c>
      <c r="V39" s="154" t="str">
        <f t="shared" si="29"/>
        <v>DOW</v>
      </c>
    </row>
    <row r="40" spans="1:22">
      <c r="A40" s="154">
        <f t="shared" si="16"/>
        <v>1.0011961722488749E-2</v>
      </c>
      <c r="B40" s="40">
        <f t="shared" si="1"/>
        <v>1.1961722488038617E-3</v>
      </c>
      <c r="C40" s="38" t="s">
        <v>40</v>
      </c>
      <c r="D40" s="38">
        <v>8.3699999999999992</v>
      </c>
      <c r="E40" s="38" t="s">
        <v>2872</v>
      </c>
      <c r="F40" s="38" t="s">
        <v>3010</v>
      </c>
      <c r="H40" s="154" t="str">
        <f t="shared" si="7"/>
        <v>+0.01</v>
      </c>
      <c r="I40" s="848">
        <f t="shared" si="8"/>
        <v>1.1961722488038617E-3</v>
      </c>
      <c r="K40" s="192" t="s">
        <v>474</v>
      </c>
      <c r="L40" s="96">
        <f>MEDIAN(A:A)</f>
        <v>0.12357320099255631</v>
      </c>
      <c r="M40" s="151" t="str">
        <f>VLOOKUP(L40,$A$2:$C$146,3,FALSE)</f>
        <v>FMCC</v>
      </c>
      <c r="N40" s="38" t="str">
        <f t="shared" si="30"/>
        <v>M</v>
      </c>
      <c r="O40" s="38" t="str">
        <f t="shared" si="31"/>
        <v>411.94</v>
      </c>
      <c r="P40" s="43">
        <f t="shared" si="11"/>
        <v>411940000</v>
      </c>
      <c r="Q40" s="38" t="str">
        <f t="shared" si="12"/>
        <v>small</v>
      </c>
      <c r="S40" s="43">
        <f t="shared" si="32"/>
        <v>49216248.506571092</v>
      </c>
      <c r="U40" s="39">
        <f>A40*VLOOKUP(C40,Stocks!$D$2:$F$146,3)</f>
        <v>7.3239442320579364</v>
      </c>
      <c r="V40" s="154" t="str">
        <f t="shared" si="29"/>
        <v>DSM</v>
      </c>
    </row>
    <row r="41" spans="1:22" ht="13.5" thickBot="1">
      <c r="A41" s="154">
        <f t="shared" si="16"/>
        <v>1.0054347826086829E-2</v>
      </c>
      <c r="B41" s="40">
        <f t="shared" si="1"/>
        <v>5.4347826086955653E-3</v>
      </c>
      <c r="C41" s="38" t="s">
        <v>89</v>
      </c>
      <c r="D41" s="38">
        <v>1.85</v>
      </c>
      <c r="E41" s="38" t="s">
        <v>3011</v>
      </c>
      <c r="F41" s="38" t="s">
        <v>3012</v>
      </c>
      <c r="H41" s="154" t="str">
        <f t="shared" si="7"/>
        <v>+0.01</v>
      </c>
      <c r="I41" s="848">
        <f t="shared" si="8"/>
        <v>5.4347826086955653E-3</v>
      </c>
      <c r="K41" s="51" t="s">
        <v>472</v>
      </c>
      <c r="L41" s="102">
        <f>AVERAGE(A:A)</f>
        <v>0.28478469959470493</v>
      </c>
      <c r="M41" s="377" t="e">
        <f>VLOOKUP(L41,$A$2:$C$146,3,FALSE)</f>
        <v>#N/A</v>
      </c>
      <c r="N41" s="38" t="str">
        <f t="shared" si="30"/>
        <v>M</v>
      </c>
      <c r="O41" s="38" t="str">
        <f t="shared" si="31"/>
        <v>30.47</v>
      </c>
      <c r="P41" s="43">
        <f t="shared" si="11"/>
        <v>30470000</v>
      </c>
      <c r="Q41" s="38" t="str">
        <f t="shared" si="12"/>
        <v>nano</v>
      </c>
      <c r="S41" s="43">
        <f t="shared" si="32"/>
        <v>16470270.270270269</v>
      </c>
      <c r="U41" s="39">
        <f>A41*VLOOKUP(C41,Stocks!$D$2:$F$146,3)</f>
        <v>4.5245047826086378</v>
      </c>
      <c r="V41" s="154" t="str">
        <f t="shared" si="29"/>
        <v>DSWL</v>
      </c>
    </row>
    <row r="42" spans="1:22" ht="13.5" thickBot="1">
      <c r="A42" s="154">
        <f t="shared" si="16"/>
        <v>0.70557409224729994</v>
      </c>
      <c r="B42" s="40">
        <f t="shared" si="1"/>
        <v>2.2571148184494572E-2</v>
      </c>
      <c r="C42" s="38" t="s">
        <v>1146</v>
      </c>
      <c r="D42" s="38">
        <v>31.26</v>
      </c>
      <c r="E42" s="38" t="s">
        <v>2873</v>
      </c>
      <c r="F42" s="38" t="s">
        <v>3013</v>
      </c>
      <c r="H42" s="154" t="str">
        <f t="shared" si="7"/>
        <v>+0.69</v>
      </c>
      <c r="I42" s="848">
        <f t="shared" si="8"/>
        <v>2.2571148184494572E-2</v>
      </c>
      <c r="N42" s="38" t="str">
        <f t="shared" si="30"/>
        <v>B</v>
      </c>
      <c r="O42" s="38" t="str">
        <f t="shared" si="31"/>
        <v>58.13</v>
      </c>
      <c r="P42" s="43">
        <f t="shared" si="11"/>
        <v>58130000000</v>
      </c>
      <c r="Q42" s="38" t="str">
        <f t="shared" si="12"/>
        <v>big</v>
      </c>
      <c r="S42" s="43">
        <f t="shared" si="32"/>
        <v>1859564939.2194498</v>
      </c>
      <c r="U42" s="39">
        <f>A42*VLOOKUP(C42,Stocks!$D$2:$F$146,3)</f>
        <v>0.73372649852796723</v>
      </c>
      <c r="V42" s="154" t="str">
        <f t="shared" si="29"/>
        <v>E</v>
      </c>
    </row>
    <row r="43" spans="1:22">
      <c r="A43" s="154">
        <f t="shared" si="16"/>
        <v>2.0046783625730313E-2</v>
      </c>
      <c r="B43" s="40">
        <f t="shared" si="1"/>
        <v>2.3391812865496409E-3</v>
      </c>
      <c r="C43" s="38" t="s">
        <v>337</v>
      </c>
      <c r="D43" s="38">
        <v>8.57</v>
      </c>
      <c r="E43" s="38" t="s">
        <v>2874</v>
      </c>
      <c r="F43" s="38" t="s">
        <v>3014</v>
      </c>
      <c r="H43" s="154" t="str">
        <f t="shared" si="7"/>
        <v>+0.02</v>
      </c>
      <c r="I43" s="848">
        <f t="shared" si="8"/>
        <v>2.3391812865496409E-3</v>
      </c>
      <c r="K43" s="198" t="s">
        <v>2181</v>
      </c>
      <c r="L43" s="352">
        <f>MAX(U:U)</f>
        <v>121.79074142039546</v>
      </c>
      <c r="M43" s="90" t="str">
        <f>VLOOKUP(L43,U:V,2,FALSE)</f>
        <v>O</v>
      </c>
      <c r="N43" s="38" t="str">
        <f t="shared" si="30"/>
        <v>M</v>
      </c>
      <c r="O43" s="38" t="str">
        <f t="shared" si="31"/>
        <v>722.61</v>
      </c>
      <c r="P43" s="43">
        <f t="shared" si="11"/>
        <v>722610000</v>
      </c>
      <c r="Q43" s="38" t="str">
        <f t="shared" si="12"/>
        <v>small</v>
      </c>
      <c r="S43" s="43">
        <f t="shared" si="32"/>
        <v>84318553.092182025</v>
      </c>
      <c r="U43" s="39">
        <f>A43*VLOOKUP(C43,Stocks!$D$2:$F$146,3)</f>
        <v>0.14315809122806533</v>
      </c>
      <c r="V43" s="154" t="str">
        <f t="shared" si="29"/>
        <v>EAD</v>
      </c>
    </row>
    <row r="44" spans="1:22">
      <c r="A44" s="154">
        <f t="shared" si="16"/>
        <v>0.66739809782608717</v>
      </c>
      <c r="B44" s="40">
        <f t="shared" si="1"/>
        <v>1.1209239130434812E-2</v>
      </c>
      <c r="C44" s="38" t="s">
        <v>1151</v>
      </c>
      <c r="D44" s="38">
        <v>59.54</v>
      </c>
      <c r="E44" s="38" t="s">
        <v>3015</v>
      </c>
      <c r="F44" s="38" t="s">
        <v>3016</v>
      </c>
      <c r="H44" s="154" t="str">
        <f t="shared" si="7"/>
        <v>+0.66</v>
      </c>
      <c r="I44" s="848">
        <f t="shared" si="8"/>
        <v>1.1209239130434812E-2</v>
      </c>
      <c r="K44" s="150" t="s">
        <v>1270</v>
      </c>
      <c r="L44" s="96">
        <f>MIN(U:U)</f>
        <v>-44.567294198691222</v>
      </c>
      <c r="M44" s="151" t="str">
        <f>VLOOKUP(L44,U:V,2,FALSE)</f>
        <v>FCX</v>
      </c>
      <c r="N44" s="38" t="str">
        <f t="shared" si="30"/>
        <v>B</v>
      </c>
      <c r="O44" s="38" t="str">
        <f t="shared" si="31"/>
        <v>38.80</v>
      </c>
      <c r="P44" s="43">
        <f t="shared" si="11"/>
        <v>38800000000</v>
      </c>
      <c r="Q44" s="38" t="str">
        <f t="shared" si="12"/>
        <v>big</v>
      </c>
      <c r="S44" s="43">
        <f t="shared" si="32"/>
        <v>651662747.73261678</v>
      </c>
      <c r="U44" s="39">
        <f>A44*VLOOKUP(C44,Stocks!$D$2:$F$146,3)</f>
        <v>0.71037853532608719</v>
      </c>
      <c r="V44" s="154" t="str">
        <f t="shared" si="29"/>
        <v>EMR</v>
      </c>
    </row>
    <row r="45" spans="1:22">
      <c r="A45" s="154">
        <f t="shared" si="16"/>
        <v>1.1867383512544798</v>
      </c>
      <c r="B45" s="40">
        <f t="shared" si="1"/>
        <v>7.8853046594982157E-2</v>
      </c>
      <c r="C45" s="38" t="s">
        <v>824</v>
      </c>
      <c r="D45" s="38">
        <v>15.05</v>
      </c>
      <c r="E45" s="38" t="s">
        <v>2875</v>
      </c>
      <c r="F45" s="38" t="s">
        <v>3017</v>
      </c>
      <c r="H45" s="154" t="str">
        <f t="shared" si="7"/>
        <v>+1.10</v>
      </c>
      <c r="I45" s="848">
        <f t="shared" si="8"/>
        <v>7.8853046594982157E-2</v>
      </c>
      <c r="K45" s="192" t="s">
        <v>474</v>
      </c>
      <c r="L45" s="96">
        <f>MEDIAN(U:U)</f>
        <v>0.41866224940532715</v>
      </c>
      <c r="M45" s="151" t="str">
        <f>VLOOKUP(L45,U:V,2,FALSE)</f>
        <v>MO</v>
      </c>
      <c r="N45" s="38" t="str">
        <f t="shared" si="30"/>
        <v>M</v>
      </c>
      <c r="O45" s="38" t="str">
        <f t="shared" si="31"/>
        <v>539.30</v>
      </c>
      <c r="P45" s="43">
        <f t="shared" si="11"/>
        <v>539300000</v>
      </c>
      <c r="Q45" s="38" t="str">
        <f t="shared" si="12"/>
        <v>small</v>
      </c>
      <c r="S45" s="43">
        <f t="shared" si="32"/>
        <v>35833887.043189369</v>
      </c>
      <c r="U45" s="39">
        <f>A45*VLOOKUP(C45,Stocks!$D$2:$F$146,3)</f>
        <v>1.1867383512544798</v>
      </c>
      <c r="V45" s="154" t="str">
        <f t="shared" si="29"/>
        <v>ENVA</v>
      </c>
    </row>
    <row r="46" spans="1:22" ht="13.5" thickBot="1">
      <c r="A46" s="154">
        <f t="shared" si="16"/>
        <v>0.26092223738062614</v>
      </c>
      <c r="B46" s="40">
        <f t="shared" si="1"/>
        <v>3.5470668485675372E-3</v>
      </c>
      <c r="C46" s="38" t="s">
        <v>357</v>
      </c>
      <c r="D46" s="38">
        <v>73.56</v>
      </c>
      <c r="E46" s="38" t="s">
        <v>3018</v>
      </c>
      <c r="F46" s="38" t="s">
        <v>3019</v>
      </c>
      <c r="H46" s="154" t="str">
        <f t="shared" si="7"/>
        <v>+0.26</v>
      </c>
      <c r="I46" s="848">
        <f t="shared" si="8"/>
        <v>3.5470668485675372E-3</v>
      </c>
      <c r="K46" s="51" t="s">
        <v>472</v>
      </c>
      <c r="L46" s="102">
        <f>AVERAGE(U:U)</f>
        <v>3.5429126083300937</v>
      </c>
      <c r="M46" s="377" t="e">
        <f>VLOOKUP(L46,U:V,2,FALSE)</f>
        <v>#N/A</v>
      </c>
      <c r="N46" s="38" t="str">
        <f t="shared" si="30"/>
        <v>B</v>
      </c>
      <c r="O46" s="38" t="str">
        <f t="shared" si="31"/>
        <v>4.70</v>
      </c>
      <c r="P46" s="43">
        <f t="shared" si="11"/>
        <v>4700000000</v>
      </c>
      <c r="Q46" s="38" t="str">
        <f t="shared" si="12"/>
        <v>mid</v>
      </c>
      <c r="S46" s="43">
        <f t="shared" si="32"/>
        <v>63893420.337139748</v>
      </c>
      <c r="U46" s="39">
        <f>A46*VLOOKUP(C46,Stocks!$D$2:$F$146,3)</f>
        <v>0.28698836889495072</v>
      </c>
      <c r="V46" s="154" t="str">
        <f t="shared" si="29"/>
        <v>EPR</v>
      </c>
    </row>
    <row r="47" spans="1:22">
      <c r="A47" s="154">
        <f t="shared" si="16"/>
        <v>-6.9477054429029295E-2</v>
      </c>
      <c r="B47" s="40">
        <f t="shared" si="1"/>
        <v>-7.4706510138741189E-3</v>
      </c>
      <c r="C47" s="38" t="s">
        <v>41</v>
      </c>
      <c r="D47" s="38">
        <v>9.3000000000000007</v>
      </c>
      <c r="E47" s="38" t="s">
        <v>3020</v>
      </c>
      <c r="F47" s="38" t="s">
        <v>2842</v>
      </c>
      <c r="H47" s="154" t="str">
        <f t="shared" si="7"/>
        <v>-0.07</v>
      </c>
      <c r="I47" s="848">
        <f t="shared" si="8"/>
        <v>-7.4706510138741189E-3</v>
      </c>
      <c r="K47" s="52" t="s">
        <v>2182</v>
      </c>
      <c r="N47" s="38" t="str">
        <f t="shared" si="30"/>
        <v>B</v>
      </c>
      <c r="O47" s="38" t="str">
        <f t="shared" si="31"/>
        <v>2.22</v>
      </c>
      <c r="P47" s="43">
        <f t="shared" si="11"/>
        <v>2220000000</v>
      </c>
      <c r="Q47" s="38" t="str">
        <f t="shared" si="12"/>
        <v>mid</v>
      </c>
      <c r="S47" s="43">
        <f t="shared" si="32"/>
        <v>238709677.41935483</v>
      </c>
      <c r="U47" s="39">
        <f>A47*VLOOKUP(C47,Stocks!$D$2:$F$146,3)</f>
        <v>-8.6677280362860785</v>
      </c>
      <c r="V47" s="154" t="str">
        <f t="shared" si="29"/>
        <v>ERF</v>
      </c>
    </row>
    <row r="48" spans="1:22">
      <c r="A48" s="154">
        <f t="shared" si="16"/>
        <v>0.28638436482084728</v>
      </c>
      <c r="B48" s="40">
        <f t="shared" si="1"/>
        <v>2.2801302931596101E-2</v>
      </c>
      <c r="C48" s="38" t="s">
        <v>1</v>
      </c>
      <c r="D48" s="38">
        <v>12.56</v>
      </c>
      <c r="E48" s="38" t="s">
        <v>3021</v>
      </c>
      <c r="F48" s="38" t="s">
        <v>3022</v>
      </c>
      <c r="H48" s="154" t="str">
        <f t="shared" si="7"/>
        <v>+0.28</v>
      </c>
      <c r="I48" s="848">
        <f t="shared" si="8"/>
        <v>2.2801302931596101E-2</v>
      </c>
      <c r="N48" s="38" t="str">
        <f t="shared" si="30"/>
        <v>B</v>
      </c>
      <c r="O48" s="38" t="str">
        <f t="shared" si="31"/>
        <v>51.05</v>
      </c>
      <c r="P48" s="43">
        <f t="shared" si="11"/>
        <v>51050000000</v>
      </c>
      <c r="Q48" s="38" t="str">
        <f t="shared" si="12"/>
        <v>big</v>
      </c>
      <c r="S48" s="43">
        <f t="shared" si="32"/>
        <v>4064490445.8598723</v>
      </c>
      <c r="U48" s="39">
        <f>A48*VLOOKUP(C48,Stocks!$D$2:$F$146,3)</f>
        <v>3.3048469315960953</v>
      </c>
      <c r="V48" s="154" t="str">
        <f t="shared" si="29"/>
        <v>F</v>
      </c>
    </row>
    <row r="49" spans="1:22">
      <c r="A49" s="154">
        <f t="shared" si="16"/>
        <v>0.40370799536500357</v>
      </c>
      <c r="B49" s="40">
        <f t="shared" si="1"/>
        <v>9.2699884125144738E-3</v>
      </c>
      <c r="C49" s="38" t="s">
        <v>2416</v>
      </c>
      <c r="D49" s="38">
        <v>43.55</v>
      </c>
      <c r="E49" s="38" t="s">
        <v>3023</v>
      </c>
      <c r="F49" s="38" t="s">
        <v>2876</v>
      </c>
      <c r="H49" s="154" t="str">
        <f t="shared" si="7"/>
        <v>+0.40</v>
      </c>
      <c r="I49" s="848">
        <f t="shared" si="8"/>
        <v>9.2699884125144738E-3</v>
      </c>
      <c r="K49" s="1293" t="s">
        <v>2238</v>
      </c>
      <c r="L49" s="39">
        <f>SUM(U:U)</f>
        <v>513.7223282078636</v>
      </c>
      <c r="N49" s="38" t="str">
        <f t="shared" si="30"/>
        <v>B</v>
      </c>
      <c r="O49" s="38" t="str">
        <f t="shared" si="31"/>
        <v>2.13</v>
      </c>
      <c r="P49" s="43">
        <f t="shared" si="11"/>
        <v>2130000000</v>
      </c>
      <c r="Q49" s="38" t="str">
        <f t="shared" si="12"/>
        <v>mid</v>
      </c>
      <c r="S49" s="43">
        <f t="shared" si="32"/>
        <v>48909299.655568317</v>
      </c>
      <c r="U49" s="39">
        <f>A49*VLOOKUP(C49,Stocks!$D$2:$F$146,3)</f>
        <v>0.41489070683661416</v>
      </c>
      <c r="V49" s="154" t="str">
        <f t="shared" si="29"/>
        <v>FCFS</v>
      </c>
    </row>
    <row r="50" spans="1:22">
      <c r="A50" s="154">
        <f t="shared" si="16"/>
        <v>-0.92286734086852995</v>
      </c>
      <c r="B50" s="40">
        <f t="shared" si="1"/>
        <v>-5.8298631766805387E-2</v>
      </c>
      <c r="C50" s="38" t="s">
        <v>247</v>
      </c>
      <c r="D50" s="38">
        <v>15.83</v>
      </c>
      <c r="E50" s="38" t="s">
        <v>3024</v>
      </c>
      <c r="F50" s="38" t="s">
        <v>3025</v>
      </c>
      <c r="H50" s="154" t="str">
        <f t="shared" si="7"/>
        <v>-0.98</v>
      </c>
      <c r="I50" s="848">
        <f t="shared" si="8"/>
        <v>-5.8298631766805387E-2</v>
      </c>
      <c r="K50" s="1293" t="s">
        <v>2478</v>
      </c>
      <c r="L50" s="386">
        <f>(L3/(L3-L49))-1</f>
        <v>7.800585739279331E-3</v>
      </c>
      <c r="N50" s="38" t="str">
        <f t="shared" si="30"/>
        <v>B</v>
      </c>
      <c r="O50" s="38" t="str">
        <f t="shared" si="31"/>
        <v>20.30</v>
      </c>
      <c r="P50" s="43">
        <f t="shared" si="11"/>
        <v>20300000000</v>
      </c>
      <c r="Q50" s="38" t="str">
        <f t="shared" si="12"/>
        <v>big</v>
      </c>
      <c r="S50" s="43">
        <f t="shared" si="32"/>
        <v>1282375236.8919773</v>
      </c>
      <c r="U50" s="39">
        <f>A50*VLOOKUP(C50,Stocks!$D$2:$F$146,3)</f>
        <v>-44.567294198691222</v>
      </c>
      <c r="V50" s="154" t="str">
        <f t="shared" si="29"/>
        <v>FCX</v>
      </c>
    </row>
    <row r="51" spans="1:22">
      <c r="A51" s="154">
        <f t="shared" si="16"/>
        <v>0.12357320099255631</v>
      </c>
      <c r="B51" s="40">
        <f t="shared" si="1"/>
        <v>2.977667493796532E-2</v>
      </c>
      <c r="C51" s="38" t="s">
        <v>511</v>
      </c>
      <c r="D51" s="38">
        <v>4.1500000000000004</v>
      </c>
      <c r="E51" s="38" t="s">
        <v>2877</v>
      </c>
      <c r="F51" s="38" t="s">
        <v>2878</v>
      </c>
      <c r="H51" s="154" t="str">
        <f t="shared" si="7"/>
        <v>+0.12</v>
      </c>
      <c r="I51" s="848">
        <f t="shared" si="8"/>
        <v>2.977667493796532E-2</v>
      </c>
      <c r="M51" s="747"/>
      <c r="N51" s="38" t="str">
        <f t="shared" si="30"/>
        <v>B</v>
      </c>
      <c r="O51" s="38" t="str">
        <f t="shared" si="31"/>
        <v>2.70</v>
      </c>
      <c r="P51" s="43">
        <f t="shared" si="11"/>
        <v>2700000000</v>
      </c>
      <c r="Q51" s="38" t="str">
        <f t="shared" si="12"/>
        <v>mid</v>
      </c>
      <c r="S51" s="43">
        <f t="shared" si="32"/>
        <v>650602409.63855422</v>
      </c>
      <c r="U51" s="39">
        <f>A51*VLOOKUP(C51,Stocks!$D$2:$F$146,3)</f>
        <v>1.9771712158809009</v>
      </c>
      <c r="V51" s="154" t="str">
        <f t="shared" si="29"/>
        <v>FMCC</v>
      </c>
    </row>
    <row r="52" spans="1:22">
      <c r="A52" s="154">
        <f t="shared" si="16"/>
        <v>0.15533175355450268</v>
      </c>
      <c r="B52" s="40">
        <f t="shared" si="1"/>
        <v>3.5545023696682554E-2</v>
      </c>
      <c r="C52" s="38" t="s">
        <v>512</v>
      </c>
      <c r="D52" s="38">
        <v>4.37</v>
      </c>
      <c r="E52" s="38" t="s">
        <v>2879</v>
      </c>
      <c r="F52" s="38" t="s">
        <v>2880</v>
      </c>
      <c r="H52" s="154" t="str">
        <f t="shared" si="7"/>
        <v>+0.15</v>
      </c>
      <c r="I52" s="848">
        <f t="shared" si="8"/>
        <v>3.5545023696682554E-2</v>
      </c>
      <c r="M52" s="375"/>
      <c r="N52" s="38" t="str">
        <f t="shared" si="30"/>
        <v>B</v>
      </c>
      <c r="O52" s="38" t="str">
        <f t="shared" si="31"/>
        <v>5.06</v>
      </c>
      <c r="P52" s="43">
        <f t="shared" si="11"/>
        <v>5060000000</v>
      </c>
      <c r="Q52" s="38" t="str">
        <f t="shared" si="12"/>
        <v>mid</v>
      </c>
      <c r="S52" s="43">
        <f t="shared" si="32"/>
        <v>1157894736.8421052</v>
      </c>
      <c r="U52" s="39">
        <f>A52*VLOOKUP(C52,Stocks!$D$2:$F$146,3)</f>
        <v>2.7959715639810483</v>
      </c>
      <c r="V52" s="154" t="str">
        <f t="shared" si="29"/>
        <v>FNMA</v>
      </c>
    </row>
    <row r="53" spans="1:22">
      <c r="A53" s="154">
        <f t="shared" si="16"/>
        <v>1.001834862385298E-2</v>
      </c>
      <c r="B53" s="40">
        <f t="shared" si="1"/>
        <v>1.8348623853210455E-3</v>
      </c>
      <c r="C53" s="38" t="s">
        <v>329</v>
      </c>
      <c r="D53" s="38">
        <v>5.46</v>
      </c>
      <c r="E53" s="38" t="s">
        <v>2881</v>
      </c>
      <c r="F53" s="38" t="s">
        <v>3026</v>
      </c>
      <c r="H53" s="154" t="str">
        <f t="shared" si="7"/>
        <v>+0.01</v>
      </c>
      <c r="I53" s="848">
        <f t="shared" si="8"/>
        <v>1.8348623853210455E-3</v>
      </c>
      <c r="M53" s="375"/>
      <c r="N53" s="38" t="str">
        <f t="shared" si="30"/>
        <v>M</v>
      </c>
      <c r="O53" s="38" t="str">
        <f t="shared" si="31"/>
        <v>771.06</v>
      </c>
      <c r="P53" s="43">
        <f t="shared" si="11"/>
        <v>771060000</v>
      </c>
      <c r="Q53" s="38" t="str">
        <f t="shared" si="12"/>
        <v>small</v>
      </c>
      <c r="S53" s="43">
        <f t="shared" si="32"/>
        <v>141219780.21978021</v>
      </c>
      <c r="U53" s="39">
        <f>A53*VLOOKUP(C53,Stocks!$D$2:$F$146,3)</f>
        <v>6.0180220183484845E-2</v>
      </c>
      <c r="V53" s="154" t="str">
        <f t="shared" si="29"/>
        <v>FSC</v>
      </c>
    </row>
    <row r="54" spans="1:22">
      <c r="A54" s="154">
        <f t="shared" si="16"/>
        <v>3.0101925254813366E-2</v>
      </c>
      <c r="B54" s="40">
        <f t="shared" si="1"/>
        <v>3.3975084937711841E-3</v>
      </c>
      <c r="C54" s="38" t="s">
        <v>330</v>
      </c>
      <c r="D54" s="38">
        <v>8.86</v>
      </c>
      <c r="E54" s="38" t="s">
        <v>2882</v>
      </c>
      <c r="F54" s="38" t="s">
        <v>3027</v>
      </c>
      <c r="H54" s="154" t="str">
        <f t="shared" si="7"/>
        <v>+0.03</v>
      </c>
      <c r="I54" s="848">
        <f t="shared" si="8"/>
        <v>3.3975084937711841E-3</v>
      </c>
      <c r="M54" s="375"/>
      <c r="N54" s="38" t="str">
        <f t="shared" si="30"/>
        <v>M</v>
      </c>
      <c r="O54" s="38" t="str">
        <f t="shared" si="31"/>
        <v>269.11</v>
      </c>
      <c r="P54" s="43">
        <f t="shared" si="11"/>
        <v>269110000</v>
      </c>
      <c r="Q54" s="38" t="str">
        <f t="shared" si="12"/>
        <v>micro</v>
      </c>
      <c r="S54" s="43">
        <f t="shared" si="32"/>
        <v>30373589.164785556</v>
      </c>
      <c r="U54" s="39">
        <f>A54*VLOOKUP(C54,Stocks!$D$2:$F$146,3)</f>
        <v>0.27170599773499637</v>
      </c>
      <c r="V54" s="154" t="str">
        <f t="shared" si="29"/>
        <v>GAIN</v>
      </c>
    </row>
    <row r="55" spans="1:22">
      <c r="A55" s="154">
        <f t="shared" si="16"/>
        <v>2.0013477088948406E-2</v>
      </c>
      <c r="B55" s="40">
        <f t="shared" si="1"/>
        <v>6.738544474393926E-4</v>
      </c>
      <c r="C55" s="38" t="s">
        <v>308</v>
      </c>
      <c r="D55" s="38">
        <v>29.7</v>
      </c>
      <c r="E55" s="38" t="s">
        <v>3028</v>
      </c>
      <c r="F55" s="38" t="s">
        <v>3029</v>
      </c>
      <c r="H55" s="154" t="str">
        <f t="shared" si="7"/>
        <v>+0.02</v>
      </c>
      <c r="I55" s="848">
        <f t="shared" si="8"/>
        <v>6.738544474393926E-4</v>
      </c>
      <c r="M55" s="375"/>
      <c r="N55" s="38" t="str">
        <f t="shared" si="30"/>
        <v>B</v>
      </c>
      <c r="O55" s="38" t="str">
        <f t="shared" si="31"/>
        <v>262.91</v>
      </c>
      <c r="P55" s="43">
        <f t="shared" si="11"/>
        <v>262910000000.00003</v>
      </c>
      <c r="Q55" s="38" t="str">
        <f t="shared" si="12"/>
        <v>mega</v>
      </c>
      <c r="S55" s="43">
        <f t="shared" si="32"/>
        <v>8852188552.1885529</v>
      </c>
      <c r="U55" s="39">
        <f>A55*VLOOKUP(C55,Stocks!$D$2:$F$146,3)</f>
        <v>0.80281261455524078</v>
      </c>
      <c r="V55" s="154" t="str">
        <f t="shared" si="29"/>
        <v>GE</v>
      </c>
    </row>
    <row r="56" spans="1:22">
      <c r="A56" s="154">
        <f t="shared" si="16"/>
        <v>0.12128686327077709</v>
      </c>
      <c r="B56" s="40">
        <f t="shared" si="1"/>
        <v>1.072386058981234E-2</v>
      </c>
      <c r="C56" s="38" t="s">
        <v>2650</v>
      </c>
      <c r="D56" s="38">
        <v>11.31</v>
      </c>
      <c r="E56" s="38" t="s">
        <v>2884</v>
      </c>
      <c r="F56" s="38" t="s">
        <v>3030</v>
      </c>
      <c r="H56" s="154" t="str">
        <f t="shared" si="7"/>
        <v>+0.12</v>
      </c>
      <c r="I56" s="848">
        <f t="shared" si="8"/>
        <v>1.072386058981234E-2</v>
      </c>
      <c r="N56" s="38" t="str">
        <f t="shared" si="30"/>
        <v>M</v>
      </c>
      <c r="O56" s="38" t="str">
        <f t="shared" si="31"/>
        <v>145.78</v>
      </c>
      <c r="P56" s="43">
        <f t="shared" si="11"/>
        <v>145780000</v>
      </c>
      <c r="Q56" s="38" t="str">
        <f t="shared" si="12"/>
        <v>micro</v>
      </c>
      <c r="S56" s="43">
        <f t="shared" si="32"/>
        <v>12889478.337754199</v>
      </c>
      <c r="U56" s="39">
        <f>A56*VLOOKUP(C56,Stocks!$D$2:$F$146,3)</f>
        <v>0.13154773190348484</v>
      </c>
      <c r="V56" s="154" t="str">
        <f t="shared" si="29"/>
        <v>GECC</v>
      </c>
    </row>
    <row r="57" spans="1:22">
      <c r="A57" s="154">
        <f t="shared" si="16"/>
        <v>-0.12959394521864454</v>
      </c>
      <c r="B57" s="40">
        <f t="shared" si="1"/>
        <v>-3.1234983181163134E-3</v>
      </c>
      <c r="C57" s="38" t="s">
        <v>374</v>
      </c>
      <c r="D57" s="38">
        <v>41.49</v>
      </c>
      <c r="E57" s="38" t="s">
        <v>3031</v>
      </c>
      <c r="F57" s="38" t="s">
        <v>3032</v>
      </c>
      <c r="H57" s="154" t="str">
        <f t="shared" si="7"/>
        <v>-0.13</v>
      </c>
      <c r="I57" s="848">
        <f t="shared" si="8"/>
        <v>-3.1234983181163134E-3</v>
      </c>
      <c r="N57" s="38" t="str">
        <f t="shared" si="30"/>
        <v>B</v>
      </c>
      <c r="O57" s="38" t="str">
        <f t="shared" si="31"/>
        <v>3.10</v>
      </c>
      <c r="P57" s="43">
        <f t="shared" si="11"/>
        <v>3100000000</v>
      </c>
      <c r="Q57" s="38" t="str">
        <f t="shared" si="12"/>
        <v>mid</v>
      </c>
      <c r="S57" s="43">
        <f t="shared" si="32"/>
        <v>74716799.228729814</v>
      </c>
      <c r="U57" s="39">
        <f>A57*VLOOKUP(C57,Stocks!$D$2:$F$146,3)</f>
        <v>-0.59265903027390521</v>
      </c>
      <c r="V57" s="154" t="str">
        <f t="shared" si="29"/>
        <v>GEO</v>
      </c>
    </row>
    <row r="58" spans="1:22">
      <c r="A58" s="154">
        <f t="shared" si="16"/>
        <v>-0.11912195121951186</v>
      </c>
      <c r="B58" s="40">
        <f t="shared" si="1"/>
        <v>-7.3170731707317138E-3</v>
      </c>
      <c r="C58" s="38" t="s">
        <v>79</v>
      </c>
      <c r="D58" s="38">
        <v>16.28</v>
      </c>
      <c r="E58" s="38" t="s">
        <v>3033</v>
      </c>
      <c r="F58" s="38" t="s">
        <v>3034</v>
      </c>
      <c r="H58" s="154" t="str">
        <f t="shared" si="7"/>
        <v>-0.12</v>
      </c>
      <c r="I58" s="848">
        <f t="shared" si="8"/>
        <v>-7.3170731707317138E-3</v>
      </c>
      <c r="M58" s="747"/>
      <c r="N58" s="38" t="str">
        <f t="shared" si="30"/>
        <v>B</v>
      </c>
      <c r="O58" s="38" t="str">
        <f t="shared" si="31"/>
        <v>13.80</v>
      </c>
      <c r="P58" s="43">
        <f t="shared" si="11"/>
        <v>13800000000</v>
      </c>
      <c r="Q58" s="38" t="str">
        <f t="shared" si="12"/>
        <v>mid</v>
      </c>
      <c r="S58" s="43">
        <f t="shared" si="32"/>
        <v>847665847.66584766</v>
      </c>
      <c r="U58" s="39">
        <f>A58*VLOOKUP(C58,Stocks!$D$2:$F$146,3)</f>
        <v>-0.85222226341463181</v>
      </c>
      <c r="V58" s="154" t="str">
        <f t="shared" si="29"/>
        <v>GG</v>
      </c>
    </row>
    <row r="59" spans="1:22">
      <c r="A59" s="154">
        <f t="shared" si="16"/>
        <v>0.16265835929387329</v>
      </c>
      <c r="B59" s="40">
        <f t="shared" si="1"/>
        <v>1.6614745586708279E-2</v>
      </c>
      <c r="C59" s="38" t="s">
        <v>332</v>
      </c>
      <c r="D59" s="38">
        <v>9.7899999999999991</v>
      </c>
      <c r="E59" s="38" t="s">
        <v>2885</v>
      </c>
      <c r="F59" s="38" t="s">
        <v>3035</v>
      </c>
      <c r="H59" s="154" t="str">
        <f t="shared" si="7"/>
        <v>+0.16</v>
      </c>
      <c r="I59" s="848">
        <f t="shared" si="8"/>
        <v>1.6614745586708279E-2</v>
      </c>
      <c r="N59" s="38" t="str">
        <f t="shared" si="30"/>
        <v>M</v>
      </c>
      <c r="O59" s="38" t="str">
        <f t="shared" si="31"/>
        <v>253.97</v>
      </c>
      <c r="P59" s="43">
        <f t="shared" si="11"/>
        <v>253970000</v>
      </c>
      <c r="Q59" s="38" t="str">
        <f t="shared" si="12"/>
        <v>micro</v>
      </c>
      <c r="S59" s="43">
        <f t="shared" si="32"/>
        <v>25941777.323799796</v>
      </c>
      <c r="U59" s="39">
        <f>A59*VLOOKUP(C59,Stocks!$D$2:$F$146,3)</f>
        <v>1.477084294911734</v>
      </c>
      <c r="V59" s="154" t="str">
        <f t="shared" si="29"/>
        <v>GLAD</v>
      </c>
    </row>
    <row r="60" spans="1:22">
      <c r="A60" s="154">
        <f t="shared" si="16"/>
        <v>0.35464366944655268</v>
      </c>
      <c r="B60" s="40">
        <f t="shared" si="1"/>
        <v>1.3267626990144166E-2</v>
      </c>
      <c r="C60" s="38" t="s">
        <v>612</v>
      </c>
      <c r="D60" s="38">
        <v>26.73</v>
      </c>
      <c r="E60" s="38" t="s">
        <v>3036</v>
      </c>
      <c r="F60" s="38" t="s">
        <v>3037</v>
      </c>
      <c r="H60" s="154" t="str">
        <f t="shared" si="7"/>
        <v>+0.35</v>
      </c>
      <c r="I60" s="848">
        <f t="shared" si="8"/>
        <v>1.3267626990144166E-2</v>
      </c>
      <c r="K60" s="747"/>
      <c r="N60" s="38" t="str">
        <f t="shared" si="30"/>
        <v>B</v>
      </c>
      <c r="O60" s="38" t="str">
        <f t="shared" si="31"/>
        <v>25.76</v>
      </c>
      <c r="P60" s="43">
        <f t="shared" si="11"/>
        <v>25760000000</v>
      </c>
      <c r="Q60" s="38" t="str">
        <f t="shared" si="12"/>
        <v>big</v>
      </c>
      <c r="S60" s="43">
        <f t="shared" si="32"/>
        <v>963711185.93340814</v>
      </c>
      <c r="U60" s="39">
        <f>A60*VLOOKUP(C60,Stocks!$D$2:$F$146,3)</f>
        <v>0.36145282789992655</v>
      </c>
      <c r="V60" s="154" t="str">
        <f t="shared" si="29"/>
        <v>GLW</v>
      </c>
    </row>
    <row r="61" spans="1:22">
      <c r="A61" s="154">
        <f t="shared" si="16"/>
        <v>0.18166153846153676</v>
      </c>
      <c r="B61" s="40">
        <f t="shared" si="1"/>
        <v>9.2307692307691536E-3</v>
      </c>
      <c r="C61" s="747" t="s">
        <v>331</v>
      </c>
      <c r="D61" s="38">
        <v>19.68</v>
      </c>
      <c r="E61" s="38" t="s">
        <v>2886</v>
      </c>
      <c r="F61" s="38" t="s">
        <v>3038</v>
      </c>
      <c r="H61" s="154" t="str">
        <f t="shared" si="7"/>
        <v>+0.18</v>
      </c>
      <c r="I61" s="848">
        <f t="shared" si="8"/>
        <v>9.2307692307691536E-3</v>
      </c>
      <c r="K61" s="747"/>
      <c r="N61" s="38" t="str">
        <f t="shared" si="30"/>
        <v>M</v>
      </c>
      <c r="O61" s="38" t="str">
        <f t="shared" si="31"/>
        <v>488.59</v>
      </c>
      <c r="P61" s="43">
        <f t="shared" si="11"/>
        <v>488590000</v>
      </c>
      <c r="Q61" s="38" t="str">
        <f t="shared" si="12"/>
        <v>small</v>
      </c>
      <c r="S61" s="43">
        <f t="shared" si="32"/>
        <v>24826727.642276425</v>
      </c>
      <c r="U61" s="39">
        <f>A61*VLOOKUP(C61,Stocks!$D$2:$F$146,3)</f>
        <v>0.20280694153845966</v>
      </c>
      <c r="V61" s="154" t="str">
        <f t="shared" si="29"/>
        <v>GOOD</v>
      </c>
    </row>
    <row r="62" spans="1:22">
      <c r="A62" s="154">
        <f t="shared" si="16"/>
        <v>0.14360294117646966</v>
      </c>
      <c r="B62" s="40">
        <f t="shared" si="1"/>
        <v>2.5735294117646967E-2</v>
      </c>
      <c r="C62" s="747" t="s">
        <v>605</v>
      </c>
      <c r="D62" s="38">
        <v>5.58</v>
      </c>
      <c r="E62" s="38" t="s">
        <v>3039</v>
      </c>
      <c r="F62" s="38" t="s">
        <v>3040</v>
      </c>
      <c r="H62" s="154" t="str">
        <f t="shared" ref="H62" si="33">MID(E62,1,5)</f>
        <v>+0.14</v>
      </c>
      <c r="I62" s="848">
        <f t="shared" ref="I62" si="34">-(1-(D62/(D62+-H62)))</f>
        <v>2.5735294117646967E-2</v>
      </c>
      <c r="K62" s="747"/>
      <c r="N62" s="38" t="str">
        <f t="shared" si="30"/>
        <v>M</v>
      </c>
      <c r="O62" s="38" t="str">
        <f t="shared" si="31"/>
        <v>323.77</v>
      </c>
      <c r="P62" s="43">
        <f t="shared" si="11"/>
        <v>323770000</v>
      </c>
      <c r="Q62" s="38" t="str">
        <f t="shared" si="12"/>
        <v>small</v>
      </c>
      <c r="S62" s="43">
        <f t="shared" si="32"/>
        <v>58023297.491039425</v>
      </c>
      <c r="U62" s="39">
        <f>A62*VLOOKUP(C62,Stocks!$D$2:$F$146,3)</f>
        <v>38.415208433823281</v>
      </c>
      <c r="V62" s="154" t="str">
        <f t="shared" si="29"/>
        <v>GORO</v>
      </c>
    </row>
    <row r="63" spans="1:22">
      <c r="A63" s="154">
        <f t="shared" si="16"/>
        <v>0.25323164426060174</v>
      </c>
      <c r="B63" s="40">
        <f t="shared" si="1"/>
        <v>1.292657704239919E-2</v>
      </c>
      <c r="C63" s="747" t="s">
        <v>468</v>
      </c>
      <c r="D63" s="38">
        <v>19.59</v>
      </c>
      <c r="E63" s="38" t="s">
        <v>2887</v>
      </c>
      <c r="F63" s="38" t="s">
        <v>2848</v>
      </c>
      <c r="H63" s="154" t="str">
        <f t="shared" si="7"/>
        <v>+0.25</v>
      </c>
      <c r="I63" s="848">
        <f t="shared" si="8"/>
        <v>1.292657704239919E-2</v>
      </c>
      <c r="N63" s="38" t="str">
        <f t="shared" si="30"/>
        <v>B</v>
      </c>
      <c r="O63" s="38" t="str">
        <f t="shared" si="31"/>
        <v>1.41</v>
      </c>
      <c r="P63" s="43">
        <f t="shared" si="11"/>
        <v>1410000000</v>
      </c>
      <c r="Q63" s="38" t="str">
        <f t="shared" si="12"/>
        <v>small</v>
      </c>
      <c r="S63" s="43">
        <f t="shared" si="32"/>
        <v>71975497.702909648</v>
      </c>
      <c r="U63" s="39">
        <f>A63*VLOOKUP(C63,Stocks!$D$2:$F$146,3)</f>
        <v>0.58068548345398585</v>
      </c>
      <c r="V63" s="154" t="str">
        <f t="shared" si="29"/>
        <v>GOV</v>
      </c>
    </row>
    <row r="64" spans="1:22">
      <c r="A64" s="154">
        <f t="shared" si="16"/>
        <v>0.34436391090978091</v>
      </c>
      <c r="B64" s="40">
        <f t="shared" si="1"/>
        <v>1.28350320875803E-2</v>
      </c>
      <c r="C64" s="38" t="s">
        <v>1739</v>
      </c>
      <c r="D64" s="38">
        <v>26.83</v>
      </c>
      <c r="E64" s="38" t="s">
        <v>2888</v>
      </c>
      <c r="F64" s="38" t="s">
        <v>3041</v>
      </c>
      <c r="G64" s="747"/>
      <c r="H64" s="154" t="str">
        <f t="shared" si="7"/>
        <v>+0.34</v>
      </c>
      <c r="I64" s="848">
        <f t="shared" si="8"/>
        <v>1.28350320875803E-2</v>
      </c>
      <c r="N64" s="38" t="str">
        <f t="shared" si="30"/>
        <v>B</v>
      </c>
      <c r="O64" s="38" t="str">
        <f t="shared" si="31"/>
        <v>3.82</v>
      </c>
      <c r="P64" s="43">
        <f t="shared" si="11"/>
        <v>3820000000</v>
      </c>
      <c r="Q64" s="38" t="str">
        <f t="shared" si="12"/>
        <v>mid</v>
      </c>
      <c r="S64" s="43">
        <f t="shared" si="32"/>
        <v>142377935.14722326</v>
      </c>
      <c r="U64" s="39">
        <f>A64*VLOOKUP(C64,Stocks!$D$2:$F$146,3)</f>
        <v>0.73848840694602513</v>
      </c>
      <c r="V64" s="154" t="str">
        <f t="shared" si="29"/>
        <v>GPT</v>
      </c>
    </row>
    <row r="65" spans="1:22">
      <c r="A65" s="154">
        <f t="shared" si="16"/>
        <v>0.83891582194799241</v>
      </c>
      <c r="B65" s="40">
        <f t="shared" si="1"/>
        <v>3.569854561480823E-2</v>
      </c>
      <c r="C65" s="38" t="s">
        <v>1637</v>
      </c>
      <c r="D65" s="38">
        <v>23.5</v>
      </c>
      <c r="E65" s="38" t="s">
        <v>3042</v>
      </c>
      <c r="F65" s="38" t="s">
        <v>3043</v>
      </c>
      <c r="H65" s="154" t="str">
        <f t="shared" si="7"/>
        <v>+0.81</v>
      </c>
      <c r="I65" s="848">
        <f t="shared" si="8"/>
        <v>3.569854561480823E-2</v>
      </c>
      <c r="N65" s="38" t="str">
        <f t="shared" si="30"/>
        <v>B</v>
      </c>
      <c r="O65" s="38" t="str">
        <f t="shared" si="31"/>
        <v>40.52</v>
      </c>
      <c r="P65" s="43">
        <f t="shared" si="11"/>
        <v>40520000000</v>
      </c>
      <c r="Q65" s="38" t="str">
        <f t="shared" si="12"/>
        <v>big</v>
      </c>
      <c r="S65" s="43">
        <f t="shared" si="32"/>
        <v>1724255319.1489363</v>
      </c>
      <c r="U65" s="39">
        <f>A65*VLOOKUP(C65,Stocks!$D$2:$F$146,3)</f>
        <v>6.0308819524019226</v>
      </c>
      <c r="V65" s="154" t="str">
        <f t="shared" si="29"/>
        <v>HPE</v>
      </c>
    </row>
    <row r="66" spans="1:22">
      <c r="A66" s="154">
        <f t="shared" si="16"/>
        <v>6.0236686390533478E-2</v>
      </c>
      <c r="B66" s="40">
        <f t="shared" ref="B66:B131" si="35">I66</f>
        <v>3.9447731755424265E-3</v>
      </c>
      <c r="C66" s="38" t="s">
        <v>106</v>
      </c>
      <c r="D66" s="38">
        <v>15.27</v>
      </c>
      <c r="E66" s="38" t="s">
        <v>3044</v>
      </c>
      <c r="F66" s="38" t="s">
        <v>3045</v>
      </c>
      <c r="G66" s="747"/>
      <c r="H66" s="154" t="str">
        <f t="shared" si="7"/>
        <v>+0.06</v>
      </c>
      <c r="I66" s="848">
        <f t="shared" si="8"/>
        <v>3.9447731755424265E-3</v>
      </c>
      <c r="N66" s="38" t="str">
        <f t="shared" si="30"/>
        <v>B</v>
      </c>
      <c r="O66" s="38" t="str">
        <f t="shared" si="31"/>
        <v>26.14</v>
      </c>
      <c r="P66" s="43">
        <f t="shared" si="11"/>
        <v>26140000000</v>
      </c>
      <c r="Q66" s="38" t="str">
        <f t="shared" si="12"/>
        <v>big</v>
      </c>
      <c r="S66" s="43">
        <f t="shared" si="32"/>
        <v>1711853307.1381795</v>
      </c>
      <c r="U66" s="39">
        <f>A66*VLOOKUP(C66,Stocks!$D$2:$F$146,3)</f>
        <v>0.4453057278106578</v>
      </c>
      <c r="V66" s="154" t="str">
        <f t="shared" ref="V66:V129" si="36">C66</f>
        <v>HPQ</v>
      </c>
    </row>
    <row r="67" spans="1:22">
      <c r="A67" s="154">
        <f t="shared" si="16"/>
        <v>0.29397824030274577</v>
      </c>
      <c r="B67" s="40">
        <f t="shared" si="35"/>
        <v>1.3718070009460792E-2</v>
      </c>
      <c r="C67" s="38" t="s">
        <v>77</v>
      </c>
      <c r="D67" s="38">
        <v>21.43</v>
      </c>
      <c r="E67" s="38" t="s">
        <v>3046</v>
      </c>
      <c r="F67" s="38" t="s">
        <v>3047</v>
      </c>
      <c r="H67" s="154" t="str">
        <f t="shared" si="7"/>
        <v>+0.29</v>
      </c>
      <c r="I67" s="848">
        <f t="shared" si="8"/>
        <v>1.3718070009460792E-2</v>
      </c>
      <c r="N67" s="38" t="str">
        <f t="shared" ref="N67:N98" si="37">RIGHT(TRIM(F67))</f>
        <v>B</v>
      </c>
      <c r="O67" s="38" t="str">
        <f t="shared" ref="O67:O98" si="38">IF(ISERROR(LEFT(F67,FIND("B",F67,1)-1))=TRUE,LEFT(F67,FIND("M",F67,1)-1),LEFT(F67,FIND("B",F67,1)-1))</f>
        <v>4.50</v>
      </c>
      <c r="P67" s="43">
        <f t="shared" si="11"/>
        <v>4500000000</v>
      </c>
      <c r="Q67" s="38" t="str">
        <f t="shared" si="12"/>
        <v>mid</v>
      </c>
      <c r="S67" s="43">
        <f t="shared" ref="S67:S98" si="39">P67/D67</f>
        <v>209986000.93327111</v>
      </c>
      <c r="U67" s="39">
        <f>A67*VLOOKUP(C67,Stocks!$D$2:$F$146,3)</f>
        <v>8.7617274739830346</v>
      </c>
      <c r="V67" s="154" t="str">
        <f t="shared" si="36"/>
        <v>HRB</v>
      </c>
    </row>
    <row r="68" spans="1:22">
      <c r="A68" s="154">
        <f t="shared" si="16"/>
        <v>1.248807423530792</v>
      </c>
      <c r="B68" s="40">
        <f t="shared" si="35"/>
        <v>7.1027609119029833E-3</v>
      </c>
      <c r="C68" s="38" t="s">
        <v>685</v>
      </c>
      <c r="D68" s="38">
        <v>175.82</v>
      </c>
      <c r="E68" s="38" t="s">
        <v>3048</v>
      </c>
      <c r="F68" s="38" t="s">
        <v>3049</v>
      </c>
      <c r="H68" s="154" t="str">
        <f t="shared" ref="H68:H124" si="40">MID(E68,1,5)</f>
        <v>+1.24</v>
      </c>
      <c r="I68" s="848">
        <f t="shared" ref="I68:I124" si="41">-(1-(D68/(D68+-H68)))</f>
        <v>7.1027609119029833E-3</v>
      </c>
      <c r="N68" s="38" t="str">
        <f t="shared" si="37"/>
        <v>B</v>
      </c>
      <c r="O68" s="38" t="str">
        <f t="shared" si="38"/>
        <v>168.37</v>
      </c>
      <c r="P68" s="43">
        <f t="shared" ref="P68:P132" si="42">IF(N68="B",O68*10^9,O68*10^6)</f>
        <v>168370000000</v>
      </c>
      <c r="Q68" s="38" t="str">
        <f t="shared" ref="Q68:Q132" si="43">IF(AND(P68&lt;$M$26,P68&gt;=$L$26),$K$26,IF(AND(P68&lt;$M$27,P68&gt;=$L$27),$K$27,IF(AND(P68&lt;$M$28,P68&gt;=$L$28),$K$28,IF(AND(P68&lt;$M$29,P68&gt;=$L$29),$K$29,IF(AND(P68&lt;$M$30,P68&gt;=$L$30),$K$30,$K$31)))))</f>
        <v>mega</v>
      </c>
      <c r="S68" s="43">
        <f t="shared" si="39"/>
        <v>957627118.64406788</v>
      </c>
      <c r="U68" s="39">
        <f>A68*VLOOKUP(C68,Stocks!$D$2:$F$146,3)</f>
        <v>2.5952715875816916</v>
      </c>
      <c r="V68" s="154" t="str">
        <f t="shared" si="36"/>
        <v>IBM</v>
      </c>
    </row>
    <row r="69" spans="1:22">
      <c r="A69" s="154">
        <f t="shared" si="16"/>
        <v>0.10027457440966714</v>
      </c>
      <c r="B69" s="40">
        <f t="shared" si="35"/>
        <v>2.7457440966502933E-3</v>
      </c>
      <c r="C69" s="38" t="s">
        <v>2204</v>
      </c>
      <c r="D69" s="38">
        <v>36.520000000000003</v>
      </c>
      <c r="E69" s="38" t="s">
        <v>2889</v>
      </c>
      <c r="F69" s="38" t="s">
        <v>3050</v>
      </c>
      <c r="H69" s="154" t="str">
        <f t="shared" si="40"/>
        <v>+0.10</v>
      </c>
      <c r="I69" s="848">
        <f t="shared" si="41"/>
        <v>2.7457440966502933E-3</v>
      </c>
      <c r="N69" s="38" t="str">
        <f t="shared" si="37"/>
        <v>B</v>
      </c>
      <c r="O69" s="38" t="str">
        <f t="shared" si="38"/>
        <v>172.31</v>
      </c>
      <c r="P69" s="43">
        <f t="shared" si="42"/>
        <v>172310000000</v>
      </c>
      <c r="Q69" s="38" t="str">
        <f t="shared" si="43"/>
        <v>mega</v>
      </c>
      <c r="S69" s="43">
        <f t="shared" si="39"/>
        <v>4718236582.6944132</v>
      </c>
      <c r="U69" s="39">
        <f>A69*VLOOKUP(C69,Stocks!$D$2:$F$146,3)</f>
        <v>0.10176866556837116</v>
      </c>
      <c r="V69" s="154" t="str">
        <f t="shared" si="36"/>
        <v>INTC</v>
      </c>
    </row>
    <row r="70" spans="1:22">
      <c r="A70" s="154">
        <f t="shared" si="16"/>
        <v>0.15230769230769248</v>
      </c>
      <c r="B70" s="40">
        <f t="shared" si="35"/>
        <v>1.538461538461533E-2</v>
      </c>
      <c r="C70" s="38" t="s">
        <v>1490</v>
      </c>
      <c r="D70" s="38">
        <v>9.9</v>
      </c>
      <c r="E70" s="38" t="s">
        <v>2890</v>
      </c>
      <c r="F70" s="38" t="s">
        <v>3051</v>
      </c>
      <c r="H70" s="154" t="str">
        <f t="shared" si="40"/>
        <v>+0.15</v>
      </c>
      <c r="I70" s="848">
        <f t="shared" si="41"/>
        <v>1.538461538461533E-2</v>
      </c>
      <c r="N70" s="38" t="str">
        <f t="shared" si="37"/>
        <v>M</v>
      </c>
      <c r="O70" s="38" t="str">
        <f t="shared" si="38"/>
        <v>962.72</v>
      </c>
      <c r="P70" s="43">
        <f t="shared" si="42"/>
        <v>962720000</v>
      </c>
      <c r="Q70" s="38" t="str">
        <f t="shared" si="43"/>
        <v>small</v>
      </c>
      <c r="S70" s="43">
        <f t="shared" si="39"/>
        <v>97244444.444444448</v>
      </c>
      <c r="U70" s="39">
        <f>A70*VLOOKUP(C70,Stocks!$D$2:$F$146,3)</f>
        <v>1.2184615384615398</v>
      </c>
      <c r="V70" s="154" t="str">
        <f t="shared" si="36"/>
        <v>IRDM</v>
      </c>
    </row>
    <row r="71" spans="1:22">
      <c r="A71" s="154">
        <f t="shared" si="16"/>
        <v>7.0532608695652144E-2</v>
      </c>
      <c r="B71" s="40">
        <f t="shared" si="35"/>
        <v>7.6086956521739246E-3</v>
      </c>
      <c r="C71" s="38" t="s">
        <v>602</v>
      </c>
      <c r="D71" s="38">
        <v>9.27</v>
      </c>
      <c r="E71" s="38" t="s">
        <v>3052</v>
      </c>
      <c r="F71" s="38" t="s">
        <v>3053</v>
      </c>
      <c r="H71" s="154" t="str">
        <f t="shared" si="40"/>
        <v>+0.07</v>
      </c>
      <c r="I71" s="848">
        <f t="shared" si="41"/>
        <v>7.6086956521739246E-3</v>
      </c>
      <c r="N71" s="38" t="str">
        <f t="shared" si="37"/>
        <v>M</v>
      </c>
      <c r="O71" s="38" t="str">
        <f t="shared" si="38"/>
        <v>644.46</v>
      </c>
      <c r="P71" s="43">
        <f t="shared" si="42"/>
        <v>644460000</v>
      </c>
      <c r="Q71" s="38" t="str">
        <f t="shared" si="43"/>
        <v>small</v>
      </c>
      <c r="S71" s="43">
        <f t="shared" si="39"/>
        <v>69521035.5987055</v>
      </c>
      <c r="U71" s="39">
        <f>A71*VLOOKUP(C71,Stocks!$D$2:$F$146,3)</f>
        <v>0.15096094239130428</v>
      </c>
      <c r="V71" s="154" t="str">
        <f t="shared" si="36"/>
        <v>IRT</v>
      </c>
    </row>
    <row r="72" spans="1:22">
      <c r="A72" s="154">
        <f t="shared" ref="A72:A132" si="44">D72*(1+I72)-D72</f>
        <v>0.16212801330008197</v>
      </c>
      <c r="B72" s="40">
        <f t="shared" si="35"/>
        <v>1.3300083125519446E-2</v>
      </c>
      <c r="C72" s="747" t="s">
        <v>150</v>
      </c>
      <c r="D72" s="38">
        <v>12.19</v>
      </c>
      <c r="E72" s="38" t="s">
        <v>3054</v>
      </c>
      <c r="F72" s="38" t="s">
        <v>3055</v>
      </c>
      <c r="H72" s="154" t="str">
        <f t="shared" ref="H72" si="45">MID(E72,1,5)</f>
        <v>+0.16</v>
      </c>
      <c r="I72" s="848">
        <f t="shared" ref="I72" si="46">-(1-(D72/(D72+-H72)))</f>
        <v>1.3300083125519446E-2</v>
      </c>
      <c r="N72" s="38" t="str">
        <f t="shared" si="37"/>
        <v>B</v>
      </c>
      <c r="O72" s="38" t="str">
        <f t="shared" si="38"/>
        <v>75.62</v>
      </c>
      <c r="P72" s="43">
        <f t="shared" si="42"/>
        <v>75620000000</v>
      </c>
      <c r="Q72" s="38" t="str">
        <f t="shared" si="43"/>
        <v>big</v>
      </c>
      <c r="S72" s="43">
        <f t="shared" si="39"/>
        <v>6203445447.0877771</v>
      </c>
      <c r="U72" s="39">
        <f>A72*VLOOKUP(C72,Stocks!$D$2:$F$146,3)</f>
        <v>3.3644318935993112</v>
      </c>
      <c r="V72" s="154" t="str">
        <f t="shared" si="36"/>
        <v>ITUB</v>
      </c>
    </row>
    <row r="73" spans="1:22">
      <c r="A73" s="154">
        <f t="shared" si="44"/>
        <v>6.0613287904599744E-2</v>
      </c>
      <c r="B73" s="40">
        <f t="shared" si="35"/>
        <v>1.0221465076660996E-2</v>
      </c>
      <c r="C73" s="38" t="s">
        <v>710</v>
      </c>
      <c r="D73" s="38">
        <v>5.93</v>
      </c>
      <c r="E73" s="38" t="s">
        <v>3056</v>
      </c>
      <c r="F73" s="38" t="s">
        <v>3057</v>
      </c>
      <c r="H73" s="154" t="str">
        <f t="shared" si="40"/>
        <v>+0.06</v>
      </c>
      <c r="I73" s="848">
        <f t="shared" si="41"/>
        <v>1.0221465076660996E-2</v>
      </c>
      <c r="N73" s="38" t="str">
        <f t="shared" si="37"/>
        <v>M</v>
      </c>
      <c r="O73" s="38" t="str">
        <f t="shared" si="38"/>
        <v>876.59</v>
      </c>
      <c r="P73" s="43">
        <f t="shared" si="42"/>
        <v>876590000</v>
      </c>
      <c r="Q73" s="38" t="str">
        <f t="shared" si="43"/>
        <v>small</v>
      </c>
      <c r="S73" s="43">
        <f t="shared" si="39"/>
        <v>147822934.23271501</v>
      </c>
      <c r="U73" s="39">
        <f>A73*VLOOKUP(C73,Stocks!$D$2:$F$146,3)</f>
        <v>0.33236690289608223</v>
      </c>
      <c r="V73" s="154" t="str">
        <f t="shared" si="36"/>
        <v>JE</v>
      </c>
    </row>
    <row r="74" spans="1:22">
      <c r="A74" s="154">
        <f t="shared" si="44"/>
        <v>7.0043145196791556E-2</v>
      </c>
      <c r="B74" s="40">
        <f t="shared" si="35"/>
        <v>6.1635995421327472E-4</v>
      </c>
      <c r="C74" s="38" t="s">
        <v>1366</v>
      </c>
      <c r="D74" s="38">
        <v>113.64</v>
      </c>
      <c r="E74" s="38" t="s">
        <v>3058</v>
      </c>
      <c r="F74" s="38" t="s">
        <v>3059</v>
      </c>
      <c r="H74" s="154" t="str">
        <f t="shared" si="40"/>
        <v>+0.07</v>
      </c>
      <c r="I74" s="848">
        <f t="shared" si="41"/>
        <v>6.1635995421327472E-4</v>
      </c>
      <c r="N74" s="38" t="str">
        <f t="shared" si="37"/>
        <v>B</v>
      </c>
      <c r="O74" s="38" t="str">
        <f t="shared" si="38"/>
        <v>309.35</v>
      </c>
      <c r="P74" s="43">
        <f t="shared" si="42"/>
        <v>309350000000</v>
      </c>
      <c r="Q74" s="38" t="str">
        <f t="shared" si="43"/>
        <v>mega</v>
      </c>
      <c r="S74" s="43">
        <f t="shared" si="39"/>
        <v>2722192889.8275256</v>
      </c>
      <c r="U74" s="39">
        <f>A74*VLOOKUP(C74,Stocks!$D$2:$F$146,3)</f>
        <v>7.2592715681954773E-2</v>
      </c>
      <c r="V74" s="154" t="str">
        <f t="shared" si="36"/>
        <v>JNJ</v>
      </c>
    </row>
    <row r="75" spans="1:22">
      <c r="A75" s="154">
        <f t="shared" ref="A75" si="47">D75*(1+I75)-D75</f>
        <v>2.6693013358553088</v>
      </c>
      <c r="B75" s="40">
        <f t="shared" ref="B75" si="48">I75</f>
        <v>3.0618276392008648E-2</v>
      </c>
      <c r="C75" s="747" t="s">
        <v>695</v>
      </c>
      <c r="D75" s="38">
        <v>87.18</v>
      </c>
      <c r="E75" s="38" t="s">
        <v>3060</v>
      </c>
      <c r="F75" s="38" t="s">
        <v>3061</v>
      </c>
      <c r="H75" s="154" t="str">
        <f t="shared" ref="H75" si="49">MID(E75,1,5)</f>
        <v>+2.59</v>
      </c>
      <c r="I75" s="848">
        <f t="shared" ref="I75" si="50">-(1-(D75/(D75+-H75)))</f>
        <v>3.0618276392008648E-2</v>
      </c>
      <c r="N75" s="38" t="str">
        <f t="shared" si="37"/>
        <v>B</v>
      </c>
      <c r="O75" s="38" t="str">
        <f t="shared" si="38"/>
        <v>321.50</v>
      </c>
      <c r="P75" s="43">
        <f t="shared" ref="P75" si="51">IF(N75="B",O75*10^9,O75*10^6)</f>
        <v>321500000000</v>
      </c>
      <c r="Q75" s="38" t="str">
        <f t="shared" ref="Q75" si="52">IF(AND(P75&lt;$M$26,P75&gt;=$L$26),$K$26,IF(AND(P75&lt;$M$27,P75&gt;=$L$27),$K$27,IF(AND(P75&lt;$M$28,P75&gt;=$L$28),$K$28,IF(AND(P75&lt;$M$29,P75&gt;=$L$29),$K$29,IF(AND(P75&lt;$M$30,P75&gt;=$L$30),$K$30,$K$31)))))</f>
        <v>mega</v>
      </c>
      <c r="S75" s="43">
        <f t="shared" si="39"/>
        <v>3687772424.8680887</v>
      </c>
      <c r="U75" s="39">
        <f>A75*VLOOKUP(C75,Stocks!$D$2:$F$146,3)</f>
        <v>5.5889831370138454</v>
      </c>
      <c r="V75" s="154" t="str">
        <f t="shared" si="36"/>
        <v>JPM</v>
      </c>
    </row>
    <row r="76" spans="1:22">
      <c r="A76" s="154">
        <f t="shared" si="44"/>
        <v>0.59478356465577065</v>
      </c>
      <c r="B76" s="40">
        <f t="shared" si="35"/>
        <v>8.1077367046860083E-3</v>
      </c>
      <c r="C76" s="38" t="s">
        <v>2395</v>
      </c>
      <c r="D76" s="38">
        <v>73.36</v>
      </c>
      <c r="E76" s="38" t="s">
        <v>3062</v>
      </c>
      <c r="F76" s="38" t="s">
        <v>3063</v>
      </c>
      <c r="H76" s="154" t="str">
        <f t="shared" si="40"/>
        <v>+0.59</v>
      </c>
      <c r="I76" s="848">
        <f t="shared" si="41"/>
        <v>8.1077367046860083E-3</v>
      </c>
      <c r="N76" s="38" t="str">
        <f t="shared" si="37"/>
        <v>B</v>
      </c>
      <c r="O76" s="38" t="str">
        <f t="shared" si="38"/>
        <v>25.95</v>
      </c>
      <c r="P76" s="43">
        <f t="shared" si="42"/>
        <v>25950000000</v>
      </c>
      <c r="Q76" s="38" t="str">
        <f t="shared" si="43"/>
        <v>big</v>
      </c>
      <c r="S76" s="43">
        <f t="shared" si="39"/>
        <v>353735005.45256269</v>
      </c>
      <c r="U76" s="39">
        <f>A76*VLOOKUP(C76,Stocks!$D$2:$F$146,3)</f>
        <v>0.59478356465577065</v>
      </c>
      <c r="V76" s="154" t="str">
        <f t="shared" si="36"/>
        <v>K</v>
      </c>
    </row>
    <row r="77" spans="1:22">
      <c r="A77" s="154">
        <f t="shared" si="44"/>
        <v>0.66491592371065167</v>
      </c>
      <c r="B77" s="40">
        <f t="shared" si="35"/>
        <v>7.4483692585487482E-3</v>
      </c>
      <c r="C77" s="38" t="s">
        <v>1648</v>
      </c>
      <c r="D77" s="38">
        <v>89.27</v>
      </c>
      <c r="E77" s="38" t="s">
        <v>2891</v>
      </c>
      <c r="F77" s="38" t="s">
        <v>3064</v>
      </c>
      <c r="H77" s="154" t="str">
        <f t="shared" si="40"/>
        <v>+0.66</v>
      </c>
      <c r="I77" s="848">
        <f t="shared" si="41"/>
        <v>7.4483692585487482E-3</v>
      </c>
      <c r="N77" s="38" t="str">
        <f t="shared" si="37"/>
        <v>B</v>
      </c>
      <c r="O77" s="38" t="str">
        <f t="shared" si="38"/>
        <v>109.48</v>
      </c>
      <c r="P77" s="43">
        <f t="shared" si="42"/>
        <v>109480000000</v>
      </c>
      <c r="Q77" s="38" t="str">
        <f t="shared" si="43"/>
        <v>mega</v>
      </c>
      <c r="S77" s="43">
        <f t="shared" si="39"/>
        <v>1226391844.9647138</v>
      </c>
      <c r="U77" s="39">
        <f>A77*VLOOKUP(C77,Stocks!$D$2:$F$146,3)</f>
        <v>0.6692378772147709</v>
      </c>
      <c r="V77" s="154" t="str">
        <f t="shared" si="36"/>
        <v>KHC</v>
      </c>
    </row>
    <row r="78" spans="1:22">
      <c r="A78" s="154">
        <f t="shared" si="44"/>
        <v>0.2937130242825603</v>
      </c>
      <c r="B78" s="40">
        <f t="shared" si="35"/>
        <v>1.2803532008829999E-2</v>
      </c>
      <c r="C78" s="38" t="s">
        <v>693</v>
      </c>
      <c r="D78" s="38">
        <v>22.94</v>
      </c>
      <c r="E78" s="38" t="s">
        <v>3065</v>
      </c>
      <c r="F78" s="38" t="s">
        <v>3066</v>
      </c>
      <c r="H78" s="154" t="str">
        <f t="shared" si="40"/>
        <v>+0.29</v>
      </c>
      <c r="I78" s="848">
        <f t="shared" si="41"/>
        <v>1.2803532008829999E-2</v>
      </c>
      <c r="N78" s="38" t="str">
        <f t="shared" si="37"/>
        <v>B</v>
      </c>
      <c r="O78" s="38" t="str">
        <f t="shared" si="38"/>
        <v>51.87</v>
      </c>
      <c r="P78" s="43">
        <f t="shared" si="42"/>
        <v>51870000000</v>
      </c>
      <c r="Q78" s="38" t="str">
        <f t="shared" si="43"/>
        <v>big</v>
      </c>
      <c r="S78" s="43">
        <f t="shared" si="39"/>
        <v>2261115954.6643414</v>
      </c>
      <c r="U78" s="39">
        <f>A78*VLOOKUP(C78,Stocks!$D$2:$F$146,3)</f>
        <v>3.353556568653417</v>
      </c>
      <c r="V78" s="154" t="str">
        <f t="shared" si="36"/>
        <v>KMI</v>
      </c>
    </row>
    <row r="79" spans="1:22">
      <c r="A79" s="154">
        <f t="shared" si="44"/>
        <v>-9.9918233851177263E-3</v>
      </c>
      <c r="B79" s="40">
        <f t="shared" si="35"/>
        <v>-8.1766148814388373E-4</v>
      </c>
      <c r="C79" s="38" t="s">
        <v>333</v>
      </c>
      <c r="D79" s="38">
        <v>12.22</v>
      </c>
      <c r="E79" s="38" t="s">
        <v>2892</v>
      </c>
      <c r="F79" s="38" t="s">
        <v>3067</v>
      </c>
      <c r="H79" s="154" t="str">
        <f t="shared" si="40"/>
        <v>-0.01</v>
      </c>
      <c r="I79" s="848">
        <f t="shared" si="41"/>
        <v>-8.1766148814388373E-4</v>
      </c>
      <c r="N79" s="38" t="str">
        <f t="shared" si="37"/>
        <v>M</v>
      </c>
      <c r="O79" s="38" t="str">
        <f t="shared" si="38"/>
        <v>122.40</v>
      </c>
      <c r="P79" s="43">
        <f t="shared" si="42"/>
        <v>122400000</v>
      </c>
      <c r="Q79" s="38" t="str">
        <f t="shared" si="43"/>
        <v>micro</v>
      </c>
      <c r="S79" s="43">
        <f t="shared" si="39"/>
        <v>10016366.612111293</v>
      </c>
      <c r="U79" s="39">
        <f>A79*VLOOKUP(C79,Stocks!$D$2:$F$146,3)</f>
        <v>-0.10319555192149588</v>
      </c>
      <c r="V79" s="154" t="str">
        <f t="shared" si="36"/>
        <v>LAND</v>
      </c>
    </row>
    <row r="80" spans="1:22">
      <c r="A80" s="154">
        <f t="shared" si="44"/>
        <v>0</v>
      </c>
      <c r="B80" s="40">
        <f t="shared" si="35"/>
        <v>0</v>
      </c>
      <c r="C80" s="38" t="s">
        <v>2893</v>
      </c>
      <c r="D80" s="38">
        <v>5.2999999999999999E-2</v>
      </c>
      <c r="E80" s="38" t="s">
        <v>2894</v>
      </c>
      <c r="F80" s="38" t="s">
        <v>2895</v>
      </c>
      <c r="H80" s="154" t="str">
        <f t="shared" si="40"/>
        <v>-0.00</v>
      </c>
      <c r="I80" s="848">
        <f t="shared" si="41"/>
        <v>0</v>
      </c>
      <c r="N80" s="38" t="str">
        <f t="shared" si="37"/>
        <v>M</v>
      </c>
      <c r="O80" s="38" t="str">
        <f t="shared" si="38"/>
        <v>13.34</v>
      </c>
      <c r="P80" s="43">
        <f t="shared" si="42"/>
        <v>13340000</v>
      </c>
      <c r="Q80" s="38" t="str">
        <f t="shared" si="43"/>
        <v>nano</v>
      </c>
      <c r="S80" s="43">
        <f t="shared" si="39"/>
        <v>251698113.20754719</v>
      </c>
      <c r="U80" s="39">
        <f>A80*VLOOKUP(C80,Stocks!$D$2:$F$146,3)</f>
        <v>0</v>
      </c>
      <c r="V80" s="154" t="str">
        <f t="shared" si="36"/>
        <v>LNCOQ</v>
      </c>
    </row>
    <row r="81" spans="1:22">
      <c r="A81" s="154">
        <f t="shared" si="44"/>
        <v>0.30194720900043137</v>
      </c>
      <c r="B81" s="40">
        <f t="shared" si="35"/>
        <v>6.4906966681090861E-3</v>
      </c>
      <c r="C81" s="38" t="s">
        <v>355</v>
      </c>
      <c r="D81" s="38">
        <v>46.52</v>
      </c>
      <c r="E81" s="38" t="s">
        <v>3068</v>
      </c>
      <c r="F81" s="38" t="s">
        <v>2896</v>
      </c>
      <c r="H81" s="154" t="str">
        <f t="shared" si="40"/>
        <v>+0.30</v>
      </c>
      <c r="I81" s="848">
        <f t="shared" si="41"/>
        <v>6.4906966681090861E-3</v>
      </c>
      <c r="N81" s="38" t="str">
        <f t="shared" si="37"/>
        <v>B</v>
      </c>
      <c r="O81" s="38" t="str">
        <f t="shared" si="38"/>
        <v>1.84</v>
      </c>
      <c r="P81" s="43">
        <f t="shared" si="42"/>
        <v>1840000000</v>
      </c>
      <c r="Q81" s="38" t="str">
        <f t="shared" si="43"/>
        <v>small</v>
      </c>
      <c r="S81" s="43">
        <f t="shared" si="39"/>
        <v>39552880.481513321</v>
      </c>
      <c r="U81" s="39">
        <f>A81*VLOOKUP(C81,Stocks!$D$2:$F$146,3)</f>
        <v>0.32139260926005914</v>
      </c>
      <c r="V81" s="154" t="str">
        <f t="shared" si="36"/>
        <v>LTC</v>
      </c>
    </row>
    <row r="82" spans="1:22">
      <c r="A82" s="154">
        <f t="shared" si="44"/>
        <v>0.28216514774923951</v>
      </c>
      <c r="B82" s="40">
        <f t="shared" si="35"/>
        <v>7.7326705330018619E-3</v>
      </c>
      <c r="C82" s="38" t="s">
        <v>319</v>
      </c>
      <c r="D82" s="38">
        <v>36.49</v>
      </c>
      <c r="E82" s="38" t="s">
        <v>3069</v>
      </c>
      <c r="F82" s="38" t="s">
        <v>2849</v>
      </c>
      <c r="H82" s="154" t="str">
        <f t="shared" si="40"/>
        <v>+0.28</v>
      </c>
      <c r="I82" s="848">
        <f t="shared" si="41"/>
        <v>7.7326705330018619E-3</v>
      </c>
      <c r="N82" s="38" t="str">
        <f t="shared" si="37"/>
        <v>B</v>
      </c>
      <c r="O82" s="38" t="str">
        <f t="shared" si="38"/>
        <v>1.95</v>
      </c>
      <c r="P82" s="43">
        <f t="shared" si="42"/>
        <v>1950000000</v>
      </c>
      <c r="Q82" s="38" t="str">
        <f t="shared" si="43"/>
        <v>small</v>
      </c>
      <c r="S82" s="43">
        <f t="shared" si="39"/>
        <v>53439298.4379282</v>
      </c>
      <c r="U82" s="39">
        <f>A82*VLOOKUP(C82,Stocks!$D$2:$F$146,3)</f>
        <v>0.60482099420049484</v>
      </c>
      <c r="V82" s="154" t="str">
        <f t="shared" si="36"/>
        <v>MAIN</v>
      </c>
    </row>
    <row r="83" spans="1:22">
      <c r="A83" s="154">
        <f t="shared" si="44"/>
        <v>1.0284434345073947</v>
      </c>
      <c r="B83" s="40">
        <f t="shared" si="35"/>
        <v>8.2778769680247333E-3</v>
      </c>
      <c r="C83" s="38" t="s">
        <v>1127</v>
      </c>
      <c r="D83" s="38">
        <v>124.24</v>
      </c>
      <c r="E83" s="38" t="s">
        <v>3070</v>
      </c>
      <c r="F83" s="38" t="s">
        <v>3071</v>
      </c>
      <c r="H83" s="154" t="str">
        <f t="shared" si="40"/>
        <v>+1.02</v>
      </c>
      <c r="I83" s="848">
        <f t="shared" si="41"/>
        <v>8.2778769680247333E-3</v>
      </c>
      <c r="N83" s="38" t="str">
        <f t="shared" si="37"/>
        <v>B</v>
      </c>
      <c r="O83" s="38" t="str">
        <f t="shared" si="38"/>
        <v>104.03</v>
      </c>
      <c r="P83" s="43">
        <f t="shared" si="42"/>
        <v>104030000000</v>
      </c>
      <c r="Q83" s="38" t="str">
        <f t="shared" si="43"/>
        <v>mega</v>
      </c>
      <c r="S83" s="43">
        <f t="shared" si="39"/>
        <v>837330972.31165493</v>
      </c>
      <c r="U83" s="39">
        <f>A83*VLOOKUP(C83,Stocks!$D$2:$F$146,3)</f>
        <v>1.0618678461288851</v>
      </c>
      <c r="V83" s="154" t="str">
        <f t="shared" si="36"/>
        <v>MCD</v>
      </c>
    </row>
    <row r="84" spans="1:22">
      <c r="A84" s="154">
        <f t="shared" si="44"/>
        <v>4.0022393282029611E-2</v>
      </c>
      <c r="B84" s="40">
        <f t="shared" si="35"/>
        <v>5.5983205038501183E-4</v>
      </c>
      <c r="C84" s="38" t="s">
        <v>494</v>
      </c>
      <c r="D84" s="38">
        <v>71.489999999999995</v>
      </c>
      <c r="E84" s="38" t="s">
        <v>2897</v>
      </c>
      <c r="F84" s="38" t="s">
        <v>3072</v>
      </c>
      <c r="H84" s="154" t="str">
        <f t="shared" si="40"/>
        <v>+0.04</v>
      </c>
      <c r="I84" s="848">
        <f t="shared" si="41"/>
        <v>5.5983205038501183E-4</v>
      </c>
      <c r="N84" s="38" t="str">
        <f t="shared" si="37"/>
        <v>B</v>
      </c>
      <c r="O84" s="38" t="str">
        <f t="shared" si="38"/>
        <v>139.50</v>
      </c>
      <c r="P84" s="43">
        <f t="shared" si="42"/>
        <v>139500000000</v>
      </c>
      <c r="Q84" s="38" t="str">
        <f t="shared" si="43"/>
        <v>mega</v>
      </c>
      <c r="S84" s="43">
        <f t="shared" si="39"/>
        <v>1951321863.1976502</v>
      </c>
      <c r="U84" s="39">
        <f>A84*VLOOKUP(C84,Stocks!$D$2:$F$146,3)</f>
        <v>0.41866224940532715</v>
      </c>
      <c r="V84" s="154" t="str">
        <f t="shared" si="36"/>
        <v>MO</v>
      </c>
    </row>
    <row r="85" spans="1:22">
      <c r="A85" s="154">
        <f t="shared" si="44"/>
        <v>-0.26802224633749461</v>
      </c>
      <c r="B85" s="40">
        <f t="shared" si="35"/>
        <v>-7.3250135648400549E-3</v>
      </c>
      <c r="C85" s="747" t="s">
        <v>1202</v>
      </c>
      <c r="D85" s="38">
        <v>36.590000000000003</v>
      </c>
      <c r="E85" s="38" t="s">
        <v>2898</v>
      </c>
      <c r="F85" s="38" t="s">
        <v>3073</v>
      </c>
      <c r="H85" s="154" t="str">
        <f t="shared" si="40"/>
        <v>-0.27</v>
      </c>
      <c r="I85" s="848">
        <f t="shared" si="41"/>
        <v>-7.3250135648400549E-3</v>
      </c>
      <c r="N85" s="38" t="str">
        <f t="shared" si="37"/>
        <v>M</v>
      </c>
      <c r="O85" s="38" t="str">
        <f t="shared" si="38"/>
        <v>591.65</v>
      </c>
      <c r="P85" s="43">
        <f t="shared" si="42"/>
        <v>591650000</v>
      </c>
      <c r="Q85" s="38" t="str">
        <f t="shared" si="43"/>
        <v>small</v>
      </c>
      <c r="S85" s="43">
        <f t="shared" si="39"/>
        <v>16169718.502323037</v>
      </c>
      <c r="U85" s="39">
        <f>A85*VLOOKUP(C85,Stocks!$D$2:$F$146,3)</f>
        <v>-0.2813429519804681</v>
      </c>
      <c r="V85" s="154" t="str">
        <f t="shared" si="36"/>
        <v>MSEX</v>
      </c>
    </row>
    <row r="86" spans="1:22">
      <c r="A86" s="154">
        <f t="shared" si="44"/>
        <v>0.51411746082001031</v>
      </c>
      <c r="B86" s="40">
        <f t="shared" si="35"/>
        <v>8.073452588253982E-3</v>
      </c>
      <c r="C86" s="38" t="s">
        <v>886</v>
      </c>
      <c r="D86" s="38">
        <v>63.68</v>
      </c>
      <c r="E86" s="38" t="s">
        <v>2899</v>
      </c>
      <c r="F86" s="38" t="s">
        <v>3074</v>
      </c>
      <c r="H86" s="154" t="str">
        <f t="shared" si="40"/>
        <v>+0.51</v>
      </c>
      <c r="I86" s="848">
        <f t="shared" si="41"/>
        <v>8.073452588253982E-3</v>
      </c>
      <c r="N86" s="38" t="str">
        <f t="shared" si="37"/>
        <v>B</v>
      </c>
      <c r="O86" s="38" t="str">
        <f t="shared" si="38"/>
        <v>496.06</v>
      </c>
      <c r="P86" s="43">
        <f t="shared" si="42"/>
        <v>496060000000</v>
      </c>
      <c r="Q86" s="38" t="str">
        <f t="shared" si="43"/>
        <v>mega</v>
      </c>
      <c r="S86" s="43">
        <f t="shared" si="39"/>
        <v>7789886934.6733665</v>
      </c>
      <c r="U86" s="39">
        <f>A86*VLOOKUP(C86,Stocks!$D$2:$F$146,3)</f>
        <v>0.53236863067912077</v>
      </c>
      <c r="V86" s="154" t="str">
        <f t="shared" si="36"/>
        <v>MSFT</v>
      </c>
    </row>
    <row r="87" spans="1:22">
      <c r="A87" s="154">
        <f t="shared" si="44"/>
        <v>5.0156739811914264E-2</v>
      </c>
      <c r="B87" s="40">
        <f t="shared" si="35"/>
        <v>3.1347962382446415E-3</v>
      </c>
      <c r="C87" s="38" t="s">
        <v>351</v>
      </c>
      <c r="D87" s="38">
        <v>16</v>
      </c>
      <c r="E87" s="38" t="s">
        <v>2900</v>
      </c>
      <c r="F87" s="38" t="s">
        <v>3075</v>
      </c>
      <c r="H87" s="154" t="str">
        <f t="shared" si="40"/>
        <v>+0.05</v>
      </c>
      <c r="I87" s="848">
        <f t="shared" si="41"/>
        <v>3.1347962382446415E-3</v>
      </c>
      <c r="M87" s="40"/>
      <c r="N87" s="38" t="str">
        <f t="shared" si="37"/>
        <v>M</v>
      </c>
      <c r="O87" s="38" t="str">
        <f t="shared" si="38"/>
        <v>735.06</v>
      </c>
      <c r="P87" s="43">
        <f t="shared" si="42"/>
        <v>735060000</v>
      </c>
      <c r="Q87" s="38" t="str">
        <f t="shared" si="43"/>
        <v>small</v>
      </c>
      <c r="S87" s="43">
        <f t="shared" si="39"/>
        <v>45941250</v>
      </c>
      <c r="U87" s="39">
        <f>A87*VLOOKUP(C87,Stocks!$D$2:$F$146,3)</f>
        <v>0.16789968652038301</v>
      </c>
      <c r="V87" s="154" t="str">
        <f t="shared" si="36"/>
        <v>MTGE</v>
      </c>
    </row>
    <row r="88" spans="1:22">
      <c r="A88" s="154">
        <f t="shared" si="44"/>
        <v>0.17213599408721159</v>
      </c>
      <c r="B88" s="40">
        <f t="shared" si="35"/>
        <v>1.2564671101256364E-2</v>
      </c>
      <c r="C88" s="38" t="s">
        <v>1136</v>
      </c>
      <c r="D88" s="38">
        <v>13.7</v>
      </c>
      <c r="E88" s="38" t="s">
        <v>2901</v>
      </c>
      <c r="F88" s="38" t="s">
        <v>3076</v>
      </c>
      <c r="H88" s="154" t="str">
        <f t="shared" si="40"/>
        <v>+0.17</v>
      </c>
      <c r="I88" s="848">
        <f t="shared" si="41"/>
        <v>1.2564671101256364E-2</v>
      </c>
      <c r="M88" s="40"/>
      <c r="N88" s="38" t="str">
        <f t="shared" si="37"/>
        <v>B</v>
      </c>
      <c r="O88" s="38" t="str">
        <f t="shared" si="38"/>
        <v>2.25</v>
      </c>
      <c r="P88" s="43">
        <f t="shared" si="42"/>
        <v>2250000000</v>
      </c>
      <c r="Q88" s="38" t="str">
        <f t="shared" si="43"/>
        <v>mid</v>
      </c>
      <c r="S88" s="43">
        <f t="shared" si="39"/>
        <v>164233576.64233577</v>
      </c>
      <c r="U88" s="39">
        <f>A88*VLOOKUP(C88,Stocks!$D$2:$F$146,3)</f>
        <v>0.52384425720620231</v>
      </c>
      <c r="V88" s="154" t="str">
        <f t="shared" si="36"/>
        <v>MWA</v>
      </c>
    </row>
    <row r="89" spans="1:22">
      <c r="A89" s="154">
        <f t="shared" si="44"/>
        <v>0</v>
      </c>
      <c r="B89" s="40">
        <f t="shared" si="35"/>
        <v>0</v>
      </c>
      <c r="C89" s="38" t="s">
        <v>1681</v>
      </c>
      <c r="D89" s="38">
        <v>0.248</v>
      </c>
      <c r="E89" s="38" t="s">
        <v>2902</v>
      </c>
      <c r="F89" s="38" t="s">
        <v>2903</v>
      </c>
      <c r="H89" s="154" t="str">
        <f t="shared" si="40"/>
        <v>+0.00</v>
      </c>
      <c r="I89" s="848">
        <f t="shared" si="41"/>
        <v>0</v>
      </c>
      <c r="M89" s="40"/>
      <c r="N89" s="38" t="str">
        <f t="shared" si="37"/>
        <v>B</v>
      </c>
      <c r="O89" s="38" t="str">
        <f t="shared" si="38"/>
        <v>2.24</v>
      </c>
      <c r="P89" s="43">
        <f t="shared" si="42"/>
        <v>2240000000</v>
      </c>
      <c r="Q89" s="38" t="str">
        <f t="shared" si="43"/>
        <v>mid</v>
      </c>
      <c r="S89" s="43">
        <f t="shared" si="39"/>
        <v>9032258064.5161285</v>
      </c>
      <c r="U89" s="39">
        <f>A89*VLOOKUP(C89,Stocks!$D$2:$F$146,3)</f>
        <v>0</v>
      </c>
      <c r="V89" s="154" t="str">
        <f t="shared" si="36"/>
        <v>NBGGY</v>
      </c>
    </row>
    <row r="90" spans="1:22">
      <c r="A90" s="154">
        <f t="shared" si="44"/>
        <v>2.0038872691934273E-2</v>
      </c>
      <c r="B90" s="40">
        <f t="shared" si="35"/>
        <v>1.9436345966958868E-3</v>
      </c>
      <c r="C90" s="38" t="s">
        <v>350</v>
      </c>
      <c r="D90" s="38">
        <v>10.31</v>
      </c>
      <c r="E90" s="38" t="s">
        <v>2904</v>
      </c>
      <c r="F90" s="38" t="s">
        <v>3077</v>
      </c>
      <c r="H90" s="154" t="str">
        <f t="shared" si="40"/>
        <v>+0.02</v>
      </c>
      <c r="I90" s="848">
        <f t="shared" si="41"/>
        <v>1.9436345966958868E-3</v>
      </c>
      <c r="N90" s="38" t="str">
        <f t="shared" si="37"/>
        <v>B</v>
      </c>
      <c r="O90" s="38" t="str">
        <f t="shared" si="38"/>
        <v>10.52</v>
      </c>
      <c r="P90" s="43">
        <f t="shared" si="42"/>
        <v>10520000000</v>
      </c>
      <c r="Q90" s="38" t="str">
        <f t="shared" si="43"/>
        <v>mid</v>
      </c>
      <c r="S90" s="43">
        <f t="shared" si="39"/>
        <v>1020368574.199806</v>
      </c>
      <c r="U90" s="39">
        <f>A90*VLOOKUP(C90,Stocks!$D$2:$F$146,3)</f>
        <v>0.27010396501458206</v>
      </c>
      <c r="V90" s="154" t="str">
        <f t="shared" si="36"/>
        <v>NLY</v>
      </c>
    </row>
    <row r="91" spans="1:22">
      <c r="A91" s="154">
        <f t="shared" si="44"/>
        <v>0.91112790218436146</v>
      </c>
      <c r="B91" s="40">
        <f t="shared" si="35"/>
        <v>1.2364335760406631E-2</v>
      </c>
      <c r="C91" s="38" t="s">
        <v>1367</v>
      </c>
      <c r="D91" s="38">
        <v>73.69</v>
      </c>
      <c r="E91" s="38" t="s">
        <v>2905</v>
      </c>
      <c r="F91" s="38" t="s">
        <v>2843</v>
      </c>
      <c r="H91" s="154" t="str">
        <f t="shared" si="40"/>
        <v>+0.90</v>
      </c>
      <c r="I91" s="848">
        <f t="shared" si="41"/>
        <v>1.2364335760406631E-2</v>
      </c>
      <c r="N91" s="38" t="str">
        <f t="shared" si="37"/>
        <v>B</v>
      </c>
      <c r="O91" s="38" t="str">
        <f t="shared" si="38"/>
        <v>226.53</v>
      </c>
      <c r="P91" s="43">
        <f t="shared" si="42"/>
        <v>226530000000</v>
      </c>
      <c r="Q91" s="38" t="str">
        <f t="shared" si="43"/>
        <v>mega</v>
      </c>
      <c r="S91" s="43">
        <f t="shared" si="39"/>
        <v>3074094178.3145609</v>
      </c>
      <c r="U91" s="39">
        <f>A91*VLOOKUP(C91,Stocks!$D$2:$F$146,3)</f>
        <v>0.93518167880202863</v>
      </c>
      <c r="V91" s="154" t="str">
        <f t="shared" si="36"/>
        <v>NSRGY</v>
      </c>
    </row>
    <row r="92" spans="1:22">
      <c r="A92" s="154">
        <f t="shared" si="44"/>
        <v>0.11123595505618056</v>
      </c>
      <c r="B92" s="40">
        <f t="shared" si="35"/>
        <v>1.1235955056179803E-2</v>
      </c>
      <c r="C92" s="38" t="s">
        <v>707</v>
      </c>
      <c r="D92" s="38">
        <v>9.9</v>
      </c>
      <c r="E92" s="38" t="s">
        <v>2906</v>
      </c>
      <c r="F92" s="38" t="s">
        <v>3078</v>
      </c>
      <c r="H92" s="154" t="str">
        <f t="shared" si="40"/>
        <v>+0.11</v>
      </c>
      <c r="I92" s="848">
        <f t="shared" si="41"/>
        <v>1.1235955056179803E-2</v>
      </c>
      <c r="N92" s="38" t="str">
        <f t="shared" si="37"/>
        <v>B</v>
      </c>
      <c r="O92" s="38" t="str">
        <f t="shared" si="38"/>
        <v>1.66</v>
      </c>
      <c r="P92" s="43">
        <f t="shared" si="42"/>
        <v>1660000000</v>
      </c>
      <c r="Q92" s="38" t="str">
        <f t="shared" si="43"/>
        <v>small</v>
      </c>
      <c r="S92" s="43">
        <f t="shared" si="39"/>
        <v>167676767.67676768</v>
      </c>
      <c r="U92" s="39">
        <f>A92*VLOOKUP(C92,Stocks!$D$2:$F$146,3)</f>
        <v>0.35384157303371033</v>
      </c>
      <c r="V92" s="154" t="str">
        <f t="shared" si="36"/>
        <v>NYRT</v>
      </c>
    </row>
    <row r="93" spans="1:22">
      <c r="A93" s="154">
        <f t="shared" si="44"/>
        <v>0.40269269606192637</v>
      </c>
      <c r="B93" s="40">
        <f t="shared" si="35"/>
        <v>6.7317401548299127E-3</v>
      </c>
      <c r="C93" s="38" t="s">
        <v>4</v>
      </c>
      <c r="D93" s="38">
        <v>59.82</v>
      </c>
      <c r="E93" s="38" t="s">
        <v>2907</v>
      </c>
      <c r="F93" s="38" t="s">
        <v>3079</v>
      </c>
      <c r="H93" s="154" t="str">
        <f t="shared" si="40"/>
        <v>+0.40</v>
      </c>
      <c r="I93" s="848">
        <f t="shared" si="41"/>
        <v>6.7317401548299127E-3</v>
      </c>
      <c r="N93" s="38" t="str">
        <f t="shared" si="37"/>
        <v>B</v>
      </c>
      <c r="O93" s="38" t="str">
        <f t="shared" si="38"/>
        <v>15.57</v>
      </c>
      <c r="P93" s="43">
        <f t="shared" si="42"/>
        <v>15570000000</v>
      </c>
      <c r="Q93" s="38" t="str">
        <f t="shared" si="43"/>
        <v>mid</v>
      </c>
      <c r="S93" s="43">
        <f t="shared" si="39"/>
        <v>260280842.52758273</v>
      </c>
      <c r="U93" s="39">
        <f>A93*VLOOKUP(C93,Stocks!$D$2:$F$146,3)</f>
        <v>121.79074142039546</v>
      </c>
      <c r="V93" s="154" t="str">
        <f t="shared" si="36"/>
        <v>O</v>
      </c>
    </row>
    <row r="94" spans="1:22">
      <c r="A94" s="154">
        <f t="shared" si="44"/>
        <v>1.008771929824559E-2</v>
      </c>
      <c r="B94" s="40">
        <f t="shared" si="35"/>
        <v>8.7719298245614308E-3</v>
      </c>
      <c r="C94" s="38" t="s">
        <v>100</v>
      </c>
      <c r="D94" s="38">
        <v>1.1499999999999999</v>
      </c>
      <c r="E94" s="38" t="s">
        <v>2908</v>
      </c>
      <c r="F94" s="38" t="s">
        <v>3080</v>
      </c>
      <c r="H94" s="154" t="str">
        <f t="shared" si="40"/>
        <v>+0.01</v>
      </c>
      <c r="I94" s="848">
        <f t="shared" si="41"/>
        <v>8.7719298245614308E-3</v>
      </c>
      <c r="N94" s="38" t="str">
        <f t="shared" si="37"/>
        <v>M</v>
      </c>
      <c r="O94" s="38" t="str">
        <f t="shared" si="38"/>
        <v>24.74</v>
      </c>
      <c r="P94" s="43">
        <f t="shared" si="42"/>
        <v>24740000</v>
      </c>
      <c r="Q94" s="38" t="str">
        <f t="shared" si="43"/>
        <v>nano</v>
      </c>
      <c r="S94" s="43">
        <f t="shared" si="39"/>
        <v>21513043.478260871</v>
      </c>
      <c r="U94" s="39">
        <f>A94*VLOOKUP(C94,Stocks!$D$2:$F$146,3)</f>
        <v>0.13114035087719267</v>
      </c>
      <c r="V94" s="154" t="str">
        <f t="shared" si="36"/>
        <v>ONP</v>
      </c>
    </row>
    <row r="95" spans="1:22">
      <c r="A95" s="154">
        <f t="shared" si="44"/>
        <v>0.13143099068585862</v>
      </c>
      <c r="B95" s="40">
        <f t="shared" si="35"/>
        <v>1.100762066045724E-2</v>
      </c>
      <c r="C95" s="38" t="s">
        <v>604</v>
      </c>
      <c r="D95" s="38">
        <v>11.94</v>
      </c>
      <c r="E95" s="38" t="s">
        <v>3081</v>
      </c>
      <c r="F95" s="38" t="s">
        <v>3082</v>
      </c>
      <c r="H95" s="154" t="str">
        <f t="shared" si="40"/>
        <v>+0.13</v>
      </c>
      <c r="I95" s="848">
        <f t="shared" si="41"/>
        <v>1.100762066045724E-2</v>
      </c>
      <c r="N95" s="38" t="str">
        <f t="shared" si="37"/>
        <v>M</v>
      </c>
      <c r="O95" s="38" t="str">
        <f t="shared" si="38"/>
        <v>316.90</v>
      </c>
      <c r="P95" s="43">
        <f t="shared" si="42"/>
        <v>316900000</v>
      </c>
      <c r="Q95" s="38" t="str">
        <f t="shared" si="43"/>
        <v>small</v>
      </c>
      <c r="S95" s="43">
        <f t="shared" si="39"/>
        <v>26541038.52596315</v>
      </c>
      <c r="U95" s="39">
        <f>A95*VLOOKUP(C95,Stocks!$D$2:$F$146,3)</f>
        <v>2.093813969517345</v>
      </c>
      <c r="V95" s="154" t="str">
        <f t="shared" si="36"/>
        <v>ORC</v>
      </c>
    </row>
    <row r="96" spans="1:22">
      <c r="A96" s="154">
        <f t="shared" si="44"/>
        <v>-1.9980420949583078E-2</v>
      </c>
      <c r="B96" s="40">
        <f t="shared" si="35"/>
        <v>-9.7895252080271167E-4</v>
      </c>
      <c r="C96" s="38" t="s">
        <v>875</v>
      </c>
      <c r="D96" s="38">
        <v>20.41</v>
      </c>
      <c r="E96" s="38" t="s">
        <v>2909</v>
      </c>
      <c r="F96" s="38" t="s">
        <v>2844</v>
      </c>
      <c r="H96" s="154" t="str">
        <f t="shared" si="40"/>
        <v>-0.02</v>
      </c>
      <c r="I96" s="848">
        <f t="shared" si="41"/>
        <v>-9.7895252080271167E-4</v>
      </c>
      <c r="K96" s="40"/>
      <c r="N96" s="38" t="str">
        <f t="shared" si="37"/>
        <v>B</v>
      </c>
      <c r="O96" s="38" t="str">
        <f t="shared" si="38"/>
        <v>3.11</v>
      </c>
      <c r="P96" s="43">
        <f t="shared" si="42"/>
        <v>3110000000</v>
      </c>
      <c r="Q96" s="38" t="str">
        <f t="shared" si="43"/>
        <v>mid</v>
      </c>
      <c r="S96" s="43">
        <f t="shared" si="39"/>
        <v>152376286.13424793</v>
      </c>
      <c r="U96" s="39">
        <f>A96*VLOOKUP(C96,Stocks!$D$2:$F$146,3)</f>
        <v>-4.0760058737149482E-2</v>
      </c>
      <c r="V96" s="154" t="str">
        <f t="shared" si="36"/>
        <v>PAAS</v>
      </c>
    </row>
    <row r="97" spans="1:22">
      <c r="A97" s="154">
        <f t="shared" ref="A97" si="53">D97*(1+I97)-D97</f>
        <v>0.24445131375579621</v>
      </c>
      <c r="B97" s="40">
        <f t="shared" ref="B97" si="54">I97</f>
        <v>1.8547140649149974E-2</v>
      </c>
      <c r="C97" s="747" t="s">
        <v>2158</v>
      </c>
      <c r="D97" s="38">
        <v>13.18</v>
      </c>
      <c r="E97" s="38" t="s">
        <v>2910</v>
      </c>
      <c r="F97" s="38" t="s">
        <v>3083</v>
      </c>
      <c r="H97" s="154" t="str">
        <f t="shared" ref="H97" si="55">MID(E97,1,5)</f>
        <v>+0.24</v>
      </c>
      <c r="I97" s="848">
        <f t="shared" ref="I97" si="56">-(1-(D97/(D97+-H97)))</f>
        <v>1.8547140649149974E-2</v>
      </c>
      <c r="K97" s="40"/>
      <c r="N97" s="38" t="str">
        <f t="shared" si="37"/>
        <v>B</v>
      </c>
      <c r="O97" s="38" t="str">
        <f t="shared" si="38"/>
        <v>2.49</v>
      </c>
      <c r="P97" s="43">
        <f t="shared" si="42"/>
        <v>2490000000</v>
      </c>
      <c r="Q97" s="38" t="str">
        <f t="shared" si="43"/>
        <v>mid</v>
      </c>
      <c r="S97" s="43">
        <f t="shared" si="39"/>
        <v>188922610.01517451</v>
      </c>
      <c r="U97" s="39">
        <f>A97*VLOOKUP(C97,Stocks!$D$2:$F$146,3)</f>
        <v>0.98807221020092817</v>
      </c>
      <c r="V97" s="154" t="str">
        <f t="shared" si="36"/>
        <v>PBI</v>
      </c>
    </row>
    <row r="98" spans="1:22">
      <c r="A98" s="154">
        <f t="shared" si="44"/>
        <v>1.0912121503412493</v>
      </c>
      <c r="B98" s="40">
        <f t="shared" si="35"/>
        <v>1.038162068634052E-2</v>
      </c>
      <c r="C98" s="38" t="s">
        <v>1152</v>
      </c>
      <c r="D98" s="38">
        <v>105.11</v>
      </c>
      <c r="E98" s="38" t="s">
        <v>3084</v>
      </c>
      <c r="F98" s="38" t="s">
        <v>3085</v>
      </c>
      <c r="H98" s="154" t="str">
        <f t="shared" si="40"/>
        <v>+1.08</v>
      </c>
      <c r="I98" s="848">
        <f t="shared" si="41"/>
        <v>1.038162068634052E-2</v>
      </c>
      <c r="K98" s="40"/>
      <c r="N98" s="38" t="str">
        <f t="shared" si="37"/>
        <v>B</v>
      </c>
      <c r="O98" s="38" t="str">
        <f t="shared" si="38"/>
        <v>152.31</v>
      </c>
      <c r="P98" s="43">
        <f t="shared" si="42"/>
        <v>152310000000</v>
      </c>
      <c r="Q98" s="38" t="str">
        <f t="shared" si="43"/>
        <v>mega</v>
      </c>
      <c r="S98" s="43">
        <f t="shared" si="39"/>
        <v>1449053372.6572163</v>
      </c>
      <c r="U98" s="39">
        <f>A98*VLOOKUP(C98,Stocks!$D$2:$F$146,3)</f>
        <v>1.1309322726136708</v>
      </c>
      <c r="V98" s="154" t="str">
        <f t="shared" si="36"/>
        <v>PEP</v>
      </c>
    </row>
    <row r="99" spans="1:22">
      <c r="A99" s="154">
        <f t="shared" si="44"/>
        <v>0.36408446265364347</v>
      </c>
      <c r="B99" s="40">
        <f t="shared" si="35"/>
        <v>1.1345729593444709E-2</v>
      </c>
      <c r="C99" s="38" t="s">
        <v>2221</v>
      </c>
      <c r="D99" s="38">
        <v>32.090000000000003</v>
      </c>
      <c r="E99" s="38" t="s">
        <v>3086</v>
      </c>
      <c r="F99" s="38" t="s">
        <v>3087</v>
      </c>
      <c r="H99" s="154" t="str">
        <f t="shared" si="40"/>
        <v>+0.36</v>
      </c>
      <c r="I99" s="848">
        <f t="shared" si="41"/>
        <v>1.1345729593444709E-2</v>
      </c>
      <c r="N99" s="38" t="str">
        <f t="shared" ref="N99:N130" si="57">RIGHT(TRIM(F99))</f>
        <v>B</v>
      </c>
      <c r="O99" s="38" t="str">
        <f t="shared" ref="O99:O130" si="58">IF(ISERROR(LEFT(F99,FIND("B",F99,1)-1))=TRUE,LEFT(F99,FIND("M",F99,1)-1),LEFT(F99,FIND("B",F99,1)-1))</f>
        <v>196.94</v>
      </c>
      <c r="P99" s="43">
        <f t="shared" si="42"/>
        <v>196940000000</v>
      </c>
      <c r="Q99" s="38" t="str">
        <f t="shared" si="43"/>
        <v>mega</v>
      </c>
      <c r="S99" s="43">
        <f t="shared" ref="S99:S130" si="59">P99/D99</f>
        <v>6137114365.8460569</v>
      </c>
      <c r="U99" s="39">
        <f>A99*VLOOKUP(C99,Stocks!$D$2:$F$146,3)</f>
        <v>1.853553999369699</v>
      </c>
      <c r="V99" s="154" t="str">
        <f t="shared" si="36"/>
        <v>PFE</v>
      </c>
    </row>
    <row r="100" spans="1:22">
      <c r="A100" s="154">
        <f t="shared" si="44"/>
        <v>-0.34860414767547354</v>
      </c>
      <c r="B100" s="40">
        <f t="shared" si="35"/>
        <v>-3.9881494986325761E-3</v>
      </c>
      <c r="C100" s="69" t="s">
        <v>666</v>
      </c>
      <c r="D100" s="38">
        <v>87.41</v>
      </c>
      <c r="E100" s="38" t="s">
        <v>2911</v>
      </c>
      <c r="F100" s="38" t="s">
        <v>3088</v>
      </c>
      <c r="H100" s="154" t="str">
        <f t="shared" si="40"/>
        <v>-0.35</v>
      </c>
      <c r="I100" s="848">
        <f t="shared" si="41"/>
        <v>-3.9881494986325761E-3</v>
      </c>
      <c r="N100" s="38" t="str">
        <f t="shared" si="57"/>
        <v>B</v>
      </c>
      <c r="O100" s="38" t="str">
        <f t="shared" si="58"/>
        <v>222.57</v>
      </c>
      <c r="P100" s="43">
        <f t="shared" si="42"/>
        <v>222570000000</v>
      </c>
      <c r="Q100" s="38" t="str">
        <f t="shared" si="43"/>
        <v>mega</v>
      </c>
      <c r="S100" s="43">
        <f t="shared" si="59"/>
        <v>2546276169.7746253</v>
      </c>
      <c r="U100" s="39">
        <f>A100*VLOOKUP(C100,Stocks!$D$2:$F$146,3)</f>
        <v>-0.73172010597081905</v>
      </c>
      <c r="V100" s="154" t="str">
        <f t="shared" si="36"/>
        <v>PG</v>
      </c>
    </row>
    <row r="101" spans="1:22">
      <c r="A101" s="154">
        <f t="shared" si="44"/>
        <v>-3.8814814814814858E-2</v>
      </c>
      <c r="B101" s="40">
        <f t="shared" si="35"/>
        <v>-2.9629629629629672E-2</v>
      </c>
      <c r="C101" s="738" t="s">
        <v>611</v>
      </c>
      <c r="D101" s="38">
        <v>1.31</v>
      </c>
      <c r="E101" s="38" t="s">
        <v>3089</v>
      </c>
      <c r="F101" s="154" t="s">
        <v>3090</v>
      </c>
      <c r="G101" s="848"/>
      <c r="H101" s="154" t="str">
        <f t="shared" si="40"/>
        <v>-0.04</v>
      </c>
      <c r="I101" s="848">
        <f t="shared" si="41"/>
        <v>-2.9629629629629672E-2</v>
      </c>
      <c r="L101" s="42" t="str">
        <f>L2</f>
        <v>Total:</v>
      </c>
      <c r="N101" s="38" t="str">
        <f t="shared" si="57"/>
        <v>M</v>
      </c>
      <c r="O101" s="38" t="str">
        <f t="shared" si="58"/>
        <v>702.00</v>
      </c>
      <c r="P101" s="43">
        <f t="shared" si="42"/>
        <v>702000000</v>
      </c>
      <c r="Q101" s="38" t="str">
        <f t="shared" si="43"/>
        <v>small</v>
      </c>
      <c r="S101" s="43">
        <f t="shared" si="59"/>
        <v>535877862.59541982</v>
      </c>
      <c r="U101" s="39">
        <f>A101*VLOOKUP(C101,Stocks!$D$2:$F$146,3)</f>
        <v>-0.51815060740740793</v>
      </c>
      <c r="V101" s="154" t="str">
        <f t="shared" si="36"/>
        <v>PGH</v>
      </c>
    </row>
    <row r="102" spans="1:22">
      <c r="A102" s="154">
        <f t="shared" si="44"/>
        <v>-1.9981317141521515E-2</v>
      </c>
      <c r="B102" s="40">
        <f t="shared" si="35"/>
        <v>-9.3414292386728714E-4</v>
      </c>
      <c r="C102" s="2" t="s">
        <v>2715</v>
      </c>
      <c r="D102" s="747">
        <v>21.39</v>
      </c>
      <c r="E102" s="38" t="s">
        <v>3091</v>
      </c>
      <c r="F102" s="154" t="s">
        <v>3092</v>
      </c>
      <c r="G102" s="848"/>
      <c r="H102" s="154" t="str">
        <f t="shared" si="40"/>
        <v>-0.02</v>
      </c>
      <c r="I102" s="848">
        <f t="shared" si="41"/>
        <v>-9.3414292386728714E-4</v>
      </c>
      <c r="L102" s="39">
        <f>L3</f>
        <v>66370.613769200005</v>
      </c>
      <c r="N102" s="38" t="str">
        <f t="shared" si="57"/>
        <v>B</v>
      </c>
      <c r="O102" s="38" t="str">
        <f t="shared" si="58"/>
        <v>2.11</v>
      </c>
      <c r="P102" s="43">
        <f t="shared" si="42"/>
        <v>2109999999.9999998</v>
      </c>
      <c r="Q102" s="38" t="str">
        <f t="shared" si="43"/>
        <v>mid</v>
      </c>
      <c r="S102" s="43">
        <f t="shared" si="59"/>
        <v>98644226.273959786</v>
      </c>
      <c r="U102" s="39">
        <f>A102*VLOOKUP(C102,Stocks!$D$2:$F$146,3)</f>
        <v>-5.9943951424564546E-2</v>
      </c>
      <c r="V102" s="154" t="str">
        <f t="shared" si="36"/>
        <v>PLNT</v>
      </c>
    </row>
    <row r="103" spans="1:22">
      <c r="A103" s="154">
        <f t="shared" si="44"/>
        <v>2.3221337515176117</v>
      </c>
      <c r="B103" s="40">
        <f t="shared" si="35"/>
        <v>2.2966410360178102E-2</v>
      </c>
      <c r="C103" s="2" t="s">
        <v>1210</v>
      </c>
      <c r="D103" s="747">
        <v>101.11</v>
      </c>
      <c r="E103" s="38" t="s">
        <v>2912</v>
      </c>
      <c r="F103" s="154" t="s">
        <v>3093</v>
      </c>
      <c r="G103" s="848"/>
      <c r="H103" s="154" t="str">
        <f t="shared" si="40"/>
        <v>+2.27</v>
      </c>
      <c r="I103" s="848">
        <f t="shared" si="41"/>
        <v>2.2966410360178102E-2</v>
      </c>
      <c r="N103" s="38" t="str">
        <f t="shared" si="57"/>
        <v>B</v>
      </c>
      <c r="O103" s="38" t="str">
        <f t="shared" si="58"/>
        <v>160.46</v>
      </c>
      <c r="P103" s="43">
        <f t="shared" si="42"/>
        <v>160460000000</v>
      </c>
      <c r="Q103" s="38" t="str">
        <f t="shared" si="43"/>
        <v>mega</v>
      </c>
      <c r="S103" s="43">
        <f t="shared" si="59"/>
        <v>1586984472.3568392</v>
      </c>
      <c r="U103" s="39">
        <f>A103*VLOOKUP(C103,Stocks!$D$2:$F$146,3)</f>
        <v>4.8634769291784856</v>
      </c>
      <c r="V103" s="154" t="str">
        <f t="shared" si="36"/>
        <v>PM</v>
      </c>
    </row>
    <row r="104" spans="1:22">
      <c r="A104" s="154">
        <f t="shared" si="44"/>
        <v>0.11141355140186882</v>
      </c>
      <c r="B104" s="40">
        <f t="shared" si="35"/>
        <v>1.2850467289719614E-2</v>
      </c>
      <c r="C104" s="747" t="s">
        <v>95</v>
      </c>
      <c r="D104" s="38">
        <v>8.67</v>
      </c>
      <c r="E104" s="38" t="s">
        <v>2913</v>
      </c>
      <c r="F104" s="38" t="s">
        <v>3094</v>
      </c>
      <c r="H104" s="154" t="str">
        <f t="shared" si="40"/>
        <v>+0.11</v>
      </c>
      <c r="I104" s="848">
        <f t="shared" si="41"/>
        <v>1.2850467289719614E-2</v>
      </c>
      <c r="N104" s="38" t="str">
        <f t="shared" si="57"/>
        <v>B</v>
      </c>
      <c r="O104" s="38" t="str">
        <f t="shared" si="58"/>
        <v>3.15</v>
      </c>
      <c r="P104" s="43">
        <f t="shared" si="42"/>
        <v>3150000000</v>
      </c>
      <c r="Q104" s="38" t="str">
        <f t="shared" si="43"/>
        <v>mid</v>
      </c>
      <c r="S104" s="43">
        <f t="shared" si="59"/>
        <v>363321799.30795848</v>
      </c>
      <c r="U104" s="39">
        <f>A104*VLOOKUP(C104,Stocks!$D$2:$F$146,3)</f>
        <v>13.591784789719584</v>
      </c>
      <c r="V104" s="154" t="str">
        <f t="shared" si="36"/>
        <v>PSEC</v>
      </c>
    </row>
    <row r="105" spans="1:22">
      <c r="A105" s="154">
        <f t="shared" si="44"/>
        <v>1.0002526528545275E-2</v>
      </c>
      <c r="B105" s="40">
        <f t="shared" si="35"/>
        <v>2.5265285497710899E-4</v>
      </c>
      <c r="C105" s="747" t="s">
        <v>1472</v>
      </c>
      <c r="D105" s="38">
        <v>39.590000000000003</v>
      </c>
      <c r="E105" s="38" t="s">
        <v>2883</v>
      </c>
      <c r="F105" s="38" t="s">
        <v>3095</v>
      </c>
      <c r="H105" s="154" t="str">
        <f t="shared" si="40"/>
        <v>+0.01</v>
      </c>
      <c r="I105" s="848">
        <f t="shared" si="41"/>
        <v>2.5265285497710899E-4</v>
      </c>
      <c r="N105" s="38" t="str">
        <f t="shared" si="57"/>
        <v>B</v>
      </c>
      <c r="O105" s="38" t="str">
        <f t="shared" si="58"/>
        <v>47.78</v>
      </c>
      <c r="P105" s="43">
        <f t="shared" si="42"/>
        <v>47780000000</v>
      </c>
      <c r="Q105" s="38" t="str">
        <f t="shared" si="43"/>
        <v>big</v>
      </c>
      <c r="S105" s="43">
        <f t="shared" si="59"/>
        <v>1206870421.8236928</v>
      </c>
      <c r="U105" s="39">
        <f>A105*VLOOKUP(C105,Stocks!$D$2:$F$146,3)</f>
        <v>1.0002526528545275E-2</v>
      </c>
      <c r="V105" s="154" t="str">
        <f t="shared" si="36"/>
        <v>PYPL</v>
      </c>
    </row>
    <row r="106" spans="1:22">
      <c r="A106" s="154">
        <f t="shared" si="44"/>
        <v>0.47368658210947956</v>
      </c>
      <c r="B106" s="40">
        <f t="shared" si="35"/>
        <v>7.8437917222964337E-3</v>
      </c>
      <c r="C106" s="852" t="s">
        <v>2192</v>
      </c>
      <c r="D106" s="853">
        <v>60.39</v>
      </c>
      <c r="E106" s="38" t="s">
        <v>3096</v>
      </c>
      <c r="F106" s="154" t="s">
        <v>3097</v>
      </c>
      <c r="G106" s="848"/>
      <c r="H106" s="154" t="str">
        <f t="shared" si="40"/>
        <v>+0.47</v>
      </c>
      <c r="I106" s="848">
        <f t="shared" si="41"/>
        <v>7.8437917222964337E-3</v>
      </c>
      <c r="N106" s="38" t="str">
        <f t="shared" si="57"/>
        <v>B</v>
      </c>
      <c r="O106" s="38" t="str">
        <f t="shared" si="58"/>
        <v>86.78</v>
      </c>
      <c r="P106" s="43">
        <f t="shared" si="42"/>
        <v>86780000000</v>
      </c>
      <c r="Q106" s="38" t="str">
        <f t="shared" si="43"/>
        <v>big</v>
      </c>
      <c r="S106" s="43">
        <f t="shared" si="59"/>
        <v>1436992879.6158304</v>
      </c>
      <c r="U106" s="39">
        <f>A106*VLOOKUP(C106,Stocks!$D$2:$F$146,3)</f>
        <v>0.95661005257009391</v>
      </c>
      <c r="V106" s="154" t="str">
        <f t="shared" si="36"/>
        <v>RAI</v>
      </c>
    </row>
    <row r="107" spans="1:22">
      <c r="A107" s="154">
        <f t="shared" si="44"/>
        <v>-1.8556332660838351</v>
      </c>
      <c r="B107" s="40">
        <f t="shared" si="35"/>
        <v>-4.3488007173279497E-2</v>
      </c>
      <c r="C107" s="747" t="s">
        <v>876</v>
      </c>
      <c r="D107" s="38">
        <v>42.67</v>
      </c>
      <c r="E107" s="38" t="s">
        <v>3098</v>
      </c>
      <c r="F107" s="154" t="s">
        <v>3099</v>
      </c>
      <c r="G107" s="848"/>
      <c r="H107" s="154" t="str">
        <f t="shared" si="40"/>
        <v>-1.94</v>
      </c>
      <c r="I107" s="848">
        <f t="shared" si="41"/>
        <v>-4.3488007173279497E-2</v>
      </c>
      <c r="N107" s="38" t="str">
        <f t="shared" si="57"/>
        <v>B</v>
      </c>
      <c r="O107" s="38" t="str">
        <f t="shared" si="58"/>
        <v>75.87</v>
      </c>
      <c r="P107" s="43">
        <f t="shared" si="42"/>
        <v>75870000000</v>
      </c>
      <c r="Q107" s="38" t="str">
        <f t="shared" si="43"/>
        <v>big</v>
      </c>
      <c r="S107" s="43">
        <f t="shared" si="59"/>
        <v>1778064213.7333021</v>
      </c>
      <c r="U107" s="39">
        <f>A107*VLOOKUP(C107,Stocks!$D$2:$F$146,3)</f>
        <v>-1.9671568253754736</v>
      </c>
      <c r="V107" s="154" t="str">
        <f t="shared" si="36"/>
        <v>RIO</v>
      </c>
    </row>
    <row r="108" spans="1:22">
      <c r="A108" s="154">
        <f t="shared" si="44"/>
        <v>4.028169014084515E-2</v>
      </c>
      <c r="B108" s="40">
        <f t="shared" si="35"/>
        <v>7.0422535211267512E-3</v>
      </c>
      <c r="C108" s="69" t="s">
        <v>83</v>
      </c>
      <c r="D108" s="38">
        <v>5.72</v>
      </c>
      <c r="E108" s="38" t="s">
        <v>2914</v>
      </c>
      <c r="F108" s="154" t="s">
        <v>3100</v>
      </c>
      <c r="G108" s="848"/>
      <c r="H108" s="154" t="str">
        <f t="shared" si="40"/>
        <v>+0.04</v>
      </c>
      <c r="I108" s="848">
        <f t="shared" si="41"/>
        <v>7.0422535211267512E-3</v>
      </c>
      <c r="N108" s="38" t="str">
        <f t="shared" si="57"/>
        <v>B</v>
      </c>
      <c r="O108" s="38" t="str">
        <f t="shared" si="58"/>
        <v>84.46</v>
      </c>
      <c r="P108" s="43">
        <f t="shared" si="42"/>
        <v>84460000000</v>
      </c>
      <c r="Q108" s="38" t="str">
        <f t="shared" si="43"/>
        <v>big</v>
      </c>
      <c r="S108" s="43">
        <f t="shared" si="59"/>
        <v>14765734265.734266</v>
      </c>
      <c r="U108" s="39">
        <f>A108*VLOOKUP(C108,Stocks!$D$2:$F$146,3)</f>
        <v>7.0360310140845215</v>
      </c>
      <c r="V108" s="154" t="str">
        <f t="shared" si="36"/>
        <v>SAN</v>
      </c>
    </row>
    <row r="109" spans="1:22">
      <c r="A109" s="154">
        <f t="shared" si="44"/>
        <v>-0.64885933503835957</v>
      </c>
      <c r="B109" s="40">
        <f t="shared" si="35"/>
        <v>-1.6879795396419373E-2</v>
      </c>
      <c r="C109" s="69" t="s">
        <v>266</v>
      </c>
      <c r="D109" s="38">
        <v>38.44</v>
      </c>
      <c r="E109" s="38" t="s">
        <v>2915</v>
      </c>
      <c r="F109" s="38" t="s">
        <v>3101</v>
      </c>
      <c r="H109" s="154" t="str">
        <f t="shared" si="40"/>
        <v>-0.66</v>
      </c>
      <c r="I109" s="848">
        <f t="shared" si="41"/>
        <v>-1.6879795396419373E-2</v>
      </c>
      <c r="N109" s="38" t="str">
        <f t="shared" si="57"/>
        <v>B</v>
      </c>
      <c r="O109" s="38" t="str">
        <f t="shared" si="58"/>
        <v>29.21</v>
      </c>
      <c r="P109" s="43">
        <f t="shared" si="42"/>
        <v>29210000000</v>
      </c>
      <c r="Q109" s="38" t="str">
        <f t="shared" si="43"/>
        <v>big</v>
      </c>
      <c r="S109" s="43">
        <f t="shared" si="59"/>
        <v>759885535.90010405</v>
      </c>
      <c r="U109" s="39">
        <f>A109*VLOOKUP(C109,Stocks!$D$2:$F$146,3)</f>
        <v>-2.6492926649616222</v>
      </c>
      <c r="V109" s="154" t="str">
        <f t="shared" si="36"/>
        <v>SCCO</v>
      </c>
    </row>
    <row r="110" spans="1:22">
      <c r="A110" s="154">
        <f t="shared" si="44"/>
        <v>4.0883977900552315E-2</v>
      </c>
      <c r="B110" s="40">
        <f t="shared" si="35"/>
        <v>2.2099447513812098E-2</v>
      </c>
      <c r="C110" s="69" t="s">
        <v>606</v>
      </c>
      <c r="D110" s="38">
        <v>1.85</v>
      </c>
      <c r="E110" s="38" t="s">
        <v>2916</v>
      </c>
      <c r="F110" s="38" t="s">
        <v>3102</v>
      </c>
      <c r="H110" s="154" t="str">
        <f t="shared" si="40"/>
        <v>+0.04</v>
      </c>
      <c r="I110" s="848">
        <f t="shared" si="41"/>
        <v>2.2099447513812098E-2</v>
      </c>
      <c r="N110" s="38" t="str">
        <f t="shared" si="57"/>
        <v>M</v>
      </c>
      <c r="O110" s="38" t="str">
        <f t="shared" si="58"/>
        <v>983.71</v>
      </c>
      <c r="P110" s="43">
        <f t="shared" si="42"/>
        <v>983710000</v>
      </c>
      <c r="Q110" s="38" t="str">
        <f t="shared" si="43"/>
        <v>small</v>
      </c>
      <c r="S110" s="43">
        <f t="shared" si="59"/>
        <v>531735135.13513511</v>
      </c>
      <c r="U110" s="39">
        <f>A110*VLOOKUP(C110,Stocks!$D$2:$F$146,3)</f>
        <v>4.0883977900552315E-2</v>
      </c>
      <c r="V110" s="154" t="str">
        <f t="shared" si="36"/>
        <v>SDRL</v>
      </c>
    </row>
    <row r="111" spans="1:22">
      <c r="A111" s="154">
        <f t="shared" si="44"/>
        <v>0.15104797391709113</v>
      </c>
      <c r="B111" s="40">
        <f t="shared" si="35"/>
        <v>6.9864927806240207E-3</v>
      </c>
      <c r="C111" s="69" t="s">
        <v>92</v>
      </c>
      <c r="D111" s="38">
        <v>21.62</v>
      </c>
      <c r="E111" s="38" t="s">
        <v>2917</v>
      </c>
      <c r="F111" s="38" t="s">
        <v>3103</v>
      </c>
      <c r="H111" s="154" t="str">
        <f t="shared" si="40"/>
        <v>+0.15</v>
      </c>
      <c r="I111" s="848">
        <f t="shared" si="41"/>
        <v>6.9864927806240207E-3</v>
      </c>
      <c r="N111" s="38" t="str">
        <f t="shared" si="57"/>
        <v>B</v>
      </c>
      <c r="O111" s="38" t="str">
        <f t="shared" si="58"/>
        <v>10.70</v>
      </c>
      <c r="P111" s="43">
        <f t="shared" si="42"/>
        <v>10700000000</v>
      </c>
      <c r="Q111" s="38" t="str">
        <f t="shared" si="43"/>
        <v>mid</v>
      </c>
      <c r="S111" s="43">
        <f t="shared" si="59"/>
        <v>494912118.40888065</v>
      </c>
      <c r="U111" s="39">
        <f>A111*VLOOKUP(C111,Stocks!$D$2:$F$146,3)</f>
        <v>2.9373242151839287</v>
      </c>
      <c r="V111" s="154" t="str">
        <f t="shared" si="36"/>
        <v>SJR</v>
      </c>
    </row>
    <row r="112" spans="1:22">
      <c r="A112" s="154">
        <f t="shared" si="44"/>
        <v>1.2501112684604436</v>
      </c>
      <c r="B112" s="40">
        <f t="shared" si="35"/>
        <v>2.4681367590531966E-2</v>
      </c>
      <c r="C112" s="38" t="s">
        <v>1203</v>
      </c>
      <c r="D112" s="38">
        <v>50.65</v>
      </c>
      <c r="E112" s="38" t="s">
        <v>2918</v>
      </c>
      <c r="F112" s="38" t="s">
        <v>3104</v>
      </c>
      <c r="H112" s="154" t="str">
        <f t="shared" si="40"/>
        <v>+1.22</v>
      </c>
      <c r="I112" s="848">
        <f t="shared" si="41"/>
        <v>2.4681367590531966E-2</v>
      </c>
      <c r="N112" s="38" t="str">
        <f t="shared" si="57"/>
        <v>B</v>
      </c>
      <c r="O112" s="38" t="str">
        <f t="shared" si="58"/>
        <v>1.06</v>
      </c>
      <c r="P112" s="43">
        <f t="shared" si="42"/>
        <v>1060000000</v>
      </c>
      <c r="Q112" s="38" t="str">
        <f t="shared" si="43"/>
        <v>small</v>
      </c>
      <c r="S112" s="43">
        <f t="shared" si="59"/>
        <v>20927936.821322802</v>
      </c>
      <c r="U112" s="39">
        <f>A112*VLOOKUP(C112,Stocks!$D$2:$F$146,3)</f>
        <v>1.2922400182075606</v>
      </c>
      <c r="V112" s="154" t="str">
        <f t="shared" si="36"/>
        <v>SJW</v>
      </c>
    </row>
    <row r="113" spans="1:22">
      <c r="A113" s="154">
        <f t="shared" si="44"/>
        <v>0</v>
      </c>
      <c r="B113" s="40">
        <f t="shared" si="35"/>
        <v>0</v>
      </c>
      <c r="C113" s="69" t="s">
        <v>690</v>
      </c>
      <c r="D113" s="38">
        <v>22.21</v>
      </c>
      <c r="E113" s="38" t="s">
        <v>2828</v>
      </c>
      <c r="F113" s="38" t="s">
        <v>2837</v>
      </c>
      <c r="H113" s="154" t="str">
        <f t="shared" si="40"/>
        <v xml:space="preserve">0.00 </v>
      </c>
      <c r="I113" s="848">
        <f t="shared" si="41"/>
        <v>0</v>
      </c>
      <c r="N113" s="38" t="str">
        <f t="shared" si="57"/>
        <v>B</v>
      </c>
      <c r="O113" s="38" t="str">
        <f t="shared" si="58"/>
        <v>9.80</v>
      </c>
      <c r="P113" s="43">
        <f t="shared" si="42"/>
        <v>9800000000</v>
      </c>
      <c r="Q113" s="38" t="str">
        <f t="shared" si="43"/>
        <v>mid</v>
      </c>
      <c r="S113" s="43">
        <f t="shared" si="59"/>
        <v>441242683.47591174</v>
      </c>
      <c r="U113" s="39">
        <f>A113*VLOOKUP(C113,Stocks!$D$2:$F$146,3)</f>
        <v>0</v>
      </c>
      <c r="V113" s="154" t="str">
        <f t="shared" si="36"/>
        <v>SLW</v>
      </c>
    </row>
    <row r="114" spans="1:22">
      <c r="A114" s="154">
        <f t="shared" si="44"/>
        <v>0.31410683760683611</v>
      </c>
      <c r="B114" s="40">
        <f t="shared" si="35"/>
        <v>1.3247863247863201E-2</v>
      </c>
      <c r="C114" s="69" t="s">
        <v>501</v>
      </c>
      <c r="D114" s="38">
        <v>23.71</v>
      </c>
      <c r="E114" s="38" t="s">
        <v>2919</v>
      </c>
      <c r="F114" s="38" t="s">
        <v>3105</v>
      </c>
      <c r="H114" s="154" t="str">
        <f t="shared" si="40"/>
        <v>+0.31</v>
      </c>
      <c r="I114" s="848">
        <f t="shared" si="41"/>
        <v>1.3247863247863201E-2</v>
      </c>
      <c r="N114" s="38" t="str">
        <f t="shared" si="57"/>
        <v>B</v>
      </c>
      <c r="O114" s="38" t="str">
        <f t="shared" si="58"/>
        <v>1.82</v>
      </c>
      <c r="P114" s="43">
        <f t="shared" si="42"/>
        <v>1820000000</v>
      </c>
      <c r="Q114" s="38" t="str">
        <f t="shared" si="43"/>
        <v>small</v>
      </c>
      <c r="S114" s="43">
        <f t="shared" si="59"/>
        <v>76760860.396457195</v>
      </c>
      <c r="U114" s="39">
        <f>A114*VLOOKUP(C114,Stocks!$D$2:$F$146,3)</f>
        <v>0.33980077692307531</v>
      </c>
      <c r="V114" s="154" t="str">
        <f t="shared" si="36"/>
        <v>STAG</v>
      </c>
    </row>
    <row r="115" spans="1:22">
      <c r="A115" s="154">
        <f t="shared" si="44"/>
        <v>2.0072202166064201E-2</v>
      </c>
      <c r="B115" s="40">
        <f t="shared" si="35"/>
        <v>3.6101083032489267E-3</v>
      </c>
      <c r="C115" s="69" t="s">
        <v>44</v>
      </c>
      <c r="D115" s="38">
        <v>5.56</v>
      </c>
      <c r="E115" s="38" t="s">
        <v>2920</v>
      </c>
      <c r="F115" s="38" t="s">
        <v>3106</v>
      </c>
      <c r="H115" s="154" t="str">
        <f t="shared" si="40"/>
        <v>+0.02</v>
      </c>
      <c r="I115" s="848">
        <f t="shared" si="41"/>
        <v>3.6101083032489267E-3</v>
      </c>
      <c r="N115" s="38" t="str">
        <f t="shared" si="57"/>
        <v>M</v>
      </c>
      <c r="O115" s="38" t="str">
        <f t="shared" si="58"/>
        <v>511.90</v>
      </c>
      <c r="P115" s="43">
        <f t="shared" si="42"/>
        <v>511900000</v>
      </c>
      <c r="Q115" s="38" t="str">
        <f t="shared" si="43"/>
        <v>small</v>
      </c>
      <c r="S115" s="43">
        <f t="shared" si="59"/>
        <v>92068345.323741019</v>
      </c>
      <c r="U115" s="39">
        <f>A115*VLOOKUP(C115,Stocks!$D$2:$F$146,3)</f>
        <v>10.231799032490578</v>
      </c>
      <c r="V115" s="154" t="str">
        <f t="shared" si="36"/>
        <v>STB</v>
      </c>
    </row>
    <row r="116" spans="1:22">
      <c r="A116" s="154">
        <f t="shared" si="44"/>
        <v>0.16048873615883252</v>
      </c>
      <c r="B116" s="40">
        <f t="shared" si="35"/>
        <v>3.0546009927452378E-3</v>
      </c>
      <c r="C116" s="69" t="s">
        <v>2222</v>
      </c>
      <c r="D116" s="38">
        <v>52.54</v>
      </c>
      <c r="E116" s="38" t="s">
        <v>2921</v>
      </c>
      <c r="F116" s="38" t="s">
        <v>3107</v>
      </c>
      <c r="H116" s="154" t="str">
        <f t="shared" si="40"/>
        <v>+0.16</v>
      </c>
      <c r="I116" s="848">
        <f t="shared" si="41"/>
        <v>3.0546009927452378E-3</v>
      </c>
      <c r="N116" s="38" t="str">
        <f t="shared" si="57"/>
        <v>B</v>
      </c>
      <c r="O116" s="38" t="str">
        <f t="shared" si="58"/>
        <v>28.82</v>
      </c>
      <c r="P116" s="43">
        <f t="shared" si="42"/>
        <v>28820000000</v>
      </c>
      <c r="Q116" s="38" t="str">
        <f t="shared" si="43"/>
        <v>big</v>
      </c>
      <c r="S116" s="43">
        <f t="shared" si="59"/>
        <v>548534449.94290066</v>
      </c>
      <c r="U116" s="39">
        <f>A116*VLOOKUP(C116,Stocks!$D$2:$F$146,3)</f>
        <v>0.16149981519663317</v>
      </c>
      <c r="V116" s="154" t="str">
        <f t="shared" si="36"/>
        <v>SYY</v>
      </c>
    </row>
    <row r="117" spans="1:22">
      <c r="A117" s="154">
        <f t="shared" si="44"/>
        <v>7.0118989800874942E-2</v>
      </c>
      <c r="B117" s="40">
        <f t="shared" si="35"/>
        <v>1.699854298202963E-3</v>
      </c>
      <c r="C117" s="69" t="s">
        <v>569</v>
      </c>
      <c r="D117" s="38">
        <v>41.25</v>
      </c>
      <c r="E117" s="38" t="s">
        <v>2922</v>
      </c>
      <c r="F117" s="38" t="s">
        <v>3108</v>
      </c>
      <c r="H117" s="154" t="str">
        <f t="shared" si="40"/>
        <v>+0.07</v>
      </c>
      <c r="I117" s="848">
        <f t="shared" si="41"/>
        <v>1.699854298202963E-3</v>
      </c>
      <c r="N117" s="38" t="str">
        <f t="shared" si="57"/>
        <v>B</v>
      </c>
      <c r="O117" s="38" t="str">
        <f t="shared" si="58"/>
        <v>253.75</v>
      </c>
      <c r="P117" s="43">
        <f t="shared" si="42"/>
        <v>253750000000</v>
      </c>
      <c r="Q117" s="38" t="str">
        <f t="shared" si="43"/>
        <v>mega</v>
      </c>
      <c r="S117" s="43">
        <f t="shared" si="59"/>
        <v>6151515151.515152</v>
      </c>
      <c r="U117" s="39">
        <f>A117*VLOOKUP(C117,Stocks!$D$2:$F$146,3)</f>
        <v>0.29555855390966795</v>
      </c>
      <c r="V117" s="154" t="str">
        <f t="shared" si="36"/>
        <v>T</v>
      </c>
    </row>
    <row r="118" spans="1:22">
      <c r="A118" s="154">
        <f t="shared" si="44"/>
        <v>2.0044395116537217E-2</v>
      </c>
      <c r="B118" s="40">
        <f t="shared" si="35"/>
        <v>2.2197558268590711E-3</v>
      </c>
      <c r="C118" s="69" t="s">
        <v>829</v>
      </c>
      <c r="D118" s="38">
        <v>9.0299999999999994</v>
      </c>
      <c r="E118" s="38" t="s">
        <v>2923</v>
      </c>
      <c r="F118" s="38" t="s">
        <v>3109</v>
      </c>
      <c r="H118" s="154" t="str">
        <f t="shared" si="40"/>
        <v>+0.02</v>
      </c>
      <c r="I118" s="848">
        <f t="shared" si="41"/>
        <v>2.2197558268590711E-3</v>
      </c>
      <c r="N118" s="38" t="str">
        <f t="shared" si="57"/>
        <v>B</v>
      </c>
      <c r="O118" s="38" t="str">
        <f t="shared" si="58"/>
        <v>2.81</v>
      </c>
      <c r="P118" s="43">
        <f t="shared" si="42"/>
        <v>2810000000</v>
      </c>
      <c r="Q118" s="38" t="str">
        <f t="shared" si="43"/>
        <v>mid</v>
      </c>
      <c r="S118" s="43">
        <f t="shared" si="59"/>
        <v>311184939.09191585</v>
      </c>
      <c r="U118" s="39">
        <f>A118*VLOOKUP(C118,Stocks!$D$2:$F$146,3)</f>
        <v>6.1401995560488455E-2</v>
      </c>
      <c r="V118" s="154" t="str">
        <f t="shared" si="36"/>
        <v>TAHO</v>
      </c>
    </row>
    <row r="119" spans="1:22">
      <c r="A119" s="154">
        <f t="shared" si="44"/>
        <v>0.41495327102803792</v>
      </c>
      <c r="B119" s="40">
        <f t="shared" si="35"/>
        <v>3.7383177570093462E-2</v>
      </c>
      <c r="C119" s="38" t="s">
        <v>84</v>
      </c>
      <c r="D119" s="38">
        <v>11.1</v>
      </c>
      <c r="E119" s="38" t="s">
        <v>2924</v>
      </c>
      <c r="F119" s="38" t="s">
        <v>3110</v>
      </c>
      <c r="H119" s="154" t="str">
        <f t="shared" si="40"/>
        <v>+0.40</v>
      </c>
      <c r="I119" s="848">
        <f t="shared" si="41"/>
        <v>3.7383177570093462E-2</v>
      </c>
      <c r="N119" s="38" t="str">
        <f t="shared" si="57"/>
        <v>M</v>
      </c>
      <c r="O119" s="38" t="str">
        <f t="shared" si="58"/>
        <v>879.64</v>
      </c>
      <c r="P119" s="43">
        <f t="shared" si="42"/>
        <v>879640000</v>
      </c>
      <c r="Q119" s="38" t="str">
        <f t="shared" si="43"/>
        <v>small</v>
      </c>
      <c r="S119" s="43">
        <f t="shared" si="59"/>
        <v>79246846.846846849</v>
      </c>
      <c r="U119" s="39">
        <f>A119*VLOOKUP(C119,Stocks!$D$2:$F$146,3)</f>
        <v>96.739964859813213</v>
      </c>
      <c r="V119" s="154" t="str">
        <f t="shared" si="36"/>
        <v>TGS</v>
      </c>
    </row>
    <row r="120" spans="1:22">
      <c r="A120" s="154">
        <f t="shared" si="44"/>
        <v>0.50663129973474241</v>
      </c>
      <c r="B120" s="40">
        <f t="shared" si="35"/>
        <v>1.3262599469495928E-2</v>
      </c>
      <c r="C120" s="38" t="s">
        <v>80</v>
      </c>
      <c r="D120" s="38">
        <v>38.200000000000003</v>
      </c>
      <c r="E120" s="38" t="s">
        <v>2925</v>
      </c>
      <c r="F120" s="38" t="s">
        <v>2926</v>
      </c>
      <c r="H120" s="154" t="str">
        <f t="shared" si="40"/>
        <v>+0.50</v>
      </c>
      <c r="I120" s="848">
        <f t="shared" si="41"/>
        <v>1.3262599469495928E-2</v>
      </c>
      <c r="N120" s="38" t="str">
        <f t="shared" si="57"/>
        <v>B</v>
      </c>
      <c r="O120" s="38" t="str">
        <f t="shared" si="58"/>
        <v>2.88</v>
      </c>
      <c r="P120" s="43">
        <f t="shared" si="42"/>
        <v>2880000000</v>
      </c>
      <c r="Q120" s="38" t="str">
        <f t="shared" si="43"/>
        <v>mid</v>
      </c>
      <c r="S120" s="43">
        <f t="shared" si="59"/>
        <v>75392670.157068059</v>
      </c>
      <c r="U120" s="39">
        <f>A120*VLOOKUP(C120,Stocks!$D$2:$F$146,3)</f>
        <v>7.1466931034481975</v>
      </c>
      <c r="V120" s="154" t="str">
        <f t="shared" si="36"/>
        <v>TR</v>
      </c>
    </row>
    <row r="121" spans="1:22">
      <c r="A121" s="154">
        <f t="shared" si="44"/>
        <v>-4.9137931034482385E-2</v>
      </c>
      <c r="B121" s="40">
        <f t="shared" si="35"/>
        <v>-1.7241379310344751E-2</v>
      </c>
      <c r="C121" s="38" t="s">
        <v>2638</v>
      </c>
      <c r="D121" s="38">
        <v>2.85</v>
      </c>
      <c r="E121" s="38" t="s">
        <v>2927</v>
      </c>
      <c r="F121" s="38" t="s">
        <v>2928</v>
      </c>
      <c r="H121" s="154" t="str">
        <f t="shared" si="40"/>
        <v>-0.05</v>
      </c>
      <c r="I121" s="848">
        <f t="shared" si="41"/>
        <v>-1.7241379310344751E-2</v>
      </c>
      <c r="N121" s="38" t="str">
        <f t="shared" si="57"/>
        <v>M</v>
      </c>
      <c r="O121" s="38" t="str">
        <f t="shared" si="58"/>
        <v>87.42</v>
      </c>
      <c r="P121" s="43">
        <f t="shared" si="42"/>
        <v>87420000</v>
      </c>
      <c r="Q121" s="38" t="str">
        <f t="shared" si="43"/>
        <v>micro</v>
      </c>
      <c r="S121" s="43">
        <f t="shared" si="59"/>
        <v>30673684.210526314</v>
      </c>
      <c r="U121" s="39">
        <f>A121*VLOOKUP(C121,Stocks!$D$2:$F$146,3)</f>
        <v>-5.2611982758620286E-2</v>
      </c>
      <c r="V121" s="154" t="str">
        <f t="shared" si="36"/>
        <v>UDFI</v>
      </c>
    </row>
    <row r="122" spans="1:22">
      <c r="A122" s="154">
        <f t="shared" si="44"/>
        <v>0.21107142857142946</v>
      </c>
      <c r="B122" s="40">
        <f t="shared" si="35"/>
        <v>5.1020408163264808E-3</v>
      </c>
      <c r="C122" s="69" t="s">
        <v>1128</v>
      </c>
      <c r="D122" s="38">
        <v>41.37</v>
      </c>
      <c r="E122" s="38" t="s">
        <v>2929</v>
      </c>
      <c r="F122" s="38" t="s">
        <v>3111</v>
      </c>
      <c r="H122" s="154" t="str">
        <f t="shared" si="40"/>
        <v>+0.21</v>
      </c>
      <c r="I122" s="848">
        <f t="shared" si="41"/>
        <v>5.1020408163264808E-3</v>
      </c>
      <c r="N122" s="38" t="str">
        <f t="shared" si="57"/>
        <v>B</v>
      </c>
      <c r="O122" s="38" t="str">
        <f t="shared" si="58"/>
        <v>123.13</v>
      </c>
      <c r="P122" s="43">
        <f t="shared" si="42"/>
        <v>123130000000</v>
      </c>
      <c r="Q122" s="38" t="str">
        <f t="shared" si="43"/>
        <v>mega</v>
      </c>
      <c r="S122" s="43">
        <f t="shared" si="59"/>
        <v>2976311336.7174282</v>
      </c>
      <c r="U122" s="39">
        <f>A122*VLOOKUP(C122,Stocks!$D$2:$F$146,3)</f>
        <v>0.2178679285714295</v>
      </c>
      <c r="V122" s="154" t="str">
        <f t="shared" si="36"/>
        <v>UL</v>
      </c>
    </row>
    <row r="123" spans="1:22">
      <c r="A123" s="154">
        <f t="shared" si="44"/>
        <v>-1.9782608695652293E-2</v>
      </c>
      <c r="B123" s="40">
        <f t="shared" si="35"/>
        <v>-1.0869565217391353E-2</v>
      </c>
      <c r="C123" s="69" t="s">
        <v>87</v>
      </c>
      <c r="D123" s="38">
        <v>1.82</v>
      </c>
      <c r="E123" s="38" t="s">
        <v>2930</v>
      </c>
      <c r="F123" s="38" t="s">
        <v>3112</v>
      </c>
      <c r="H123" s="154" t="str">
        <f t="shared" si="40"/>
        <v>-0.02</v>
      </c>
      <c r="I123" s="848">
        <f t="shared" si="41"/>
        <v>-1.0869565217391353E-2</v>
      </c>
      <c r="N123" s="38" t="str">
        <f t="shared" si="57"/>
        <v>B</v>
      </c>
      <c r="O123" s="38" t="str">
        <f t="shared" si="58"/>
        <v>4.58</v>
      </c>
      <c r="P123" s="43">
        <f t="shared" si="42"/>
        <v>4580000000</v>
      </c>
      <c r="Q123" s="38" t="str">
        <f t="shared" si="43"/>
        <v>mid</v>
      </c>
      <c r="S123" s="43">
        <f t="shared" si="59"/>
        <v>2516483516.4835162</v>
      </c>
      <c r="U123" s="39">
        <f>A123*VLOOKUP(C123,Stocks!$D$2:$F$146,3)</f>
        <v>-1.3592551304347906</v>
      </c>
      <c r="V123" s="154" t="str">
        <f t="shared" si="36"/>
        <v>UMC</v>
      </c>
    </row>
    <row r="124" spans="1:22">
      <c r="A124" s="154">
        <f t="shared" si="44"/>
        <v>3.9536136087484692</v>
      </c>
      <c r="B124" s="40">
        <f t="shared" si="35"/>
        <v>4.5929526123936748E-2</v>
      </c>
      <c r="C124" s="69" t="s">
        <v>1291</v>
      </c>
      <c r="D124" s="38">
        <v>86.08</v>
      </c>
      <c r="E124" s="38" t="s">
        <v>2931</v>
      </c>
      <c r="F124" s="38" t="s">
        <v>3113</v>
      </c>
      <c r="H124" s="154" t="str">
        <f t="shared" si="40"/>
        <v>+3.78</v>
      </c>
      <c r="I124" s="848">
        <f t="shared" si="41"/>
        <v>4.5929526123936748E-2</v>
      </c>
      <c r="N124" s="38" t="str">
        <f t="shared" si="57"/>
        <v>B</v>
      </c>
      <c r="O124" s="38" t="str">
        <f t="shared" si="58"/>
        <v>209.50</v>
      </c>
      <c r="P124" s="43">
        <f t="shared" si="42"/>
        <v>209500000000</v>
      </c>
      <c r="Q124" s="38" t="str">
        <f t="shared" si="43"/>
        <v>mega</v>
      </c>
      <c r="S124" s="43">
        <f t="shared" si="59"/>
        <v>2433782527.881041</v>
      </c>
      <c r="U124" s="39">
        <f>A124*VLOOKUP(C124,Stocks!$D$2:$F$146,3)</f>
        <v>3.995126551640328</v>
      </c>
      <c r="V124" s="154" t="str">
        <f t="shared" si="36"/>
        <v>V</v>
      </c>
    </row>
    <row r="125" spans="1:22">
      <c r="A125" s="154">
        <f t="shared" si="44"/>
        <v>5.0296912114015768E-2</v>
      </c>
      <c r="B125" s="40">
        <f t="shared" si="35"/>
        <v>5.9382422802851664E-3</v>
      </c>
      <c r="C125" s="69" t="s">
        <v>1481</v>
      </c>
      <c r="D125" s="38">
        <v>8.4700000000000006</v>
      </c>
      <c r="E125" s="38" t="s">
        <v>2932</v>
      </c>
      <c r="F125" s="38" t="s">
        <v>2850</v>
      </c>
      <c r="H125" s="154" t="str">
        <f t="shared" ref="H125:H131" si="60">MID(E125,1,5)</f>
        <v>+0.05</v>
      </c>
      <c r="I125" s="848">
        <f t="shared" ref="I125:I131" si="61">-(1-(D125/(D125+-H125)))</f>
        <v>5.9382422802851664E-3</v>
      </c>
      <c r="N125" s="38" t="str">
        <f t="shared" si="57"/>
        <v>B</v>
      </c>
      <c r="O125" s="38" t="str">
        <f t="shared" si="58"/>
        <v>8.30</v>
      </c>
      <c r="P125" s="43">
        <f t="shared" si="42"/>
        <v>8300000000.000001</v>
      </c>
      <c r="Q125" s="38" t="str">
        <f t="shared" si="43"/>
        <v>mid</v>
      </c>
      <c r="S125" s="43">
        <f t="shared" si="59"/>
        <v>979929161.74734366</v>
      </c>
      <c r="U125" s="39">
        <f>A125*VLOOKUP(C125,Stocks!$D$2:$F$146,3)</f>
        <v>0.10722798693587021</v>
      </c>
      <c r="V125" s="154" t="str">
        <f t="shared" si="36"/>
        <v>VER</v>
      </c>
    </row>
    <row r="126" spans="1:22">
      <c r="A126" s="154">
        <f t="shared" si="44"/>
        <v>5.0061094819156438E-2</v>
      </c>
      <c r="B126" s="40">
        <f t="shared" si="35"/>
        <v>1.2218963831867047E-3</v>
      </c>
      <c r="C126" s="69" t="s">
        <v>360</v>
      </c>
      <c r="D126" s="38">
        <v>40.97</v>
      </c>
      <c r="E126" s="38" t="s">
        <v>2933</v>
      </c>
      <c r="F126" s="38" t="s">
        <v>3114</v>
      </c>
      <c r="H126" s="154" t="str">
        <f t="shared" si="60"/>
        <v>+0.05</v>
      </c>
      <c r="I126" s="848">
        <f t="shared" si="61"/>
        <v>1.2218963831867047E-3</v>
      </c>
      <c r="N126" s="38" t="str">
        <f t="shared" si="57"/>
        <v>B</v>
      </c>
      <c r="O126" s="38" t="str">
        <f t="shared" si="58"/>
        <v>4.82</v>
      </c>
      <c r="P126" s="43">
        <f t="shared" si="42"/>
        <v>4820000000</v>
      </c>
      <c r="Q126" s="38" t="str">
        <f t="shared" si="43"/>
        <v>mid</v>
      </c>
      <c r="S126" s="43">
        <f t="shared" si="59"/>
        <v>117647058.82352942</v>
      </c>
      <c r="U126" s="39">
        <f>A126*VLOOKUP(C126,Stocks!$D$2:$F$146,3)</f>
        <v>5.0061094819156438E-2</v>
      </c>
      <c r="V126" s="154" t="str">
        <f t="shared" si="36"/>
        <v>VET</v>
      </c>
    </row>
    <row r="127" spans="1:22">
      <c r="A127" s="154">
        <f t="shared" si="44"/>
        <v>0.40722673893405315</v>
      </c>
      <c r="B127" s="40">
        <f t="shared" si="35"/>
        <v>1.8066847335139968E-2</v>
      </c>
      <c r="C127" s="69" t="s">
        <v>379</v>
      </c>
      <c r="D127" s="38">
        <v>22.54</v>
      </c>
      <c r="E127" s="38" t="s">
        <v>2934</v>
      </c>
      <c r="F127" s="38" t="s">
        <v>3115</v>
      </c>
      <c r="H127" s="154" t="str">
        <f t="shared" si="60"/>
        <v>+0.40</v>
      </c>
      <c r="I127" s="848">
        <f t="shared" si="61"/>
        <v>1.8066847335139968E-2</v>
      </c>
      <c r="N127" s="38" t="str">
        <f t="shared" si="57"/>
        <v>B</v>
      </c>
      <c r="O127" s="38" t="str">
        <f t="shared" si="58"/>
        <v>2.93</v>
      </c>
      <c r="P127" s="43">
        <f t="shared" si="42"/>
        <v>2930000000</v>
      </c>
      <c r="Q127" s="38" t="str">
        <f t="shared" si="43"/>
        <v>mid</v>
      </c>
      <c r="S127" s="43">
        <f t="shared" si="59"/>
        <v>129991126.88553683</v>
      </c>
      <c r="U127" s="39">
        <f>A127*VLOOKUP(C127,Stocks!$D$2:$F$146,3)</f>
        <v>3.873825799457967</v>
      </c>
      <c r="V127" s="154" t="str">
        <f t="shared" si="36"/>
        <v>VGR</v>
      </c>
    </row>
    <row r="128" spans="1:22">
      <c r="A128" s="154">
        <f t="shared" si="44"/>
        <v>0.30186412593205603</v>
      </c>
      <c r="B128" s="40">
        <f t="shared" si="35"/>
        <v>6.2137531068764407E-3</v>
      </c>
      <c r="C128" s="69" t="s">
        <v>2203</v>
      </c>
      <c r="D128" s="38">
        <v>48.58</v>
      </c>
      <c r="E128" s="38" t="s">
        <v>2935</v>
      </c>
      <c r="F128" s="38" t="s">
        <v>3116</v>
      </c>
      <c r="H128" s="154" t="str">
        <f t="shared" si="60"/>
        <v>+0.30</v>
      </c>
      <c r="I128" s="848">
        <f t="shared" si="61"/>
        <v>6.2137531068764407E-3</v>
      </c>
      <c r="N128" s="38" t="str">
        <f t="shared" si="57"/>
        <v>B</v>
      </c>
      <c r="O128" s="38" t="str">
        <f t="shared" si="58"/>
        <v>199.27</v>
      </c>
      <c r="P128" s="43">
        <f t="shared" si="42"/>
        <v>199270000000</v>
      </c>
      <c r="Q128" s="38" t="str">
        <f t="shared" si="43"/>
        <v>mega</v>
      </c>
      <c r="S128" s="43">
        <f t="shared" si="59"/>
        <v>4101893783.4499798</v>
      </c>
      <c r="U128" s="39">
        <f>A128*VLOOKUP(C128,Stocks!$D$2:$F$146,3)</f>
        <v>0.61094280447388816</v>
      </c>
      <c r="V128" s="154" t="str">
        <f t="shared" si="36"/>
        <v>VZ</v>
      </c>
    </row>
    <row r="129" spans="1:24">
      <c r="A129" s="154">
        <f t="shared" si="44"/>
        <v>0.2029368575624062</v>
      </c>
      <c r="B129" s="40">
        <f t="shared" si="35"/>
        <v>1.4684287812041008E-2</v>
      </c>
      <c r="C129" s="69" t="s">
        <v>81</v>
      </c>
      <c r="D129" s="38">
        <v>13.82</v>
      </c>
      <c r="E129" s="38" t="s">
        <v>2936</v>
      </c>
      <c r="F129" s="38" t="s">
        <v>3117</v>
      </c>
      <c r="H129" s="154" t="str">
        <f t="shared" si="60"/>
        <v>+0.20</v>
      </c>
      <c r="I129" s="848">
        <f t="shared" si="61"/>
        <v>1.4684287812041008E-2</v>
      </c>
      <c r="N129" s="38" t="str">
        <f t="shared" si="57"/>
        <v>B</v>
      </c>
      <c r="O129" s="38" t="str">
        <f t="shared" si="58"/>
        <v>3.61</v>
      </c>
      <c r="P129" s="43">
        <f t="shared" si="42"/>
        <v>3610000000</v>
      </c>
      <c r="Q129" s="38" t="str">
        <f t="shared" si="43"/>
        <v>mid</v>
      </c>
      <c r="S129" s="43">
        <f t="shared" si="59"/>
        <v>261215629.52243125</v>
      </c>
      <c r="U129" s="39">
        <f>A129*VLOOKUP(C129,Stocks!$D$2:$F$146,3)</f>
        <v>14.047167518355218</v>
      </c>
      <c r="V129" s="154" t="str">
        <f t="shared" si="36"/>
        <v>WEN</v>
      </c>
    </row>
    <row r="130" spans="1:24">
      <c r="A130" s="154">
        <f t="shared" si="44"/>
        <v>1.5614421524663769</v>
      </c>
      <c r="B130" s="40">
        <f t="shared" si="35"/>
        <v>2.7264573991031549E-2</v>
      </c>
      <c r="C130" s="69" t="s">
        <v>2233</v>
      </c>
      <c r="D130" s="38">
        <v>57.27</v>
      </c>
      <c r="E130" s="38" t="s">
        <v>2937</v>
      </c>
      <c r="F130" s="38" t="s">
        <v>3118</v>
      </c>
      <c r="H130" s="154" t="str">
        <f t="shared" si="60"/>
        <v>+1.52</v>
      </c>
      <c r="I130" s="848">
        <f t="shared" si="61"/>
        <v>2.7264573991031549E-2</v>
      </c>
      <c r="N130" s="38" t="str">
        <f t="shared" si="57"/>
        <v>B</v>
      </c>
      <c r="O130" s="38" t="str">
        <f t="shared" si="58"/>
        <v>295.47</v>
      </c>
      <c r="P130" s="43">
        <f t="shared" si="42"/>
        <v>295470000000</v>
      </c>
      <c r="Q130" s="38" t="str">
        <f t="shared" si="43"/>
        <v>mega</v>
      </c>
      <c r="S130" s="43">
        <f t="shared" si="59"/>
        <v>5159245678.3656359</v>
      </c>
      <c r="U130" s="39">
        <f>A130*VLOOKUP(C130,Stocks!$D$2:$F$146,3)</f>
        <v>1.5840830636771392</v>
      </c>
      <c r="V130" s="154" t="str">
        <f t="shared" ref="V130:V141" si="62">C130</f>
        <v>WFC</v>
      </c>
    </row>
    <row r="131" spans="1:24">
      <c r="A131" s="154">
        <f t="shared" si="44"/>
        <v>0</v>
      </c>
      <c r="B131" s="40">
        <f t="shared" si="35"/>
        <v>0</v>
      </c>
      <c r="C131" s="69" t="s">
        <v>603</v>
      </c>
      <c r="D131" s="38">
        <v>1.7</v>
      </c>
      <c r="E131" s="38" t="s">
        <v>2828</v>
      </c>
      <c r="F131" s="38" t="s">
        <v>2938</v>
      </c>
      <c r="H131" s="154" t="str">
        <f t="shared" si="60"/>
        <v xml:space="preserve">0.00 </v>
      </c>
      <c r="I131" s="848">
        <f t="shared" si="61"/>
        <v>0</v>
      </c>
      <c r="N131" s="38" t="str">
        <f t="shared" ref="N131:N141" si="63">RIGHT(TRIM(F131))</f>
        <v>M</v>
      </c>
      <c r="O131" s="38" t="str">
        <f t="shared" ref="O131:O141" si="64">IF(ISERROR(LEFT(F131,FIND("B",F131,1)-1))=TRUE,LEFT(F131,FIND("M",F131,1)-1),LEFT(F131,FIND("B",F131,1)-1))</f>
        <v>115.54</v>
      </c>
      <c r="P131" s="43">
        <f t="shared" si="42"/>
        <v>115540000</v>
      </c>
      <c r="Q131" s="38" t="str">
        <f t="shared" si="43"/>
        <v>micro</v>
      </c>
      <c r="S131" s="43">
        <f t="shared" ref="S131:S141" si="65">P131/D131</f>
        <v>67964705.882352948</v>
      </c>
      <c r="U131" s="39">
        <f>A131*VLOOKUP(C131,Stocks!$D$2:$F$146,3)</f>
        <v>0</v>
      </c>
      <c r="V131" s="154" t="str">
        <f t="shared" si="62"/>
        <v>WHLR</v>
      </c>
    </row>
    <row r="132" spans="1:24">
      <c r="A132" s="154">
        <f t="shared" si="44"/>
        <v>1.0001435956340288E-2</v>
      </c>
      <c r="B132" s="40">
        <f t="shared" ref="B132" si="66">I132</f>
        <v>1.4359563469268366E-4</v>
      </c>
      <c r="C132" s="2" t="s">
        <v>619</v>
      </c>
      <c r="D132" s="38">
        <v>69.650000000000006</v>
      </c>
      <c r="E132" s="38" t="s">
        <v>2939</v>
      </c>
      <c r="F132" s="38" t="s">
        <v>3119</v>
      </c>
      <c r="H132" s="154" t="str">
        <f t="shared" ref="H132:H136" si="67">MID(E132,1,5)</f>
        <v>+0.01</v>
      </c>
      <c r="I132" s="848">
        <f t="shared" ref="I132:I136" si="68">-(1-(D132/(D132+-H132)))</f>
        <v>1.4359563469268366E-4</v>
      </c>
      <c r="N132" s="38" t="str">
        <f t="shared" si="63"/>
        <v>B</v>
      </c>
      <c r="O132" s="38" t="str">
        <f t="shared" si="64"/>
        <v>30.79</v>
      </c>
      <c r="P132" s="43">
        <f t="shared" si="42"/>
        <v>30790000000</v>
      </c>
      <c r="Q132" s="38" t="str">
        <f t="shared" si="43"/>
        <v>big</v>
      </c>
      <c r="S132" s="43">
        <f t="shared" si="65"/>
        <v>442067480.25843501</v>
      </c>
      <c r="U132" s="39">
        <f>A132*VLOOKUP(C132,Stocks!$D$2:$F$146,3)</f>
        <v>1.0518510195283081E-2</v>
      </c>
      <c r="V132" s="154" t="str">
        <f t="shared" si="62"/>
        <v>WM</v>
      </c>
    </row>
    <row r="133" spans="1:24">
      <c r="A133" s="154">
        <f t="shared" ref="A133" si="69">D133*(1+I133)-D133</f>
        <v>0.22352769679300444</v>
      </c>
      <c r="B133" s="40">
        <f t="shared" ref="B133" si="70">I133</f>
        <v>1.6034985422740622E-2</v>
      </c>
      <c r="C133" s="69" t="s">
        <v>340</v>
      </c>
      <c r="D133" s="38">
        <v>13.94</v>
      </c>
      <c r="E133" s="38" t="s">
        <v>2940</v>
      </c>
      <c r="F133" s="38" t="s">
        <v>3120</v>
      </c>
      <c r="H133" s="154" t="str">
        <f t="shared" si="67"/>
        <v>+0.22</v>
      </c>
      <c r="I133" s="848">
        <f t="shared" si="68"/>
        <v>1.6034985422740622E-2</v>
      </c>
      <c r="N133" s="38" t="str">
        <f t="shared" si="63"/>
        <v>M</v>
      </c>
      <c r="O133" s="38" t="str">
        <f t="shared" si="64"/>
        <v>414.32</v>
      </c>
      <c r="P133" s="43">
        <f t="shared" ref="P133:P140" si="71">IF(N133="B",O133*10^9,O133*10^6)</f>
        <v>414320000</v>
      </c>
      <c r="Q133" s="38" t="str">
        <f t="shared" ref="Q133:Q140" si="72">IF(AND(P133&lt;$M$26,P133&gt;=$L$26),$K$26,IF(AND(P133&lt;$M$27,P133&gt;=$L$27),$K$27,IF(AND(P133&lt;$M$28,P133&gt;=$L$28),$K$28,IF(AND(P133&lt;$M$29,P133&gt;=$L$29),$K$29,IF(AND(P133&lt;$M$30,P133&gt;=$L$30),$K$30,$K$31)))))</f>
        <v>small</v>
      </c>
      <c r="S133" s="43">
        <f t="shared" si="65"/>
        <v>29721664.275466286</v>
      </c>
      <c r="U133" s="39">
        <f>A133*VLOOKUP(C133,Stocks!$D$2:$F$146,3)</f>
        <v>0.25598391836734868</v>
      </c>
      <c r="V133" s="154" t="str">
        <f t="shared" si="62"/>
        <v>WSR</v>
      </c>
    </row>
    <row r="134" spans="1:24">
      <c r="A134" s="154">
        <f t="shared" ref="A134:A139" si="73">D134*(1+I134)-D134</f>
        <v>0.21147788203753137</v>
      </c>
      <c r="B134" s="40">
        <f t="shared" ref="B134:B139" si="74">I134</f>
        <v>7.0375335120642646E-3</v>
      </c>
      <c r="C134" s="69" t="s">
        <v>451</v>
      </c>
      <c r="D134" s="38">
        <v>30.05</v>
      </c>
      <c r="E134" s="38" t="s">
        <v>2941</v>
      </c>
      <c r="F134" s="38" t="s">
        <v>2942</v>
      </c>
      <c r="H134" s="154" t="str">
        <f t="shared" si="67"/>
        <v>+0.21</v>
      </c>
      <c r="I134" s="848">
        <f t="shared" si="68"/>
        <v>7.0375335120642646E-3</v>
      </c>
      <c r="N134" s="38" t="str">
        <f t="shared" si="63"/>
        <v>B</v>
      </c>
      <c r="O134" s="38" t="str">
        <f t="shared" si="64"/>
        <v>5.37</v>
      </c>
      <c r="P134" s="43">
        <f t="shared" si="71"/>
        <v>5370000000</v>
      </c>
      <c r="Q134" s="38" t="str">
        <f t="shared" si="72"/>
        <v>mid</v>
      </c>
      <c r="S134" s="43">
        <f t="shared" si="65"/>
        <v>178702163.06156406</v>
      </c>
      <c r="U134" s="39">
        <f>A134*VLOOKUP(C134,Stocks!$D$2:$F$146,3)</f>
        <v>3.8921235321715422</v>
      </c>
      <c r="V134" s="154" t="str">
        <f t="shared" si="62"/>
        <v>WTR</v>
      </c>
    </row>
    <row r="135" spans="1:24">
      <c r="A135" s="154">
        <f t="shared" si="73"/>
        <v>0.24291941206284662</v>
      </c>
      <c r="B135" s="40">
        <f t="shared" si="74"/>
        <v>1.2164216928535199E-2</v>
      </c>
      <c r="C135" s="38" t="s">
        <v>874</v>
      </c>
      <c r="D135" s="38">
        <v>19.97</v>
      </c>
      <c r="E135" s="38" t="s">
        <v>2943</v>
      </c>
      <c r="F135" s="38" t="s">
        <v>2837</v>
      </c>
      <c r="H135" s="154" t="str">
        <f t="shared" si="67"/>
        <v>+0.24</v>
      </c>
      <c r="I135" s="848">
        <f t="shared" si="68"/>
        <v>1.2164216928535199E-2</v>
      </c>
      <c r="N135" s="38" t="str">
        <f t="shared" si="63"/>
        <v>B</v>
      </c>
      <c r="O135" s="38" t="str">
        <f t="shared" si="64"/>
        <v>9.80</v>
      </c>
      <c r="P135" s="43">
        <f t="shared" si="71"/>
        <v>9800000000</v>
      </c>
      <c r="Q135" s="38" t="str">
        <f t="shared" si="72"/>
        <v>mid</v>
      </c>
      <c r="S135" s="43">
        <f t="shared" si="65"/>
        <v>490736104.15623438</v>
      </c>
      <c r="U135" s="39">
        <f>A135*VLOOKUP(C135,Stocks!$D$2:$F$146,3)</f>
        <v>0.50476224632538902</v>
      </c>
      <c r="V135" s="154" t="str">
        <f t="shared" si="62"/>
        <v>WU</v>
      </c>
    </row>
    <row r="136" spans="1:24">
      <c r="A136" s="154">
        <f t="shared" si="73"/>
        <v>-1.0371477761836445</v>
      </c>
      <c r="B136" s="40">
        <f t="shared" si="74"/>
        <v>-3.0703012912482119E-2</v>
      </c>
      <c r="C136" s="69" t="s">
        <v>143</v>
      </c>
      <c r="D136" s="38">
        <v>33.78</v>
      </c>
      <c r="E136" s="38" t="s">
        <v>2944</v>
      </c>
      <c r="F136" s="38" t="s">
        <v>3121</v>
      </c>
      <c r="H136" s="154" t="str">
        <f t="shared" si="67"/>
        <v>-1.07</v>
      </c>
      <c r="I136" s="848">
        <f t="shared" si="68"/>
        <v>-3.0703012912482119E-2</v>
      </c>
      <c r="N136" s="38" t="str">
        <f t="shared" si="63"/>
        <v>B</v>
      </c>
      <c r="O136" s="38" t="str">
        <f t="shared" si="64"/>
        <v>5.65</v>
      </c>
      <c r="P136" s="43">
        <f t="shared" si="71"/>
        <v>5650000000</v>
      </c>
      <c r="Q136" s="38" t="str">
        <f t="shared" si="72"/>
        <v>mid</v>
      </c>
      <c r="S136" s="43">
        <f t="shared" si="65"/>
        <v>167258732.97809353</v>
      </c>
      <c r="U136" s="39">
        <f>A136*VLOOKUP(C136,Stocks!$D$2:$F$146,3)</f>
        <v>-7.3531703035868032</v>
      </c>
      <c r="V136" s="154" t="str">
        <f t="shared" si="62"/>
        <v>X</v>
      </c>
    </row>
    <row r="137" spans="1:24">
      <c r="A137" s="154">
        <f t="shared" si="73"/>
        <v>9.00970641102532E-2</v>
      </c>
      <c r="B137" s="40">
        <f t="shared" si="74"/>
        <v>1.0784901138407577E-3</v>
      </c>
      <c r="C137" s="69" t="s">
        <v>1098</v>
      </c>
      <c r="D137" s="38">
        <v>83.54</v>
      </c>
      <c r="E137" s="38" t="s">
        <v>2945</v>
      </c>
      <c r="F137" s="38" t="s">
        <v>3122</v>
      </c>
      <c r="H137" s="154" t="str">
        <f t="shared" ref="H137:H139" si="75">MID(E137,1,5)</f>
        <v>+0.09</v>
      </c>
      <c r="I137" s="848">
        <f t="shared" ref="I137:I139" si="76">-(1-(D137/(D137+-H137)))</f>
        <v>1.0784901138407577E-3</v>
      </c>
      <c r="N137" s="38" t="str">
        <f t="shared" si="63"/>
        <v>B</v>
      </c>
      <c r="O137" s="38" t="str">
        <f t="shared" si="64"/>
        <v>346.79</v>
      </c>
      <c r="P137" s="43">
        <f t="shared" si="71"/>
        <v>346790000000</v>
      </c>
      <c r="Q137" s="38" t="str">
        <f t="shared" si="72"/>
        <v>mega</v>
      </c>
      <c r="S137" s="43">
        <f t="shared" si="65"/>
        <v>4151185061.0485992</v>
      </c>
      <c r="U137" s="39">
        <f>A137*VLOOKUP(C137,Stocks!$D$2:$F$146,3)</f>
        <v>9.5710111204321976E-2</v>
      </c>
      <c r="V137" s="154" t="str">
        <f t="shared" si="62"/>
        <v>XOM</v>
      </c>
    </row>
    <row r="138" spans="1:24">
      <c r="A138" s="154">
        <f t="shared" si="73"/>
        <v>-1.9944211994420868E-2</v>
      </c>
      <c r="B138" s="40">
        <f t="shared" si="74"/>
        <v>-2.7894002789399241E-3</v>
      </c>
      <c r="C138" s="69" t="s">
        <v>253</v>
      </c>
      <c r="D138" s="38">
        <v>7.15</v>
      </c>
      <c r="E138" s="38" t="s">
        <v>2946</v>
      </c>
      <c r="F138" s="38" t="s">
        <v>3123</v>
      </c>
      <c r="H138" s="154" t="str">
        <f t="shared" si="75"/>
        <v>-0.02</v>
      </c>
      <c r="I138" s="848">
        <f t="shared" si="76"/>
        <v>-2.7894002789399241E-3</v>
      </c>
      <c r="N138" s="38" t="str">
        <f t="shared" si="63"/>
        <v>B</v>
      </c>
      <c r="O138" s="38" t="str">
        <f t="shared" si="64"/>
        <v>7.23</v>
      </c>
      <c r="P138" s="43">
        <f t="shared" si="71"/>
        <v>7230000000</v>
      </c>
      <c r="Q138" s="38" t="str">
        <f t="shared" si="72"/>
        <v>mid</v>
      </c>
      <c r="S138" s="43">
        <f t="shared" si="65"/>
        <v>1011188811.1888112</v>
      </c>
      <c r="U138" s="39">
        <f>A138*VLOOKUP(C138,Stocks!$D$2:$F$146,3)</f>
        <v>-4.1342357043235023E-2</v>
      </c>
      <c r="V138" s="154" t="str">
        <f t="shared" si="62"/>
        <v>XRX</v>
      </c>
    </row>
    <row r="139" spans="1:24">
      <c r="A139" s="154">
        <f t="shared" si="73"/>
        <v>-4.9928263988519461E-2</v>
      </c>
      <c r="B139" s="40">
        <f t="shared" si="74"/>
        <v>-1.4347202295551531E-3</v>
      </c>
      <c r="C139" s="69" t="s">
        <v>812</v>
      </c>
      <c r="D139" s="38">
        <v>34.799999999999997</v>
      </c>
      <c r="E139" s="38" t="s">
        <v>2947</v>
      </c>
      <c r="F139" s="38" t="s">
        <v>3124</v>
      </c>
      <c r="H139" s="154" t="str">
        <f t="shared" si="75"/>
        <v>-0.05</v>
      </c>
      <c r="I139" s="848">
        <f t="shared" si="76"/>
        <v>-1.4347202295551531E-3</v>
      </c>
      <c r="N139" s="38" t="str">
        <f t="shared" si="63"/>
        <v>M</v>
      </c>
      <c r="O139" s="38" t="str">
        <f t="shared" si="64"/>
        <v>446.24</v>
      </c>
      <c r="P139" s="43">
        <f t="shared" si="71"/>
        <v>446240000</v>
      </c>
      <c r="Q139" s="38" t="str">
        <f t="shared" si="72"/>
        <v>small</v>
      </c>
      <c r="S139" s="43">
        <f t="shared" si="65"/>
        <v>12822988.505747128</v>
      </c>
      <c r="U139" s="39">
        <f>A139*VLOOKUP(C139,Stocks!$D$2:$F$146,3)</f>
        <v>-0.103496298421802</v>
      </c>
      <c r="V139" s="154" t="str">
        <f t="shared" si="62"/>
        <v>YORW</v>
      </c>
      <c r="X139" s="39"/>
    </row>
    <row r="140" spans="1:24">
      <c r="A140" s="154">
        <f t="shared" ref="A140" si="77">D140*(1+I140)-D140</f>
        <v>-0.25129987129987175</v>
      </c>
      <c r="B140" s="40">
        <f t="shared" ref="B140" si="78">I140</f>
        <v>-3.3462033462033469E-2</v>
      </c>
      <c r="C140" s="69" t="s">
        <v>105</v>
      </c>
      <c r="D140" s="38">
        <v>7.51</v>
      </c>
      <c r="E140" s="38" t="s">
        <v>2948</v>
      </c>
      <c r="F140" s="38" t="s">
        <v>3125</v>
      </c>
      <c r="H140" s="154" t="str">
        <f t="shared" ref="H140" si="79">MID(E140,1,5)</f>
        <v>-0.26</v>
      </c>
      <c r="I140" s="848">
        <f t="shared" ref="I140" si="80">-(1-(D140/(D140+-H140)))</f>
        <v>-3.3462033462033469E-2</v>
      </c>
      <c r="N140" s="38" t="str">
        <f t="shared" si="63"/>
        <v>B</v>
      </c>
      <c r="O140" s="38" t="str">
        <f t="shared" si="64"/>
        <v>5.94</v>
      </c>
      <c r="P140" s="43">
        <f t="shared" si="71"/>
        <v>5940000000</v>
      </c>
      <c r="Q140" s="38" t="str">
        <f t="shared" si="72"/>
        <v>mid</v>
      </c>
      <c r="S140" s="43">
        <f t="shared" si="65"/>
        <v>790945406.12516642</v>
      </c>
      <c r="U140" s="39">
        <f>A140*VLOOKUP(C140,Stocks!$D$2:$F$146,3)</f>
        <v>-0.52091950321750424</v>
      </c>
      <c r="V140" s="154" t="str">
        <f t="shared" si="62"/>
        <v>YZC</v>
      </c>
    </row>
    <row r="141" spans="1:24">
      <c r="A141" s="154">
        <f t="shared" ref="A141:A143" si="81">D141*(1+I141)-D141</f>
        <v>0.29128045066991604</v>
      </c>
      <c r="B141" s="40">
        <f t="shared" ref="B141:B143" si="82">I141</f>
        <v>4.4153471376371378E-3</v>
      </c>
      <c r="C141" s="738" t="s">
        <v>1438</v>
      </c>
      <c r="D141" s="38">
        <v>65.97</v>
      </c>
      <c r="E141" s="38" t="s">
        <v>2949</v>
      </c>
      <c r="F141" s="38" t="s">
        <v>3126</v>
      </c>
      <c r="H141" s="154" t="str">
        <f t="shared" ref="H141" si="83">MID(E141,1,5)</f>
        <v>+0.29</v>
      </c>
      <c r="I141" s="848">
        <f t="shared" ref="I141" si="84">-(1-(D141/(D141+-H141)))</f>
        <v>4.4153471376371378E-3</v>
      </c>
      <c r="L141" s="42" t="str">
        <f>L2</f>
        <v>Total:</v>
      </c>
      <c r="N141" s="38" t="str">
        <f t="shared" si="63"/>
        <v>B</v>
      </c>
      <c r="O141" s="38" t="str">
        <f t="shared" si="64"/>
        <v>58.90</v>
      </c>
      <c r="P141" s="43">
        <f t="shared" ref="P141" si="85">IF(N141="B",O141*10^9,O141*10^6)</f>
        <v>58900000000</v>
      </c>
      <c r="Q141" s="38" t="str">
        <f t="shared" ref="Q141" si="86">IF(AND(P141&lt;$M$26,P141&gt;=$L$26),$K$26,IF(AND(P141&lt;$M$27,P141&gt;=$L$27),$K$27,IF(AND(P141&lt;$M$28,P141&gt;=$L$28),$K$28,IF(AND(P141&lt;$M$29,P141&gt;=$L$29),$K$29,IF(AND(P141&lt;$M$30,P141&gt;=$L$30),$K$30,$K$31)))))</f>
        <v>big</v>
      </c>
      <c r="S141" s="43">
        <f t="shared" si="65"/>
        <v>892830074.27618611</v>
      </c>
      <c r="U141" s="39">
        <f>A141*VLOOKUP(C141,Stocks!$D$2:$F$146,3)</f>
        <v>2.2618800835870991</v>
      </c>
      <c r="V141" s="154" t="str">
        <f t="shared" si="62"/>
        <v>CL</v>
      </c>
    </row>
    <row r="142" spans="1:24">
      <c r="A142" s="154">
        <f t="shared" si="81"/>
        <v>-0.31907430844331941</v>
      </c>
      <c r="B142" s="40">
        <f t="shared" si="82"/>
        <v>-2.8927861146266221E-3</v>
      </c>
      <c r="C142" s="38" t="s">
        <v>49</v>
      </c>
      <c r="D142" s="38">
        <v>110.3</v>
      </c>
      <c r="E142" s="38" t="s">
        <v>2950</v>
      </c>
      <c r="F142" s="38" t="s">
        <v>3127</v>
      </c>
      <c r="H142" s="154" t="str">
        <f t="shared" ref="H142:H146" si="87">MID(E142,1,5)</f>
        <v>-0.32</v>
      </c>
      <c r="I142" s="848">
        <f t="shared" ref="I142:I146" si="88">-(1-(D142/(D142+-H142)))</f>
        <v>-2.8927861146266221E-3</v>
      </c>
      <c r="L142" s="39">
        <f>L3</f>
        <v>66370.613769200005</v>
      </c>
      <c r="N142" s="38" t="str">
        <f t="shared" ref="N142:N143" si="89">RIGHT(TRIM(F142))</f>
        <v>B</v>
      </c>
      <c r="O142" s="38" t="str">
        <f t="shared" ref="O142:O143" si="90">IF(ISERROR(LEFT(F142,FIND("B",F142,1)-1))=TRUE,LEFT(F142,FIND("M",F142,1)-1),LEFT(F142,FIND("B",F142,1)-1))</f>
        <v>174.21</v>
      </c>
      <c r="P142" s="43">
        <f t="shared" ref="P142:P143" si="91">IF(N142="B",O142*10^9,O142*10^6)</f>
        <v>174210000000</v>
      </c>
      <c r="Q142" s="38" t="str">
        <f t="shared" ref="Q142:Q143" si="92">IF(AND(P142&lt;$M$26,P142&gt;=$L$26),$K$26,IF(AND(P142&lt;$M$27,P142&gt;=$L$27),$K$27,IF(AND(P142&lt;$M$28,P142&gt;=$L$28),$K$28,IF(AND(P142&lt;$M$29,P142&gt;=$L$29),$K$29,IF(AND(P142&lt;$M$30,P142&gt;=$L$30),$K$30,$K$31)))))</f>
        <v>mega</v>
      </c>
      <c r="S142" s="43">
        <f t="shared" ref="S142:S143" si="93">P142/D142</f>
        <v>1579419764.2792385</v>
      </c>
      <c r="U142" s="39">
        <f>A142*VLOOKUP(C142,Stocks!$D$2:$F$146,3)</f>
        <v>-9.2764792768034692</v>
      </c>
      <c r="V142" s="154" t="str">
        <f t="shared" ref="V142:V143" si="94">C142</f>
        <v>DIS</v>
      </c>
    </row>
    <row r="143" spans="1:24">
      <c r="A143" s="154">
        <f t="shared" si="81"/>
        <v>-0.50663082901554901</v>
      </c>
      <c r="B143" s="40">
        <f t="shared" si="82"/>
        <v>-6.6062176165804232E-3</v>
      </c>
      <c r="C143" s="38" t="s">
        <v>684</v>
      </c>
      <c r="D143" s="38">
        <v>76.69</v>
      </c>
      <c r="E143" s="38" t="s">
        <v>2951</v>
      </c>
      <c r="F143" s="38" t="s">
        <v>3128</v>
      </c>
      <c r="H143" s="154" t="str">
        <f t="shared" si="87"/>
        <v>-0.51</v>
      </c>
      <c r="I143" s="848">
        <f t="shared" si="88"/>
        <v>-6.6062176165804232E-3</v>
      </c>
      <c r="N143" s="38" t="str">
        <f t="shared" si="89"/>
        <v>B</v>
      </c>
      <c r="O143" s="38" t="str">
        <f t="shared" si="90"/>
        <v>17.98</v>
      </c>
      <c r="P143" s="43">
        <f t="shared" si="91"/>
        <v>17980000000</v>
      </c>
      <c r="Q143" s="38" t="str">
        <f t="shared" si="92"/>
        <v>mid</v>
      </c>
      <c r="S143" s="43">
        <f t="shared" si="93"/>
        <v>234450384.66553658</v>
      </c>
      <c r="U143" s="39">
        <f>A143*VLOOKUP(C143,Stocks!$D$2:$F$146,3)</f>
        <v>-14.729328755051958</v>
      </c>
      <c r="V143" s="154" t="str">
        <f t="shared" si="94"/>
        <v>DLTR</v>
      </c>
    </row>
    <row r="144" spans="1:24">
      <c r="A144" s="154">
        <f t="shared" ref="A144:A146" si="95">D144*(1+I144)-D144</f>
        <v>0.14047342995169743</v>
      </c>
      <c r="B144" s="40">
        <f t="shared" ref="B144:B146" si="96">I144</f>
        <v>3.3816425120773985E-3</v>
      </c>
      <c r="C144" s="38" t="s">
        <v>48</v>
      </c>
      <c r="D144" s="38">
        <v>41.54</v>
      </c>
      <c r="E144" s="38" t="s">
        <v>2952</v>
      </c>
      <c r="F144" s="38" t="s">
        <v>2953</v>
      </c>
      <c r="H144" s="154" t="str">
        <f t="shared" si="87"/>
        <v>+0.14</v>
      </c>
      <c r="I144" s="848">
        <f t="shared" si="88"/>
        <v>3.3816425120773985E-3</v>
      </c>
      <c r="N144" s="38" t="str">
        <f t="shared" ref="N144:N146" si="97">RIGHT(TRIM(F144))</f>
        <v>B</v>
      </c>
      <c r="O144" s="38" t="str">
        <f t="shared" ref="O144:O146" si="98">IF(ISERROR(LEFT(F144,FIND("B",F144,1)-1))=TRUE,LEFT(F144,FIND("M",F144,1)-1),LEFT(F144,FIND("B",F144,1)-1))</f>
        <v>179.77</v>
      </c>
      <c r="P144" s="43">
        <f t="shared" ref="P144:P146" si="99">IF(N144="B",O144*10^9,O144*10^6)</f>
        <v>179770000000</v>
      </c>
      <c r="Q144" s="38" t="str">
        <f t="shared" ref="Q144:Q146" si="100">IF(AND(P144&lt;$M$26,P144&gt;=$L$26),$K$26,IF(AND(P144&lt;$M$27,P144&gt;=$L$27),$K$27,IF(AND(P144&lt;$M$28,P144&gt;=$L$28),$K$28,IF(AND(P144&lt;$M$29,P144&gt;=$L$29),$K$29,IF(AND(P144&lt;$M$30,P144&gt;=$L$30),$K$30,$K$31)))))</f>
        <v>mega</v>
      </c>
      <c r="S144" s="43">
        <f t="shared" ref="S144:S146" si="101">P144/D144</f>
        <v>4327636013.4809818</v>
      </c>
      <c r="U144" s="39">
        <f>A144*VLOOKUP(C144,Stocks!$D$2:$F$146,3)</f>
        <v>1.6038975285024908</v>
      </c>
      <c r="V144" s="154" t="str">
        <f t="shared" ref="V144:V146" si="102">C144</f>
        <v>KO</v>
      </c>
    </row>
    <row r="145" spans="1:22">
      <c r="A145" s="154">
        <f t="shared" si="95"/>
        <v>0.61490314929503143</v>
      </c>
      <c r="B145" s="40">
        <f t="shared" si="96"/>
        <v>8.0379496639872983E-3</v>
      </c>
      <c r="C145" s="38" t="s">
        <v>478</v>
      </c>
      <c r="D145" s="38">
        <v>76.5</v>
      </c>
      <c r="E145" s="38" t="s">
        <v>2954</v>
      </c>
      <c r="F145" s="38" t="s">
        <v>3129</v>
      </c>
      <c r="H145" s="154" t="str">
        <f t="shared" si="87"/>
        <v>+0.61</v>
      </c>
      <c r="I145" s="848">
        <f t="shared" si="88"/>
        <v>8.0379496639872983E-3</v>
      </c>
      <c r="N145" s="38" t="str">
        <f t="shared" si="97"/>
        <v>B</v>
      </c>
      <c r="O145" s="38" t="str">
        <f t="shared" si="98"/>
        <v>77.08</v>
      </c>
      <c r="P145" s="43">
        <f t="shared" si="99"/>
        <v>77080000000</v>
      </c>
      <c r="Q145" s="38" t="str">
        <f t="shared" si="100"/>
        <v>big</v>
      </c>
      <c r="S145" s="43">
        <f t="shared" si="101"/>
        <v>1007581699.3464053</v>
      </c>
      <c r="U145" s="39">
        <f>A145*VLOOKUP(C145,Stocks!$D$2:$F$146,3)</f>
        <v>8.6740082949005028</v>
      </c>
      <c r="V145" s="154" t="str">
        <f t="shared" si="102"/>
        <v>TXN</v>
      </c>
    </row>
    <row r="146" spans="1:22">
      <c r="A146" s="154">
        <f t="shared" si="95"/>
        <v>-0.19940029985008323</v>
      </c>
      <c r="B146" s="40">
        <f t="shared" si="96"/>
        <v>-2.9985007496252658E-3</v>
      </c>
      <c r="C146" s="38" t="s">
        <v>310</v>
      </c>
      <c r="D146" s="38">
        <v>66.5</v>
      </c>
      <c r="E146" s="38" t="s">
        <v>2955</v>
      </c>
      <c r="F146" s="38" t="s">
        <v>3130</v>
      </c>
      <c r="H146" s="154" t="str">
        <f t="shared" si="87"/>
        <v>-0.20</v>
      </c>
      <c r="I146" s="848">
        <f t="shared" si="88"/>
        <v>-2.9985007496252658E-3</v>
      </c>
      <c r="N146" s="38" t="str">
        <f t="shared" si="97"/>
        <v>B</v>
      </c>
      <c r="O146" s="38" t="str">
        <f t="shared" si="98"/>
        <v>203.75</v>
      </c>
      <c r="P146" s="43">
        <f t="shared" si="99"/>
        <v>203750000000</v>
      </c>
      <c r="Q146" s="38" t="str">
        <f t="shared" si="100"/>
        <v>mega</v>
      </c>
      <c r="S146" s="43">
        <f t="shared" si="101"/>
        <v>3063909774.43609</v>
      </c>
      <c r="U146" s="39">
        <f>A146*VLOOKUP(C146,Stocks!$D$2:$F$146,3)</f>
        <v>-0.20970929535233254</v>
      </c>
      <c r="V146" s="154" t="str">
        <f t="shared" si="102"/>
        <v>WMT</v>
      </c>
    </row>
  </sheetData>
  <mergeCells count="1">
    <mergeCell ref="L24:M24"/>
  </mergeCells>
  <conditionalFormatting sqref="I2:I146">
    <cfRule type="top10" dxfId="74" priority="8748" percent="1" bottom="1" rank="10"/>
    <cfRule type="top10" dxfId="73" priority="8749" percent="1" rank="10"/>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dimension ref="A1:JC546"/>
  <sheetViews>
    <sheetView topLeftCell="AT1" zoomScale="70" zoomScaleNormal="70" workbookViewId="0">
      <pane ySplit="1" topLeftCell="A305" activePane="bottomLeft" state="frozen"/>
      <selection pane="bottomLeft" activeCell="AT319" sqref="AT319"/>
    </sheetView>
  </sheetViews>
  <sheetFormatPr defaultRowHeight="12.75"/>
  <cols>
    <col min="1" max="1" width="20.5703125" style="420" bestFit="1" customWidth="1"/>
    <col min="2" max="2" width="20.140625" style="420" customWidth="1"/>
    <col min="3" max="3" width="17" style="420" customWidth="1"/>
    <col min="4" max="4" width="14.28515625" style="420" bestFit="1" customWidth="1"/>
    <col min="5" max="5" width="15.85546875" style="420" customWidth="1"/>
    <col min="6" max="6" width="15.5703125" style="420" customWidth="1"/>
    <col min="7" max="7" width="18.42578125" style="420" customWidth="1"/>
    <col min="8" max="8" width="14.5703125" style="420" customWidth="1"/>
    <col min="9" max="9" width="13.85546875" style="420" customWidth="1"/>
    <col min="10" max="11" width="11.85546875" style="11" customWidth="1"/>
    <col min="12" max="12" width="15" style="11" customWidth="1"/>
    <col min="13" max="13" width="14.7109375" style="11" customWidth="1"/>
    <col min="14" max="14" width="14.7109375" style="27" customWidth="1"/>
    <col min="15" max="15" width="13.5703125" style="11" customWidth="1"/>
    <col min="16" max="16" width="17.5703125" style="11" customWidth="1"/>
    <col min="17" max="17" width="28.7109375" style="11" customWidth="1"/>
    <col min="18" max="18" width="20.85546875" style="11" customWidth="1"/>
    <col min="19" max="19" width="16.85546875" style="11" customWidth="1"/>
    <col min="20" max="20" width="16.42578125" style="11" customWidth="1"/>
    <col min="21" max="21" width="18.5703125" style="11" customWidth="1"/>
    <col min="22" max="22" width="15.140625" style="20" customWidth="1"/>
    <col min="23" max="23" width="12.7109375" style="20" customWidth="1"/>
    <col min="24" max="24" width="21.85546875" style="20" customWidth="1"/>
    <col min="25" max="25" width="19.85546875" style="29" customWidth="1"/>
    <col min="26" max="26" width="19.85546875" style="13" customWidth="1"/>
    <col min="27" max="27" width="22.28515625" style="13" customWidth="1"/>
    <col min="28" max="28" width="19.85546875" style="13" customWidth="1"/>
    <col min="29" max="29" width="14.42578125" style="13" customWidth="1"/>
    <col min="30" max="30" width="18.28515625" style="27" customWidth="1"/>
    <col min="31" max="31" width="14" style="420" customWidth="1"/>
    <col min="32" max="32" width="14.5703125" style="420" customWidth="1"/>
    <col min="33" max="33" width="14.5703125" style="10" customWidth="1"/>
    <col min="34" max="34" width="21" style="15" customWidth="1"/>
    <col min="35" max="35" width="21" style="27" customWidth="1"/>
    <col min="36" max="43" width="4.5703125" style="27" customWidth="1"/>
    <col min="44" max="45" width="8" style="27" customWidth="1"/>
    <col min="46" max="46" width="23.85546875" style="420" customWidth="1"/>
    <col min="47" max="47" width="24.5703125" style="176" customWidth="1"/>
    <col min="48" max="49" width="37.140625" style="176" customWidth="1"/>
    <col min="50" max="51" width="37.140625" style="420" customWidth="1"/>
    <col min="52" max="52" width="24.42578125" style="420" customWidth="1"/>
    <col min="53" max="53" width="20.7109375" style="420" customWidth="1"/>
    <col min="54" max="54" width="20" style="420" customWidth="1"/>
    <col min="55" max="55" width="19.28515625" style="15" customWidth="1"/>
    <col min="56" max="56" width="22.7109375" style="420" customWidth="1"/>
    <col min="57" max="57" width="18.85546875" style="420" customWidth="1"/>
    <col min="58" max="58" width="22.7109375" style="420" customWidth="1"/>
    <col min="59" max="60" width="18.5703125" style="420" customWidth="1"/>
    <col min="61" max="61" width="16.42578125" style="420" bestFit="1" customWidth="1"/>
    <col min="62" max="62" width="16.42578125" style="420" customWidth="1"/>
    <col min="63" max="63" width="13.140625" style="420" customWidth="1"/>
    <col min="64" max="64" width="11.7109375" style="420" customWidth="1"/>
    <col min="65" max="65" width="24.28515625" style="420" customWidth="1"/>
    <col min="66" max="66" width="34.85546875" style="420" bestFit="1" customWidth="1"/>
    <col min="67" max="67" width="36" style="420" bestFit="1" customWidth="1"/>
    <col min="68" max="68" width="14.42578125" style="420" customWidth="1"/>
    <col min="69" max="69" width="34.42578125" style="19" bestFit="1" customWidth="1"/>
    <col min="70" max="70" width="12" style="16" bestFit="1" customWidth="1"/>
    <col min="71" max="71" width="8.140625" style="420" bestFit="1" customWidth="1"/>
    <col min="72" max="72" width="9.28515625" style="420" bestFit="1" customWidth="1"/>
    <col min="73" max="73" width="8.140625" style="420" bestFit="1" customWidth="1"/>
    <col min="74" max="74" width="10.85546875" style="420" bestFit="1" customWidth="1"/>
    <col min="75" max="75" width="11" style="540" bestFit="1" customWidth="1"/>
    <col min="76" max="76" width="13.140625" style="420" bestFit="1" customWidth="1"/>
    <col min="77" max="77" width="13.42578125" style="10" bestFit="1" customWidth="1"/>
    <col min="78" max="78" width="9.28515625" style="10" bestFit="1" customWidth="1"/>
    <col min="79" max="79" width="10.85546875" style="540" bestFit="1" customWidth="1"/>
    <col min="80" max="80" width="13.140625" style="420" bestFit="1" customWidth="1"/>
    <col min="81" max="81" width="13.42578125" style="10" bestFit="1" customWidth="1"/>
    <col min="82" max="82" width="9.28515625" style="10" bestFit="1" customWidth="1"/>
    <col min="83" max="83" width="10.85546875" style="540" bestFit="1" customWidth="1"/>
    <col min="84" max="84" width="13.140625" style="420" bestFit="1" customWidth="1"/>
    <col min="85" max="85" width="13.42578125" style="10" bestFit="1" customWidth="1"/>
    <col min="86" max="86" width="9.28515625" style="10" bestFit="1" customWidth="1"/>
    <col min="87" max="87" width="10.85546875" style="540" bestFit="1" customWidth="1"/>
    <col min="88" max="88" width="13.140625" style="420" bestFit="1" customWidth="1"/>
    <col min="89" max="89" width="13.42578125" style="10" bestFit="1" customWidth="1"/>
    <col min="90" max="90" width="9.28515625" style="10" bestFit="1" customWidth="1"/>
    <col min="91" max="91" width="10.85546875" style="540" bestFit="1" customWidth="1"/>
    <col min="92" max="92" width="13.140625" style="420" bestFit="1" customWidth="1"/>
    <col min="93" max="93" width="13.42578125" style="10" bestFit="1" customWidth="1"/>
    <col min="94" max="94" width="9.28515625" style="10" bestFit="1" customWidth="1"/>
    <col min="95" max="95" width="10.85546875" style="540" bestFit="1" customWidth="1"/>
    <col min="96" max="96" width="13.140625" style="420" bestFit="1" customWidth="1"/>
    <col min="97" max="97" width="13.42578125" style="10" bestFit="1" customWidth="1"/>
    <col min="98" max="98" width="9.28515625" style="10" bestFit="1" customWidth="1"/>
    <col min="99" max="99" width="10.85546875" style="540" bestFit="1" customWidth="1"/>
    <col min="100" max="100" width="13.140625" style="420" bestFit="1" customWidth="1"/>
    <col min="101" max="101" width="13.42578125" style="10" bestFit="1" customWidth="1"/>
    <col min="102" max="102" width="9.28515625" style="10" bestFit="1" customWidth="1"/>
    <col min="103" max="103" width="10.85546875" style="540" bestFit="1" customWidth="1"/>
    <col min="104" max="104" width="13.140625" style="420" bestFit="1" customWidth="1"/>
    <col min="105" max="105" width="13.42578125" style="10" bestFit="1" customWidth="1"/>
    <col min="106" max="106" width="9.28515625" style="10" bestFit="1" customWidth="1"/>
    <col min="107" max="107" width="10.85546875" style="540" bestFit="1" customWidth="1"/>
    <col min="108" max="108" width="13.140625" style="420" bestFit="1" customWidth="1"/>
    <col min="109" max="109" width="13.42578125" style="10" bestFit="1" customWidth="1"/>
    <col min="110" max="110" width="9.28515625" style="10" bestFit="1" customWidth="1"/>
    <col min="111" max="111" width="10.85546875" style="540" bestFit="1" customWidth="1"/>
    <col min="112" max="112" width="14.42578125" style="420" bestFit="1" customWidth="1"/>
    <col min="113" max="113" width="14.5703125" style="10" bestFit="1" customWidth="1"/>
    <col min="114" max="114" width="10.28515625" style="10" bestFit="1" customWidth="1"/>
    <col min="115" max="115" width="10.85546875" style="540" bestFit="1" customWidth="1"/>
    <col min="116" max="116" width="14.42578125" style="420" bestFit="1" customWidth="1"/>
    <col min="117" max="117" width="14.5703125" style="10" bestFit="1" customWidth="1"/>
    <col min="118" max="118" width="10.28515625" style="10" bestFit="1" customWidth="1"/>
    <col min="119" max="119" width="10.85546875" style="540" bestFit="1" customWidth="1"/>
    <col min="120" max="120" width="14.42578125" style="420" bestFit="1" customWidth="1"/>
    <col min="121" max="121" width="14.5703125" style="10" bestFit="1" customWidth="1"/>
    <col min="122" max="122" width="10.28515625" style="10" bestFit="1" customWidth="1"/>
    <col min="123" max="123" width="12" style="540" bestFit="1" customWidth="1"/>
    <col min="124" max="124" width="14.42578125" style="420" bestFit="1" customWidth="1"/>
    <col min="125" max="125" width="14.5703125" style="10" bestFit="1" customWidth="1"/>
    <col min="126" max="126" width="10.28515625" style="10" bestFit="1" customWidth="1"/>
    <col min="127" max="127" width="12" style="540" bestFit="1" customWidth="1"/>
    <col min="128" max="128" width="14.42578125" style="420" bestFit="1" customWidth="1"/>
    <col min="129" max="129" width="14.5703125" style="10" bestFit="1" customWidth="1"/>
    <col min="130" max="130" width="10.28515625" style="10" bestFit="1" customWidth="1"/>
    <col min="131" max="131" width="12" style="540" bestFit="1" customWidth="1"/>
    <col min="132" max="132" width="14.42578125" style="420" bestFit="1" customWidth="1"/>
    <col min="133" max="133" width="14.5703125" style="10" bestFit="1" customWidth="1"/>
    <col min="134" max="134" width="10.28515625" style="10" bestFit="1" customWidth="1"/>
    <col min="135" max="135" width="12" style="539" bestFit="1" customWidth="1"/>
    <col min="136" max="136" width="14.42578125" style="19" bestFit="1" customWidth="1"/>
    <col min="137" max="137" width="14.5703125" style="10" bestFit="1" customWidth="1"/>
    <col min="138" max="138" width="10.28515625" style="10" bestFit="1" customWidth="1"/>
    <col min="139" max="139" width="12" style="539" bestFit="1" customWidth="1"/>
    <col min="140" max="140" width="14.42578125" style="19" bestFit="1" customWidth="1"/>
    <col min="141" max="141" width="14.5703125" style="10" bestFit="1" customWidth="1"/>
    <col min="142" max="142" width="10.28515625" style="10" bestFit="1" customWidth="1"/>
    <col min="143" max="143" width="12" style="539" bestFit="1" customWidth="1"/>
    <col min="144" max="144" width="14.42578125" style="19" bestFit="1" customWidth="1"/>
    <col min="145" max="145" width="14.5703125" style="10" bestFit="1" customWidth="1"/>
    <col min="146" max="146" width="10.28515625" style="10" bestFit="1" customWidth="1"/>
    <col min="147" max="147" width="12" style="539" bestFit="1" customWidth="1"/>
    <col min="148" max="148" width="14.42578125" style="19" bestFit="1" customWidth="1"/>
    <col min="149" max="149" width="14.5703125" style="10" bestFit="1" customWidth="1"/>
    <col min="150" max="150" width="10.28515625" style="10" bestFit="1" customWidth="1"/>
    <col min="151" max="151" width="12" style="539" bestFit="1" customWidth="1"/>
    <col min="152" max="152" width="14.42578125" style="19" bestFit="1" customWidth="1"/>
    <col min="153" max="153" width="14.5703125" style="10" bestFit="1" customWidth="1"/>
    <col min="154" max="154" width="10.28515625" style="10" bestFit="1" customWidth="1"/>
    <col min="155" max="155" width="12" style="539" bestFit="1" customWidth="1"/>
    <col min="156" max="156" width="14.42578125" style="19" bestFit="1" customWidth="1"/>
    <col min="157" max="157" width="14.5703125" style="10" bestFit="1" customWidth="1"/>
    <col min="158" max="158" width="10.28515625" style="10" bestFit="1" customWidth="1"/>
    <col min="159" max="159" width="12" style="539" bestFit="1" customWidth="1"/>
    <col min="160" max="160" width="14.42578125" style="19" bestFit="1" customWidth="1"/>
    <col min="161" max="161" width="14.5703125" style="10" bestFit="1" customWidth="1"/>
    <col min="162" max="162" width="10.28515625" style="10" bestFit="1" customWidth="1"/>
    <col min="163" max="163" width="12" style="539" bestFit="1" customWidth="1"/>
    <col min="164" max="164" width="14.42578125" style="19" bestFit="1" customWidth="1"/>
    <col min="165" max="165" width="14.5703125" style="10" bestFit="1" customWidth="1"/>
    <col min="166" max="166" width="10.28515625" style="10" bestFit="1" customWidth="1"/>
    <col min="167" max="167" width="12" style="539" bestFit="1" customWidth="1"/>
    <col min="168" max="168" width="14.42578125" style="19" bestFit="1" customWidth="1"/>
    <col min="169" max="169" width="14.5703125" style="10" bestFit="1" customWidth="1"/>
    <col min="170" max="170" width="10.28515625" style="10" bestFit="1" customWidth="1"/>
    <col min="171" max="171" width="12" style="539" bestFit="1" customWidth="1"/>
    <col min="172" max="172" width="14.42578125" style="19" bestFit="1" customWidth="1"/>
    <col min="173" max="173" width="14.5703125" style="10" bestFit="1" customWidth="1"/>
    <col min="174" max="174" width="10.28515625" style="10" bestFit="1" customWidth="1"/>
    <col min="175" max="175" width="12" style="539" bestFit="1" customWidth="1"/>
    <col min="176" max="176" width="14.42578125" style="19" bestFit="1" customWidth="1"/>
    <col min="177" max="177" width="14.5703125" style="10" bestFit="1" customWidth="1"/>
    <col min="178" max="178" width="10.28515625" style="10" bestFit="1" customWidth="1"/>
    <col min="179" max="179" width="12" style="539" bestFit="1" customWidth="1"/>
    <col min="180" max="180" width="14.42578125" style="19" bestFit="1" customWidth="1"/>
    <col min="181" max="181" width="14.5703125" style="10" bestFit="1" customWidth="1"/>
    <col min="182" max="182" width="10.28515625" style="10" bestFit="1" customWidth="1"/>
    <col min="183" max="183" width="12" style="539" bestFit="1" customWidth="1"/>
    <col min="184" max="184" width="14.42578125" style="19" bestFit="1" customWidth="1"/>
    <col min="185" max="185" width="14.5703125" style="10" bestFit="1" customWidth="1"/>
    <col min="186" max="186" width="10.85546875" style="10" bestFit="1" customWidth="1"/>
    <col min="187" max="187" width="12" style="539" bestFit="1" customWidth="1"/>
    <col min="188" max="188" width="14.42578125" style="19" bestFit="1" customWidth="1"/>
    <col min="189" max="189" width="14.5703125" style="10" bestFit="1" customWidth="1"/>
    <col min="190" max="190" width="10.85546875" style="10" bestFit="1" customWidth="1"/>
    <col min="191" max="191" width="12" style="539" bestFit="1" customWidth="1"/>
    <col min="192" max="192" width="14.42578125" style="19" bestFit="1" customWidth="1"/>
    <col min="193" max="193" width="14.5703125" style="10" bestFit="1" customWidth="1"/>
    <col min="194" max="194" width="10.85546875" style="10" bestFit="1" customWidth="1"/>
    <col min="195" max="195" width="13.5703125" style="539" bestFit="1" customWidth="1"/>
    <col min="196" max="196" width="14.42578125" style="16" bestFit="1" customWidth="1"/>
    <col min="197" max="197" width="14.5703125" style="10" bestFit="1" customWidth="1"/>
    <col min="198" max="198" width="10.85546875" style="10" bestFit="1" customWidth="1"/>
    <col min="199" max="199" width="13.5703125" style="541" bestFit="1" customWidth="1"/>
    <col min="200" max="200" width="14.42578125" style="16" bestFit="1" customWidth="1"/>
    <col min="201" max="201" width="14.5703125" style="10" bestFit="1" customWidth="1"/>
    <col min="202" max="202" width="10.85546875" style="10" bestFit="1" customWidth="1"/>
    <col min="203" max="203" width="13.5703125" style="541" bestFit="1" customWidth="1"/>
    <col min="204" max="204" width="14.42578125" style="16" bestFit="1" customWidth="1"/>
    <col min="205" max="205" width="14.5703125" style="10" bestFit="1" customWidth="1"/>
    <col min="206" max="206" width="10.85546875" style="10" bestFit="1" customWidth="1"/>
    <col min="207" max="207" width="13.5703125" style="541" bestFit="1" customWidth="1"/>
    <col min="208" max="208" width="14.42578125" style="16" bestFit="1" customWidth="1"/>
    <col min="209" max="209" width="14.5703125" style="10" bestFit="1" customWidth="1"/>
    <col min="210" max="210" width="12.42578125" style="10" bestFit="1" customWidth="1"/>
    <col min="211" max="211" width="13.5703125" style="541" bestFit="1" customWidth="1"/>
    <col min="212" max="212" width="14.42578125" style="16" bestFit="1" customWidth="1"/>
    <col min="213" max="213" width="14.5703125" style="10" bestFit="1" customWidth="1"/>
    <col min="214" max="214" width="12.42578125" style="10" bestFit="1" customWidth="1"/>
    <col min="215" max="215" width="13.5703125" style="541" bestFit="1" customWidth="1"/>
    <col min="216" max="216" width="14.42578125" style="16" bestFit="1" customWidth="1"/>
    <col min="217" max="217" width="14.5703125" style="10" bestFit="1" customWidth="1"/>
    <col min="218" max="218" width="12.42578125" style="10" bestFit="1" customWidth="1"/>
    <col min="219" max="219" width="14.85546875" style="541" bestFit="1" customWidth="1"/>
    <col min="220" max="220" width="14.42578125" style="16" bestFit="1" customWidth="1"/>
    <col min="221" max="221" width="14.5703125" style="10" bestFit="1" customWidth="1"/>
    <col min="222" max="222" width="12.42578125" style="10" bestFit="1" customWidth="1"/>
    <col min="223" max="223" width="14.85546875" style="541" bestFit="1" customWidth="1"/>
    <col min="224" max="224" width="14.42578125" style="16" bestFit="1" customWidth="1"/>
    <col min="225" max="225" width="14.5703125" style="10" bestFit="1" customWidth="1"/>
    <col min="226" max="226" width="12.42578125" style="10" bestFit="1" customWidth="1"/>
    <col min="227" max="227" width="14.85546875" style="539" bestFit="1" customWidth="1"/>
    <col min="228" max="228" width="14.85546875" style="19" bestFit="1" customWidth="1"/>
    <col min="229" max="229" width="14.5703125" style="10" bestFit="1" customWidth="1"/>
    <col min="230" max="230" width="13.5703125" style="10" bestFit="1" customWidth="1"/>
    <col min="231" max="231" width="14.85546875" style="539" bestFit="1" customWidth="1"/>
    <col min="232" max="232" width="14.85546875" style="420" bestFit="1" customWidth="1"/>
    <col min="233" max="233" width="14.5703125" style="10" bestFit="1" customWidth="1"/>
    <col min="234" max="234" width="13.5703125" style="10" bestFit="1" customWidth="1"/>
    <col min="235" max="235" width="14.85546875" style="539" bestFit="1" customWidth="1"/>
    <col min="236" max="236" width="14.85546875" style="420" bestFit="1" customWidth="1"/>
    <col min="237" max="239" width="9.140625" style="420"/>
    <col min="240" max="240" width="30.28515625" style="420" bestFit="1" customWidth="1"/>
    <col min="241" max="241" width="30.42578125" style="420" customWidth="1"/>
    <col min="242" max="242" width="26.28515625" style="420" bestFit="1" customWidth="1"/>
    <col min="243" max="243" width="13.85546875" style="420" bestFit="1" customWidth="1"/>
    <col min="244" max="244" width="31.7109375" style="420" bestFit="1" customWidth="1"/>
    <col min="245" max="245" width="52.42578125" style="420" bestFit="1" customWidth="1"/>
    <col min="246" max="246" width="22.7109375" style="420" bestFit="1" customWidth="1"/>
    <col min="247" max="247" width="32.7109375" style="420" bestFit="1" customWidth="1"/>
    <col min="248" max="248" width="23.42578125" style="420" bestFit="1" customWidth="1"/>
    <col min="249" max="249" width="36.28515625" style="420" bestFit="1" customWidth="1"/>
    <col min="250" max="250" width="26" style="420" bestFit="1" customWidth="1"/>
    <col min="251" max="16384" width="9.140625" style="420"/>
  </cols>
  <sheetData>
    <row r="1" spans="1:263" s="7" customFormat="1">
      <c r="A1" s="71" t="s">
        <v>144</v>
      </c>
      <c r="C1" s="8" t="s">
        <v>2340</v>
      </c>
      <c r="D1" s="7" t="s">
        <v>14</v>
      </c>
      <c r="E1" s="7" t="s">
        <v>34</v>
      </c>
      <c r="F1" s="7" t="s">
        <v>6</v>
      </c>
      <c r="G1" s="7" t="s">
        <v>1400</v>
      </c>
      <c r="H1" s="7" t="s">
        <v>1878</v>
      </c>
      <c r="I1" s="7" t="s">
        <v>36</v>
      </c>
      <c r="J1" s="7" t="s">
        <v>37</v>
      </c>
      <c r="K1" s="7" t="s">
        <v>1844</v>
      </c>
      <c r="L1" s="7" t="s">
        <v>1266</v>
      </c>
      <c r="M1" s="7" t="s">
        <v>1845</v>
      </c>
      <c r="N1" s="18" t="s">
        <v>508</v>
      </c>
      <c r="O1" s="8" t="s">
        <v>7</v>
      </c>
      <c r="P1" s="7" t="s">
        <v>12</v>
      </c>
      <c r="Q1" s="7" t="s">
        <v>66</v>
      </c>
      <c r="R1" s="7" t="s">
        <v>455</v>
      </c>
      <c r="S1" s="7" t="s">
        <v>38</v>
      </c>
      <c r="T1" s="7" t="s">
        <v>39</v>
      </c>
      <c r="U1" s="7" t="s">
        <v>53</v>
      </c>
      <c r="V1" s="7" t="s">
        <v>1979</v>
      </c>
      <c r="W1" s="7" t="s">
        <v>1978</v>
      </c>
      <c r="X1" s="21" t="s">
        <v>68</v>
      </c>
      <c r="Y1" s="863" t="s">
        <v>103</v>
      </c>
      <c r="Z1" s="21" t="s">
        <v>1727</v>
      </c>
      <c r="AA1" s="21" t="s">
        <v>1731</v>
      </c>
      <c r="AB1" s="21" t="s">
        <v>1732</v>
      </c>
      <c r="AC1" s="24" t="s">
        <v>592</v>
      </c>
      <c r="AD1" s="7" t="s">
        <v>377</v>
      </c>
      <c r="AE1" s="420"/>
      <c r="AF1" s="18" t="s">
        <v>459</v>
      </c>
      <c r="AG1" s="14" t="s">
        <v>1751</v>
      </c>
      <c r="AH1" s="175" t="s">
        <v>96</v>
      </c>
      <c r="AI1" s="8" t="s">
        <v>1765</v>
      </c>
      <c r="AJ1" s="8" t="s">
        <v>2364</v>
      </c>
      <c r="AK1" s="8" t="s">
        <v>2365</v>
      </c>
      <c r="AL1" s="8" t="s">
        <v>2366</v>
      </c>
      <c r="AM1" s="8" t="s">
        <v>2369</v>
      </c>
      <c r="AN1" s="8" t="s">
        <v>2370</v>
      </c>
      <c r="AO1" s="8" t="s">
        <v>2372</v>
      </c>
      <c r="AP1" s="8" t="s">
        <v>2373</v>
      </c>
      <c r="AQ1" s="8" t="s">
        <v>2374</v>
      </c>
      <c r="AR1" s="8" t="s">
        <v>2376</v>
      </c>
      <c r="AS1" s="8" t="s">
        <v>2378</v>
      </c>
      <c r="AT1" s="175" t="s">
        <v>76</v>
      </c>
      <c r="AW1" s="72" t="s">
        <v>11</v>
      </c>
      <c r="AX1" s="6" t="s">
        <v>6</v>
      </c>
      <c r="AY1" s="7" t="s">
        <v>13</v>
      </c>
      <c r="AZ1" s="7" t="s">
        <v>8</v>
      </c>
      <c r="BA1" s="18" t="s">
        <v>156</v>
      </c>
      <c r="BB1" s="175" t="s">
        <v>1857</v>
      </c>
      <c r="BC1" s="7" t="s">
        <v>26</v>
      </c>
      <c r="BD1" s="506"/>
      <c r="BE1" s="506" t="s">
        <v>1470</v>
      </c>
      <c r="BF1" s="506" t="s">
        <v>1452</v>
      </c>
      <c r="BG1" s="7" t="s">
        <v>1009</v>
      </c>
      <c r="BH1" s="7" t="s">
        <v>1882</v>
      </c>
      <c r="BI1" s="7" t="s">
        <v>2202</v>
      </c>
      <c r="BJ1" s="7" t="s">
        <v>2516</v>
      </c>
      <c r="BK1" s="7" t="s">
        <v>272</v>
      </c>
      <c r="BL1" s="7" t="s">
        <v>272</v>
      </c>
      <c r="BM1" s="7" t="s">
        <v>1450</v>
      </c>
      <c r="BN1" s="7" t="s">
        <v>1451</v>
      </c>
      <c r="BO1" s="7" t="s">
        <v>568</v>
      </c>
      <c r="BP1" s="7" t="s">
        <v>46</v>
      </c>
      <c r="BQ1" s="21" t="s">
        <v>1522</v>
      </c>
      <c r="BR1" s="578"/>
      <c r="BS1" s="7" t="s">
        <v>14</v>
      </c>
      <c r="BT1" s="7" t="s">
        <v>6</v>
      </c>
      <c r="BU1" s="7" t="s">
        <v>13</v>
      </c>
      <c r="BV1" s="7" t="s">
        <v>8</v>
      </c>
      <c r="BW1" s="538" t="s">
        <v>891</v>
      </c>
      <c r="BX1" s="7" t="s">
        <v>892</v>
      </c>
      <c r="BY1" s="14" t="s">
        <v>888</v>
      </c>
      <c r="BZ1" s="14" t="s">
        <v>893</v>
      </c>
      <c r="CA1" s="538" t="s">
        <v>894</v>
      </c>
      <c r="CB1" s="7" t="s">
        <v>895</v>
      </c>
      <c r="CC1" s="14" t="s">
        <v>889</v>
      </c>
      <c r="CD1" s="14" t="s">
        <v>896</v>
      </c>
      <c r="CE1" s="538" t="s">
        <v>897</v>
      </c>
      <c r="CF1" s="7" t="s">
        <v>898</v>
      </c>
      <c r="CG1" s="14" t="s">
        <v>890</v>
      </c>
      <c r="CH1" s="14" t="s">
        <v>899</v>
      </c>
      <c r="CI1" s="538" t="s">
        <v>900</v>
      </c>
      <c r="CJ1" s="7" t="s">
        <v>901</v>
      </c>
      <c r="CK1" s="14" t="s">
        <v>902</v>
      </c>
      <c r="CL1" s="14" t="s">
        <v>903</v>
      </c>
      <c r="CM1" s="538" t="s">
        <v>904</v>
      </c>
      <c r="CN1" s="7" t="s">
        <v>905</v>
      </c>
      <c r="CO1" s="14" t="s">
        <v>906</v>
      </c>
      <c r="CP1" s="14" t="s">
        <v>907</v>
      </c>
      <c r="CQ1" s="538" t="s">
        <v>908</v>
      </c>
      <c r="CR1" s="7" t="s">
        <v>909</v>
      </c>
      <c r="CS1" s="14" t="s">
        <v>910</v>
      </c>
      <c r="CT1" s="14" t="s">
        <v>911</v>
      </c>
      <c r="CU1" s="538" t="s">
        <v>912</v>
      </c>
      <c r="CV1" s="7" t="s">
        <v>913</v>
      </c>
      <c r="CW1" s="14" t="s">
        <v>914</v>
      </c>
      <c r="CX1" s="14" t="s">
        <v>915</v>
      </c>
      <c r="CY1" s="538" t="s">
        <v>916</v>
      </c>
      <c r="CZ1" s="7" t="s">
        <v>917</v>
      </c>
      <c r="DA1" s="14" t="s">
        <v>918</v>
      </c>
      <c r="DB1" s="14" t="s">
        <v>919</v>
      </c>
      <c r="DC1" s="538" t="s">
        <v>920</v>
      </c>
      <c r="DD1" s="7" t="s">
        <v>921</v>
      </c>
      <c r="DE1" s="14" t="s">
        <v>922</v>
      </c>
      <c r="DF1" s="14" t="s">
        <v>923</v>
      </c>
      <c r="DG1" s="538" t="s">
        <v>924</v>
      </c>
      <c r="DH1" s="7" t="s">
        <v>925</v>
      </c>
      <c r="DI1" s="14" t="s">
        <v>926</v>
      </c>
      <c r="DJ1" s="14" t="s">
        <v>927</v>
      </c>
      <c r="DK1" s="538" t="s">
        <v>928</v>
      </c>
      <c r="DL1" s="7" t="s">
        <v>929</v>
      </c>
      <c r="DM1" s="14" t="s">
        <v>930</v>
      </c>
      <c r="DN1" s="14" t="s">
        <v>931</v>
      </c>
      <c r="DO1" s="538" t="s">
        <v>932</v>
      </c>
      <c r="DP1" s="7" t="s">
        <v>933</v>
      </c>
      <c r="DQ1" s="14" t="s">
        <v>934</v>
      </c>
      <c r="DR1" s="14" t="s">
        <v>935</v>
      </c>
      <c r="DS1" s="538" t="s">
        <v>936</v>
      </c>
      <c r="DT1" s="7" t="s">
        <v>937</v>
      </c>
      <c r="DU1" s="14" t="s">
        <v>938</v>
      </c>
      <c r="DV1" s="14" t="s">
        <v>939</v>
      </c>
      <c r="DW1" s="538" t="s">
        <v>940</v>
      </c>
      <c r="DX1" s="7" t="s">
        <v>941</v>
      </c>
      <c r="DY1" s="14" t="s">
        <v>942</v>
      </c>
      <c r="DZ1" s="14" t="s">
        <v>943</v>
      </c>
      <c r="EA1" s="538" t="s">
        <v>944</v>
      </c>
      <c r="EB1" s="7" t="s">
        <v>945</v>
      </c>
      <c r="EC1" s="14" t="s">
        <v>946</v>
      </c>
      <c r="ED1" s="14" t="s">
        <v>947</v>
      </c>
      <c r="EE1" s="542" t="s">
        <v>948</v>
      </c>
      <c r="EF1" s="21" t="s">
        <v>949</v>
      </c>
      <c r="EG1" s="14" t="s">
        <v>950</v>
      </c>
      <c r="EH1" s="14" t="s">
        <v>951</v>
      </c>
      <c r="EI1" s="542" t="s">
        <v>952</v>
      </c>
      <c r="EJ1" s="21" t="s">
        <v>953</v>
      </c>
      <c r="EK1" s="14" t="s">
        <v>954</v>
      </c>
      <c r="EL1" s="14" t="s">
        <v>955</v>
      </c>
      <c r="EM1" s="542" t="s">
        <v>956</v>
      </c>
      <c r="EN1" s="21" t="s">
        <v>957</v>
      </c>
      <c r="EO1" s="14" t="s">
        <v>958</v>
      </c>
      <c r="EP1" s="14" t="s">
        <v>959</v>
      </c>
      <c r="EQ1" s="542" t="s">
        <v>960</v>
      </c>
      <c r="ER1" s="21" t="s">
        <v>961</v>
      </c>
      <c r="ES1" s="14" t="s">
        <v>962</v>
      </c>
      <c r="ET1" s="14" t="s">
        <v>963</v>
      </c>
      <c r="EU1" s="542" t="s">
        <v>964</v>
      </c>
      <c r="EV1" s="21" t="s">
        <v>965</v>
      </c>
      <c r="EW1" s="14" t="s">
        <v>966</v>
      </c>
      <c r="EX1" s="14" t="s">
        <v>967</v>
      </c>
      <c r="EY1" s="542" t="s">
        <v>968</v>
      </c>
      <c r="EZ1" s="21" t="s">
        <v>969</v>
      </c>
      <c r="FA1" s="14" t="s">
        <v>970</v>
      </c>
      <c r="FB1" s="14" t="s">
        <v>971</v>
      </c>
      <c r="FC1" s="542" t="s">
        <v>972</v>
      </c>
      <c r="FD1" s="21" t="s">
        <v>973</v>
      </c>
      <c r="FE1" s="14" t="s">
        <v>974</v>
      </c>
      <c r="FF1" s="14" t="s">
        <v>975</v>
      </c>
      <c r="FG1" s="542" t="s">
        <v>976</v>
      </c>
      <c r="FH1" s="21" t="s">
        <v>977</v>
      </c>
      <c r="FI1" s="14" t="s">
        <v>978</v>
      </c>
      <c r="FJ1" s="14" t="s">
        <v>979</v>
      </c>
      <c r="FK1" s="542" t="s">
        <v>980</v>
      </c>
      <c r="FL1" s="21" t="s">
        <v>981</v>
      </c>
      <c r="FM1" s="14" t="s">
        <v>982</v>
      </c>
      <c r="FN1" s="14" t="s">
        <v>983</v>
      </c>
      <c r="FO1" s="542" t="s">
        <v>984</v>
      </c>
      <c r="FP1" s="21" t="s">
        <v>985</v>
      </c>
      <c r="FQ1" s="14" t="s">
        <v>986</v>
      </c>
      <c r="FR1" s="14" t="s">
        <v>987</v>
      </c>
      <c r="FS1" s="542" t="s">
        <v>988</v>
      </c>
      <c r="FT1" s="21" t="s">
        <v>989</v>
      </c>
      <c r="FU1" s="14" t="s">
        <v>990</v>
      </c>
      <c r="FV1" s="14" t="s">
        <v>991</v>
      </c>
      <c r="FW1" s="542" t="s">
        <v>992</v>
      </c>
      <c r="FX1" s="21" t="s">
        <v>993</v>
      </c>
      <c r="FY1" s="14" t="s">
        <v>994</v>
      </c>
      <c r="FZ1" s="14" t="s">
        <v>995</v>
      </c>
      <c r="GA1" s="542" t="s">
        <v>996</v>
      </c>
      <c r="GB1" s="21" t="s">
        <v>997</v>
      </c>
      <c r="GC1" s="14" t="s">
        <v>998</v>
      </c>
      <c r="GD1" s="14" t="s">
        <v>999</v>
      </c>
      <c r="GE1" s="542" t="s">
        <v>1000</v>
      </c>
      <c r="GF1" s="21" t="s">
        <v>1001</v>
      </c>
      <c r="GG1" s="14" t="s">
        <v>1002</v>
      </c>
      <c r="GH1" s="14" t="s">
        <v>1003</v>
      </c>
      <c r="GI1" s="542" t="s">
        <v>1004</v>
      </c>
      <c r="GJ1" s="21" t="s">
        <v>1005</v>
      </c>
      <c r="GK1" s="14" t="s">
        <v>1006</v>
      </c>
      <c r="GL1" s="14" t="s">
        <v>1007</v>
      </c>
      <c r="GM1" s="542" t="s">
        <v>1008</v>
      </c>
      <c r="GN1" s="21" t="s">
        <v>1040</v>
      </c>
      <c r="GO1" s="14" t="s">
        <v>1041</v>
      </c>
      <c r="GP1" s="14" t="s">
        <v>1042</v>
      </c>
      <c r="GQ1" s="542" t="s">
        <v>1043</v>
      </c>
      <c r="GR1" s="21" t="s">
        <v>1044</v>
      </c>
      <c r="GS1" s="14" t="s">
        <v>1045</v>
      </c>
      <c r="GT1" s="14" t="s">
        <v>1046</v>
      </c>
      <c r="GU1" s="542" t="s">
        <v>1047</v>
      </c>
      <c r="GV1" s="21" t="s">
        <v>1048</v>
      </c>
      <c r="GW1" s="14" t="s">
        <v>1049</v>
      </c>
      <c r="GX1" s="14" t="s">
        <v>1050</v>
      </c>
      <c r="GY1" s="542" t="s">
        <v>1051</v>
      </c>
      <c r="GZ1" s="21" t="s">
        <v>1052</v>
      </c>
      <c r="HA1" s="14" t="s">
        <v>1053</v>
      </c>
      <c r="HB1" s="14" t="s">
        <v>1054</v>
      </c>
      <c r="HC1" s="542" t="s">
        <v>1055</v>
      </c>
      <c r="HD1" s="21" t="s">
        <v>1056</v>
      </c>
      <c r="HE1" s="14" t="s">
        <v>1057</v>
      </c>
      <c r="HF1" s="14" t="s">
        <v>1058</v>
      </c>
      <c r="HG1" s="542" t="s">
        <v>1059</v>
      </c>
      <c r="HH1" s="21" t="s">
        <v>1060</v>
      </c>
      <c r="HI1" s="14" t="s">
        <v>1061</v>
      </c>
      <c r="HJ1" s="14" t="s">
        <v>1062</v>
      </c>
      <c r="HK1" s="542" t="s">
        <v>1063</v>
      </c>
      <c r="HL1" s="21" t="s">
        <v>1064</v>
      </c>
      <c r="HM1" s="14" t="s">
        <v>1065</v>
      </c>
      <c r="HN1" s="14" t="s">
        <v>1066</v>
      </c>
      <c r="HO1" s="542" t="s">
        <v>1067</v>
      </c>
      <c r="HP1" s="21" t="s">
        <v>1068</v>
      </c>
      <c r="HQ1" s="14" t="s">
        <v>1069</v>
      </c>
      <c r="HR1" s="14" t="s">
        <v>1070</v>
      </c>
      <c r="HS1" s="542" t="s">
        <v>1071</v>
      </c>
      <c r="HT1" s="21" t="s">
        <v>1072</v>
      </c>
      <c r="HU1" s="14" t="s">
        <v>1073</v>
      </c>
      <c r="HV1" s="14" t="s">
        <v>1074</v>
      </c>
      <c r="HW1" s="542" t="s">
        <v>1075</v>
      </c>
      <c r="HX1" s="21" t="s">
        <v>1076</v>
      </c>
      <c r="HY1" s="14" t="s">
        <v>1077</v>
      </c>
      <c r="HZ1" s="14" t="s">
        <v>1078</v>
      </c>
      <c r="IA1" s="542" t="s">
        <v>1079</v>
      </c>
      <c r="IB1" s="21" t="s">
        <v>1090</v>
      </c>
      <c r="IC1" s="175"/>
    </row>
    <row r="2" spans="1:263" ht="13.5" thickBot="1">
      <c r="A2" s="25"/>
      <c r="B2" s="11"/>
      <c r="C2" s="177" t="s">
        <v>2341</v>
      </c>
      <c r="D2" s="47" t="s">
        <v>879</v>
      </c>
      <c r="E2" s="396">
        <f t="shared" ref="E2:E37" si="0">F2+O2</f>
        <v>17.0107</v>
      </c>
      <c r="F2" s="242">
        <v>1.0106999999999999</v>
      </c>
      <c r="G2" s="48">
        <f>'Update Stock Prices'!S2</f>
        <v>1165874273.6397252</v>
      </c>
      <c r="H2" s="991">
        <f>F2/G2</f>
        <v>8.6690308110557315E-10</v>
      </c>
      <c r="I2" s="49">
        <f>'Update Stock Prices'!D2</f>
        <v>18.93</v>
      </c>
      <c r="J2" s="49">
        <f t="shared" ref="J2:J65" si="1">F2*I2</f>
        <v>19.132550999999999</v>
      </c>
      <c r="K2" s="30">
        <v>11.26</v>
      </c>
      <c r="L2" s="49">
        <f>J2-K2</f>
        <v>7.8725509999999996</v>
      </c>
      <c r="M2" s="50">
        <f>L2/K2</f>
        <v>0.69916083481349911</v>
      </c>
      <c r="N2" s="49">
        <f>K2/F2</f>
        <v>11.140793509448898</v>
      </c>
      <c r="O2" s="48">
        <f t="shared" ref="O2:O37" si="2">IF(INT(($B$11-$B$12)/I2)&lt;0,0,INT(($B$11-$B$12)/I2))</f>
        <v>16</v>
      </c>
      <c r="P2" s="49">
        <f t="shared" ref="P2:P37" si="3">IF(($B$11-$B$12)-(O2*I2)&lt;0,0,($B$11-$B$12)-(O2*I2))</f>
        <v>18.129999999999995</v>
      </c>
      <c r="Q2" s="30">
        <f>0.02*4</f>
        <v>0.08</v>
      </c>
      <c r="R2" s="49">
        <f>S2/365.25</f>
        <v>2.2137166324435317E-4</v>
      </c>
      <c r="S2" s="49">
        <f t="shared" ref="S2:S37" si="4">F2*Q2</f>
        <v>8.0855999999999997E-2</v>
      </c>
      <c r="T2" s="49">
        <f t="shared" ref="T2" si="5">S2/12</f>
        <v>6.7380000000000001E-3</v>
      </c>
      <c r="U2" s="49" t="s">
        <v>54</v>
      </c>
      <c r="V2" s="50">
        <f t="shared" ref="V2:V37" si="6">Q2/I2</f>
        <v>4.226096143687269E-3</v>
      </c>
      <c r="W2" s="50">
        <f t="shared" ref="W2:W66" si="7">S2/K2</f>
        <v>7.1808170515097686E-3</v>
      </c>
      <c r="X2" s="49">
        <f t="shared" ref="X2:X32" si="8">12*((E2*Q2)/12-T2)</f>
        <v>1.28</v>
      </c>
      <c r="Y2" s="49">
        <f>IF(U2="Q",3*T2,IF(U2="Y",12*T2,IF(U2="B",6*T2,IF(U2="M",T2,0))))</f>
        <v>2.0213999999999999E-2</v>
      </c>
      <c r="Z2" s="860">
        <f t="shared" ref="Z2:Z37" si="9">IF(Y2/I2&gt;1,1,0)</f>
        <v>0</v>
      </c>
      <c r="AA2" s="860">
        <f t="shared" ref="AA2:AA37" si="10">IF(Z2=1,"",IF(AND(U2&lt;&gt;"",Z2=0),I2/(Y2/F2)-F2,""))</f>
        <v>945.48929999999996</v>
      </c>
      <c r="AB2" s="49">
        <f t="shared" ref="AB2:AB37" si="11">IF(AA2&lt;&gt;"",AA2*I2,"")</f>
        <v>17898.112449</v>
      </c>
      <c r="AC2" s="48">
        <v>1</v>
      </c>
      <c r="AD2" s="47" t="str">
        <f t="shared" ref="AD2:AD37" si="12">D2</f>
        <v>ABX</v>
      </c>
      <c r="AE2" s="49">
        <f t="shared" ref="AE2:AE37" si="13">J2</f>
        <v>19.132550999999999</v>
      </c>
      <c r="AF2" s="50" t="e">
        <f t="shared" ref="AF2:AF33" si="14">(AE2/$AE$191)</f>
        <v>#REF!</v>
      </c>
      <c r="AG2" s="890" t="e">
        <f t="shared" ref="AG2:AG35" si="15">(100*AF2)^2</f>
        <v>#REF!</v>
      </c>
      <c r="AH2" s="207" t="s">
        <v>880</v>
      </c>
      <c r="AI2" s="240">
        <f t="shared" ref="AI2:AI33" si="16">(100*(AE2/$AI$147))^2</f>
        <v>8.3098673580814979E-4</v>
      </c>
      <c r="AJ2" s="11">
        <f>LEN(D2)</f>
        <v>3</v>
      </c>
      <c r="AK2" s="11"/>
      <c r="AL2" s="11"/>
      <c r="AM2" s="11"/>
      <c r="AN2" s="11"/>
      <c r="AO2" s="11"/>
      <c r="AP2" s="11"/>
      <c r="AQ2" s="11" t="str">
        <f>'Update Stock Prices'!Q2</f>
        <v>big</v>
      </c>
      <c r="AR2" s="11"/>
      <c r="AS2" s="11">
        <v>1</v>
      </c>
      <c r="AT2" s="176" t="s">
        <v>335</v>
      </c>
      <c r="AU2" s="420"/>
      <c r="AV2" s="420"/>
      <c r="AW2" s="420" t="s">
        <v>2</v>
      </c>
      <c r="AX2" s="395">
        <v>2561.4263999999998</v>
      </c>
      <c r="AY2" s="31">
        <f>TSPHistory!$A$3</f>
        <v>15.220499999999999</v>
      </c>
      <c r="AZ2" s="19">
        <f>AX2*AY2</f>
        <v>38986.190521199998</v>
      </c>
      <c r="BA2" s="15">
        <f>AZ2/$AZ$8</f>
        <v>0.26773987976145719</v>
      </c>
      <c r="BB2" s="939">
        <v>0.13</v>
      </c>
      <c r="BC2" s="15">
        <f>BA2-BB2</f>
        <v>0.13773987976145718</v>
      </c>
      <c r="BD2" s="15" t="s">
        <v>1445</v>
      </c>
      <c r="BE2" s="593">
        <f t="shared" ref="BE2:BE42" si="17">IF(BN2&gt;BF2,1,0)</f>
        <v>0</v>
      </c>
      <c r="BF2" s="725">
        <f>AZ8</f>
        <v>145612.19104130002</v>
      </c>
      <c r="BG2" s="420" t="str">
        <f t="shared" ref="BG2:BG42" ca="1" si="18">IF(AND(BH2&gt;=19,BH2&lt;=27),"M in college","")</f>
        <v/>
      </c>
      <c r="BH2" s="593">
        <f ca="1">DATEDIF("4/11/2013",A4,"Y")</f>
        <v>3</v>
      </c>
      <c r="BI2" s="420">
        <f ca="1">DATEDIF("3/29/1979",A4,"Y")</f>
        <v>37</v>
      </c>
      <c r="BJ2" s="420">
        <f ca="1">DATEDIF("5/27/1973",A4,"Y")</f>
        <v>43</v>
      </c>
      <c r="BK2" s="420">
        <f ca="1">YEAR(TODAY())</f>
        <v>2017</v>
      </c>
      <c r="BL2" s="420" t="s">
        <v>1091</v>
      </c>
      <c r="BM2" s="19">
        <f t="shared" ref="BM2:BM42" si="19">BF2+BN2</f>
        <v>211982.80481050003</v>
      </c>
      <c r="BN2" s="19">
        <f>BV149</f>
        <v>66370.613769200019</v>
      </c>
      <c r="BO2" s="19">
        <f>BX149</f>
        <v>2586.198701836066</v>
      </c>
      <c r="BP2" s="183">
        <f t="shared" ref="BP2:BP42" si="20">BO2/BN2</f>
        <v>3.8966020576959297E-2</v>
      </c>
      <c r="BQ2" s="19">
        <f t="shared" ref="BQ2:BQ42" si="21">BO2/12</f>
        <v>215.51655848633882</v>
      </c>
      <c r="BS2" s="420" t="str">
        <f t="shared" ref="BS2" si="22">D2</f>
        <v>ABX</v>
      </c>
      <c r="BT2" s="425">
        <f t="shared" ref="BT2" si="23">F2</f>
        <v>1.0106999999999999</v>
      </c>
      <c r="BU2" s="19">
        <f t="shared" ref="BU2" si="24">I2</f>
        <v>18.93</v>
      </c>
      <c r="BV2" s="19">
        <f t="shared" ref="BV2" si="25">J2</f>
        <v>19.132550999999999</v>
      </c>
      <c r="BW2" s="539">
        <f t="shared" ref="BW2" si="26">Q2</f>
        <v>0.08</v>
      </c>
      <c r="BX2" s="19">
        <f>BT2*BW2</f>
        <v>8.0855999999999997E-2</v>
      </c>
      <c r="BY2" s="10">
        <f>BX2/BU2</f>
        <v>4.2713153724247225E-3</v>
      </c>
      <c r="BZ2" s="10">
        <f>BY2+BT2</f>
        <v>1.0149713153724247</v>
      </c>
      <c r="CA2" s="539">
        <f>BZ2*BU2</f>
        <v>19.213407</v>
      </c>
      <c r="CB2" s="19">
        <f>BZ2*BW2</f>
        <v>8.1197705229793971E-2</v>
      </c>
      <c r="CC2" s="10">
        <f>CB2/BU2</f>
        <v>4.289366361848599E-3</v>
      </c>
      <c r="CD2" s="10">
        <f>BZ2+CC2</f>
        <v>1.0192606817342733</v>
      </c>
      <c r="CE2" s="539">
        <f>CD2*BU2</f>
        <v>19.294604705229794</v>
      </c>
      <c r="CF2" s="19">
        <f>CD2*BW2</f>
        <v>8.1540854538741867E-2</v>
      </c>
      <c r="CG2" s="10">
        <f>CF2/BU2</f>
        <v>4.3074936364892692E-3</v>
      </c>
      <c r="CH2" s="10">
        <f>CD2+CG2</f>
        <v>1.0235681753707626</v>
      </c>
      <c r="CI2" s="539">
        <f>CH2*BU2</f>
        <v>19.376145559768535</v>
      </c>
      <c r="CJ2" s="19">
        <f>CH2*BW2</f>
        <v>8.1885454029661006E-2</v>
      </c>
      <c r="CK2" s="10">
        <f>CJ2/BU2</f>
        <v>4.3256975187353939E-3</v>
      </c>
      <c r="CL2" s="10">
        <f>CH2+CK2</f>
        <v>1.027893872889498</v>
      </c>
      <c r="CM2" s="539">
        <f>CL2*BU2</f>
        <v>19.458031013798195</v>
      </c>
      <c r="CN2" s="19">
        <f>CL2*BW2</f>
        <v>8.2231509831159844E-2</v>
      </c>
      <c r="CO2" s="10">
        <f>CN2/BU2</f>
        <v>4.3439783323380799E-3</v>
      </c>
      <c r="CP2" s="10">
        <f>CL2+CO2</f>
        <v>1.032237851221836</v>
      </c>
      <c r="CQ2" s="539">
        <f>CP2*BU2</f>
        <v>19.540262523629355</v>
      </c>
      <c r="CR2" s="19">
        <f>CP2*BW2</f>
        <v>8.2579028097746879E-2</v>
      </c>
      <c r="CS2" s="10">
        <f>CR2/BU2</f>
        <v>4.3623364024166335E-3</v>
      </c>
      <c r="CT2" s="10">
        <f>CP2+CS2</f>
        <v>1.0366001876242525</v>
      </c>
      <c r="CU2" s="539">
        <f>CT2*BU2</f>
        <v>19.622841551727099</v>
      </c>
      <c r="CV2" s="19">
        <f>CT2*BW2</f>
        <v>8.2928015009940209E-2</v>
      </c>
      <c r="CW2" s="10">
        <f>CV2/BU2</f>
        <v>4.3807720554643534E-3</v>
      </c>
      <c r="CX2" s="10">
        <f>CT2+CW2</f>
        <v>1.0409809596797168</v>
      </c>
      <c r="CY2" s="539">
        <f>CX2*BU2</f>
        <v>19.70576956673704</v>
      </c>
      <c r="CZ2" s="19">
        <f>CX2*BW2</f>
        <v>8.3278476774377344E-2</v>
      </c>
      <c r="DA2" s="10">
        <f>CZ2/BU2</f>
        <v>4.3992856193543232E-3</v>
      </c>
      <c r="DB2" s="10">
        <f>CX2+DA2</f>
        <v>1.0453802452990713</v>
      </c>
      <c r="DC2" s="539">
        <f>DB2*BU2</f>
        <v>19.789048043511418</v>
      </c>
      <c r="DD2" s="19">
        <f>DB2*BW2</f>
        <v>8.36304196239257E-2</v>
      </c>
      <c r="DE2" s="10">
        <f>DD2/BU2</f>
        <v>4.4178774233452562E-3</v>
      </c>
      <c r="DF2" s="10">
        <f>DB2+DE2</f>
        <v>1.0497981227224165</v>
      </c>
      <c r="DG2" s="539">
        <f>DF2*BU2</f>
        <v>19.872678463135344</v>
      </c>
      <c r="DH2" s="19">
        <f>DF2*BW2</f>
        <v>8.3983849817793318E-2</v>
      </c>
      <c r="DI2" s="10">
        <f>DH2/BU2</f>
        <v>4.4365477980873383E-3</v>
      </c>
      <c r="DJ2" s="10">
        <f>DF2+DI2</f>
        <v>1.0542346705205039</v>
      </c>
      <c r="DK2" s="539">
        <f>DJ2*BU2</f>
        <v>19.956662312953139</v>
      </c>
      <c r="DL2" s="19">
        <f>DJ2*BW2</f>
        <v>8.4338773641640316E-2</v>
      </c>
      <c r="DM2" s="10">
        <f>DL2/BU2</f>
        <v>4.4552970756281205E-3</v>
      </c>
      <c r="DN2" s="10">
        <f>DJ2+DM2</f>
        <v>1.0586899675961321</v>
      </c>
      <c r="DO2" s="539">
        <f>DN2*BU2</f>
        <v>20.041001086594779</v>
      </c>
      <c r="DP2" s="19">
        <f>DN2*BW2</f>
        <v>8.4695197407690576E-2</v>
      </c>
      <c r="DQ2" s="10">
        <f>DP2/BU2</f>
        <v>4.4741255894184141E-3</v>
      </c>
      <c r="DR2" s="10">
        <f>DN2+DQ2</f>
        <v>1.0631640931855506</v>
      </c>
      <c r="DS2" s="539">
        <f>DR2*BU2</f>
        <v>20.125696284002473</v>
      </c>
      <c r="DT2" s="19">
        <f>DR2*BW2</f>
        <v>8.5053127454844044E-2</v>
      </c>
      <c r="DU2" s="10">
        <f>DT2/BU2</f>
        <v>4.4930336743182276E-3</v>
      </c>
      <c r="DV2" s="10">
        <f>DR2+DU2</f>
        <v>1.0676571268598689</v>
      </c>
      <c r="DW2" s="539">
        <f>DV2*BU2</f>
        <v>20.210749411457318</v>
      </c>
      <c r="DX2" s="19">
        <f>DV2*BW2</f>
        <v>8.5412570148789516E-2</v>
      </c>
      <c r="DY2" s="10">
        <f>DX2/BU2</f>
        <v>4.5120216666027215E-3</v>
      </c>
      <c r="DZ2" s="10">
        <f>DV2+DY2</f>
        <v>1.0721691485264717</v>
      </c>
      <c r="EA2" s="539">
        <f>DZ2*BU2</f>
        <v>20.296161981606108</v>
      </c>
      <c r="EB2" s="19">
        <f>DZ2*BW2</f>
        <v>8.577353188211774E-2</v>
      </c>
      <c r="EC2" s="10">
        <f>EB2/BU2</f>
        <v>4.5310899039681853E-3</v>
      </c>
      <c r="ED2" s="10">
        <f>DZ2+EC2</f>
        <v>1.0767002384304398</v>
      </c>
      <c r="EE2" s="539">
        <f>ED2*BU2</f>
        <v>20.381935513488227</v>
      </c>
      <c r="EF2" s="19">
        <f>ED2*BW2</f>
        <v>8.6136019074435188E-2</v>
      </c>
      <c r="EG2" s="10">
        <f>EF2/BU2</f>
        <v>4.5502387255380453E-3</v>
      </c>
      <c r="EH2" s="10">
        <f>ED2+EG2</f>
        <v>1.0812504771559779</v>
      </c>
      <c r="EI2" s="539">
        <f>EH2*BU2</f>
        <v>20.468071532562661</v>
      </c>
      <c r="EJ2" s="19">
        <f>EH2*BW2</f>
        <v>8.6500038172478227E-2</v>
      </c>
      <c r="EK2" s="10">
        <f>EJ2/BU2</f>
        <v>4.5694684718688974E-3</v>
      </c>
      <c r="EL2" s="10">
        <f>EH2+EK2</f>
        <v>1.0858199456278468</v>
      </c>
      <c r="EM2" s="539">
        <f>EL2*BU2</f>
        <v>20.554571570735138</v>
      </c>
      <c r="EN2" s="19">
        <f>EL2*BW2</f>
        <v>8.686559565022775E-2</v>
      </c>
      <c r="EO2" s="10">
        <f>EN2/BU2</f>
        <v>4.5887794849565639E-3</v>
      </c>
      <c r="EP2" s="10">
        <f>EL2+EO2</f>
        <v>1.0904087251128034</v>
      </c>
      <c r="EQ2" s="539">
        <f>EP2*BU2</f>
        <v>20.641437166385369</v>
      </c>
      <c r="ER2" s="19">
        <f>EP2*BW2</f>
        <v>8.7232698009024279E-2</v>
      </c>
      <c r="ES2" s="10">
        <f>ER2/BU2</f>
        <v>4.6081721082421702E-3</v>
      </c>
      <c r="ET2" s="10">
        <f>EP2+ES2</f>
        <v>1.0950168972210457</v>
      </c>
      <c r="EU2" s="539">
        <f>ET2*BU2</f>
        <v>20.728669864394394</v>
      </c>
      <c r="EV2" s="19">
        <f>ET2*BW2</f>
        <v>8.7601351777683661E-2</v>
      </c>
      <c r="EW2" s="10">
        <f>EV2/BU2</f>
        <v>4.6276466866182597E-3</v>
      </c>
      <c r="EX2" s="10">
        <f>ET2+EW2</f>
        <v>1.0996445439076639</v>
      </c>
      <c r="EY2" s="539">
        <f>EX2*BU2</f>
        <v>20.816271216172076</v>
      </c>
      <c r="EZ2" s="19">
        <f>EX2*BW2</f>
        <v>8.7971563512613107E-2</v>
      </c>
      <c r="FA2" s="10">
        <f>EZ2/BU2</f>
        <v>4.6472035664349241E-3</v>
      </c>
      <c r="FB2" s="10">
        <f>EX2+FA2</f>
        <v>1.1042917474740988</v>
      </c>
      <c r="FC2" s="539">
        <f>FB2*BU2</f>
        <v>20.90424277968469</v>
      </c>
      <c r="FD2" s="19">
        <f>FB2*BW2</f>
        <v>8.8343339797927897E-2</v>
      </c>
      <c r="FE2" s="10">
        <f>FD2/BU2</f>
        <v>4.6668430955059638E-3</v>
      </c>
      <c r="FF2" s="10">
        <f>FB2+FE2</f>
        <v>1.1089585905696047</v>
      </c>
      <c r="FG2" s="539">
        <f>FF2*BU2</f>
        <v>20.992586119482617</v>
      </c>
      <c r="FH2" s="19">
        <f>FF2*BW2</f>
        <v>8.8716687245568374E-2</v>
      </c>
      <c r="FI2" s="10">
        <f>FH2/BU2</f>
        <v>4.6865656231150753E-3</v>
      </c>
      <c r="FJ2" s="10">
        <f>FF2+FI2</f>
        <v>1.1136451561927196</v>
      </c>
      <c r="FK2" s="539">
        <f>FJ2*BU2</f>
        <v>21.081302806728182</v>
      </c>
      <c r="FL2" s="19">
        <f>FJ2*BW2</f>
        <v>8.9091612495417569E-2</v>
      </c>
      <c r="FM2" s="10">
        <f>FL2/BU2</f>
        <v>4.7063715000220585E-3</v>
      </c>
      <c r="FN2" s="10">
        <f>FJ2+FM2</f>
        <v>1.1183515276927416</v>
      </c>
      <c r="FO2" s="539">
        <f>FN2*BU2</f>
        <v>21.170394419223598</v>
      </c>
      <c r="FP2" s="19">
        <f>FN2*BW2</f>
        <v>8.9468122215419332E-2</v>
      </c>
      <c r="FQ2" s="10">
        <f>FP2/BU2</f>
        <v>4.7262610784690618E-3</v>
      </c>
      <c r="FR2" s="10">
        <f>FN2+FQ2</f>
        <v>1.1230777887712107</v>
      </c>
      <c r="FS2" s="539">
        <f>FR2*BU2</f>
        <v>21.259862541439016</v>
      </c>
      <c r="FT2" s="19">
        <f>FR2*BW2</f>
        <v>8.9846223101696862E-2</v>
      </c>
      <c r="FU2" s="10">
        <f>FT2/BU2</f>
        <v>4.7462347121868392E-3</v>
      </c>
      <c r="FV2" s="10">
        <f>FR2+FU2</f>
        <v>1.1278240234833976</v>
      </c>
      <c r="FW2" s="539">
        <f>FV2*BU2</f>
        <v>21.349708764540715</v>
      </c>
      <c r="FX2" s="19">
        <f>FV2*BW2</f>
        <v>9.0225921878671816E-2</v>
      </c>
      <c r="FY2" s="10">
        <f>FX2/BU2</f>
        <v>4.7662927564010469E-3</v>
      </c>
      <c r="FZ2" s="10">
        <f>FV2+FY2</f>
        <v>1.1325903162397986</v>
      </c>
      <c r="GA2" s="539">
        <f>FZ2*BU2</f>
        <v>21.439934686419388</v>
      </c>
      <c r="GB2" s="19">
        <f>FZ2*BW2</f>
        <v>9.0607225299183886E-2</v>
      </c>
      <c r="GC2" s="10">
        <f>GB2/BU2</f>
        <v>4.7864355678385569E-3</v>
      </c>
      <c r="GD2" s="10">
        <f>FZ2+GC2</f>
        <v>1.1373767518076372</v>
      </c>
      <c r="GE2" s="539">
        <f>GD2*BU2</f>
        <v>21.530541911718572</v>
      </c>
      <c r="GF2" s="19">
        <f>GD2*BW2</f>
        <v>9.0990140144610973E-2</v>
      </c>
      <c r="GG2" s="10">
        <f>GF2/BU2</f>
        <v>4.8066635047338078E-3</v>
      </c>
      <c r="GH2" s="10">
        <f>GD2+GG2</f>
        <v>1.1421834153123711</v>
      </c>
      <c r="GI2" s="539">
        <f>GH2*BU2</f>
        <v>21.621532051863184</v>
      </c>
      <c r="GJ2" s="19">
        <f>GH2*BW2</f>
        <v>9.1374673224989697E-2</v>
      </c>
      <c r="GK2" s="10">
        <f>GJ2/BU2</f>
        <v>4.8269769268351661E-3</v>
      </c>
      <c r="GL2" s="10">
        <f>GH2+GK2</f>
        <v>1.1470103922392063</v>
      </c>
      <c r="GM2" s="539">
        <f>GL2*BU2</f>
        <v>21.712906725088175</v>
      </c>
      <c r="GN2" s="19">
        <f>GL2*BW2</f>
        <v>9.1760831379136501E-2</v>
      </c>
      <c r="GO2" s="10">
        <f>GN2/BU2</f>
        <v>4.8473761954113317E-3</v>
      </c>
      <c r="GP2" s="10">
        <f>GL2+GO2</f>
        <v>1.1518577684346176</v>
      </c>
      <c r="GQ2" s="539">
        <f>GP2*BU2</f>
        <v>21.804667556467312</v>
      </c>
      <c r="GR2" s="19">
        <f>GP2*BW2</f>
        <v>9.2148621474769418E-2</v>
      </c>
      <c r="GS2" s="10">
        <f>GR2/BU2</f>
        <v>4.8678616732577614E-3</v>
      </c>
      <c r="GT2" s="10">
        <f>GP2+GS2</f>
        <v>1.1567256301078754</v>
      </c>
      <c r="GU2" s="539">
        <f>GT2*BU2</f>
        <v>21.896816177942082</v>
      </c>
      <c r="GV2" s="19">
        <f>GT2*BW2</f>
        <v>9.2538050408630043E-2</v>
      </c>
      <c r="GW2" s="10">
        <f>GV2/BU2</f>
        <v>4.8884337247031189E-3</v>
      </c>
      <c r="GX2" s="10">
        <f>GT2+GW2</f>
        <v>1.1616140638325785</v>
      </c>
      <c r="GY2" s="539">
        <f>GX2*BU2</f>
        <v>21.98935422835071</v>
      </c>
      <c r="GZ2" s="19">
        <f>GX2*BW2</f>
        <v>9.2929125106606281E-2</v>
      </c>
      <c r="HA2" s="10">
        <f>GZ2/BU2</f>
        <v>4.9090927156157571E-3</v>
      </c>
      <c r="HB2" s="10">
        <f>GX2+HA2</f>
        <v>1.1665231565481942</v>
      </c>
      <c r="HC2" s="539">
        <f>HB2*BU2</f>
        <v>22.082283353457314</v>
      </c>
      <c r="HD2" s="19">
        <f>HB2*BW2</f>
        <v>9.3321852523855539E-2</v>
      </c>
      <c r="HE2" s="10">
        <f>HD2/BU2</f>
        <v>4.9298390134102244E-3</v>
      </c>
      <c r="HF2" s="10">
        <f>HB2+HE2</f>
        <v>1.1714529955616044</v>
      </c>
      <c r="HG2" s="539">
        <f>HF2*BU2</f>
        <v>22.175605205981171</v>
      </c>
      <c r="HH2" s="19">
        <f>HF2*BW2</f>
        <v>9.3716239644928354E-2</v>
      </c>
      <c r="HI2" s="10">
        <f>HH2/BU2</f>
        <v>4.950672987053796E-3</v>
      </c>
      <c r="HJ2" s="10">
        <f>HF2+HI2</f>
        <v>1.1764036685486583</v>
      </c>
      <c r="HK2" s="539">
        <f>HJ2*BU2</f>
        <v>22.269321445626101</v>
      </c>
      <c r="HL2" s="19">
        <f>HJ2*BW2</f>
        <v>9.4112293483892662E-2</v>
      </c>
      <c r="HM2" s="10">
        <f>HL2/BU2</f>
        <v>4.9715950070730406E-3</v>
      </c>
      <c r="HN2" s="10">
        <f>HJ2+HM2</f>
        <v>1.1813752635557313</v>
      </c>
      <c r="HO2" s="539">
        <f>HN2*BU2</f>
        <v>22.363433739109993</v>
      </c>
      <c r="HP2" s="19">
        <f>HN2*BW2</f>
        <v>9.4510021084458509E-2</v>
      </c>
      <c r="HQ2" s="10">
        <f>HP2/BU2</f>
        <v>4.9926054455604069E-3</v>
      </c>
      <c r="HR2" s="10">
        <f>HN2+HQ2</f>
        <v>1.1863678690012918</v>
      </c>
      <c r="HS2" s="539">
        <f>HR2*BU2</f>
        <v>22.457943760194453</v>
      </c>
      <c r="HT2" s="19">
        <f>HR2*BW2</f>
        <v>9.4909429520103339E-2</v>
      </c>
      <c r="HU2" s="10">
        <f>HT2/BU2</f>
        <v>5.0137046761808421E-3</v>
      </c>
      <c r="HV2" s="10">
        <f>HR2+HU2</f>
        <v>1.1913815736774727</v>
      </c>
      <c r="HW2" s="539">
        <f>HV2*BU2</f>
        <v>22.552853189714558</v>
      </c>
      <c r="HX2" s="19">
        <f>HV2*BW2</f>
        <v>9.531052589419782E-2</v>
      </c>
      <c r="HY2" s="10">
        <f>HX2/BU2</f>
        <v>5.0348930741784372E-3</v>
      </c>
      <c r="HZ2" s="10">
        <f>HV2+HY2</f>
        <v>1.196416466751651</v>
      </c>
      <c r="IA2" s="539">
        <f>HZ2*BU2</f>
        <v>22.648163715608753</v>
      </c>
      <c r="IB2" s="19">
        <f>HZ2*BW2</f>
        <v>9.5713317340132081E-2</v>
      </c>
      <c r="IF2" s="1314" t="s">
        <v>2695</v>
      </c>
      <c r="IH2" s="176" t="s">
        <v>2701</v>
      </c>
    </row>
    <row r="3" spans="1:263">
      <c r="C3" s="1212" t="s">
        <v>2342</v>
      </c>
      <c r="D3" s="47" t="s">
        <v>348</v>
      </c>
      <c r="E3" s="396">
        <f t="shared" si="0"/>
        <v>19.6112</v>
      </c>
      <c r="F3" s="242">
        <f>3.0665+0.5447</f>
        <v>3.6112000000000002</v>
      </c>
      <c r="G3" s="48">
        <f>'Update Stock Prices'!S3</f>
        <v>333157338.9651531</v>
      </c>
      <c r="H3" s="991">
        <f t="shared" ref="H3:H71" si="27">F3/G3</f>
        <v>1.0839322979397782E-8</v>
      </c>
      <c r="I3" s="49">
        <f>'Update Stock Prices'!D3</f>
        <v>18.940000000000001</v>
      </c>
      <c r="J3" s="49">
        <f t="shared" si="1"/>
        <v>68.396128000000004</v>
      </c>
      <c r="K3" s="30">
        <v>77.260000000000005</v>
      </c>
      <c r="L3" s="49">
        <f t="shared" ref="L3:L71" si="28">J3-K3</f>
        <v>-8.8638720000000006</v>
      </c>
      <c r="M3" s="50">
        <f t="shared" ref="M3:M71" si="29">L3/K3</f>
        <v>-0.11472782811286565</v>
      </c>
      <c r="N3" s="49">
        <f t="shared" ref="N3:N71" si="30">K3/F3</f>
        <v>21.39455028799291</v>
      </c>
      <c r="O3" s="48">
        <f t="shared" si="2"/>
        <v>16</v>
      </c>
      <c r="P3" s="49">
        <f>IF(($B$11-$B$12)-(O3*I3)&lt;0,0,($B$11-$B$12)-(O3*I3))</f>
        <v>17.96999999999997</v>
      </c>
      <c r="Q3" s="30">
        <f>0.18*12</f>
        <v>2.16</v>
      </c>
      <c r="R3" s="49">
        <f>S3/365.25</f>
        <v>2.1355761806981521E-2</v>
      </c>
      <c r="S3" s="49">
        <f t="shared" si="4"/>
        <v>7.8001920000000009</v>
      </c>
      <c r="T3" s="49">
        <f t="shared" ref="T3:T58" si="31">S3/12</f>
        <v>0.65001600000000004</v>
      </c>
      <c r="U3" s="49" t="s">
        <v>56</v>
      </c>
      <c r="V3" s="50">
        <f t="shared" si="6"/>
        <v>0.11404435058078141</v>
      </c>
      <c r="W3" s="50">
        <f t="shared" si="7"/>
        <v>0.10096028993010614</v>
      </c>
      <c r="X3" s="49">
        <f>12*((E3*Q3)/12-T3)</f>
        <v>34.56</v>
      </c>
      <c r="Y3" s="49">
        <f t="shared" ref="Y3:Y79" si="32">IF(U3="Q",3*T3,IF(U3="Y",12*T3,IF(U3="B",6*T3,IF(U3="M",T3,0))))</f>
        <v>0.65001600000000004</v>
      </c>
      <c r="Z3" s="860">
        <f t="shared" si="9"/>
        <v>0</v>
      </c>
      <c r="AA3" s="860">
        <f>IF(Z3=1,"",IF(AND(U3&lt;&gt;"",Z3=0),I3/(Y3/F3)-F3,""))</f>
        <v>101.61102222222223</v>
      </c>
      <c r="AB3" s="49">
        <f>IF(AA3&lt;&gt;"",AA3*I3,"")</f>
        <v>1924.5127608888893</v>
      </c>
      <c r="AC3" s="48">
        <v>1</v>
      </c>
      <c r="AD3" s="47" t="str">
        <f t="shared" si="12"/>
        <v>AGNC</v>
      </c>
      <c r="AE3" s="49">
        <f t="shared" si="13"/>
        <v>68.396128000000004</v>
      </c>
      <c r="AF3" s="50" t="e">
        <f t="shared" si="14"/>
        <v>#REF!</v>
      </c>
      <c r="AG3" s="890" t="e">
        <f t="shared" si="15"/>
        <v>#REF!</v>
      </c>
      <c r="AH3" s="207" t="s">
        <v>317</v>
      </c>
      <c r="AI3" s="240">
        <f t="shared" si="16"/>
        <v>1.0619678402041035E-2</v>
      </c>
      <c r="AJ3" s="11">
        <f t="shared" ref="AJ3:AJ68" si="33">LEN(D3)</f>
        <v>4</v>
      </c>
      <c r="AK3" s="11"/>
      <c r="AL3" s="11"/>
      <c r="AM3" s="11"/>
      <c r="AN3" s="11"/>
      <c r="AO3" s="11"/>
      <c r="AP3" s="11"/>
      <c r="AQ3" s="11" t="str">
        <f>'Update Stock Prices'!Q3</f>
        <v>mid</v>
      </c>
      <c r="AR3" s="11"/>
      <c r="AS3" s="11"/>
      <c r="AT3" s="176" t="s">
        <v>1788</v>
      </c>
      <c r="AU3" s="420"/>
      <c r="AV3" s="420"/>
      <c r="AW3" s="420" t="s">
        <v>1</v>
      </c>
      <c r="AX3" s="395">
        <v>1909.2601999999999</v>
      </c>
      <c r="AY3" s="31">
        <f>TSPHistory!$B$3</f>
        <v>17.46</v>
      </c>
      <c r="AZ3" s="19">
        <f>AX3*AY3</f>
        <v>33335.683091999999</v>
      </c>
      <c r="BA3" s="15">
        <f>AZ3/$AZ$8</f>
        <v>0.2289346987612115</v>
      </c>
      <c r="BB3" s="939">
        <v>0.15</v>
      </c>
      <c r="BC3" s="15">
        <f>BA3-BB3</f>
        <v>7.8934698761211508E-2</v>
      </c>
      <c r="BD3" s="648">
        <v>0.02</v>
      </c>
      <c r="BE3" s="593">
        <f t="shared" si="17"/>
        <v>0</v>
      </c>
      <c r="BF3" s="725">
        <f>($BD$124+BF2)*(1+$BD$3)</f>
        <v>159482.80486212601</v>
      </c>
      <c r="BG3" s="420" t="str">
        <f t="shared" ca="1" si="18"/>
        <v/>
      </c>
      <c r="BH3" s="593">
        <f t="shared" ref="BH3:BH42" ca="1" si="34">BH2+1</f>
        <v>4</v>
      </c>
      <c r="BI3" s="420">
        <f t="shared" ref="BI3:BJ42" ca="1" si="35">BI2+1</f>
        <v>38</v>
      </c>
      <c r="BJ3" s="420">
        <f ca="1">BJ2+1</f>
        <v>44</v>
      </c>
      <c r="BK3" s="420">
        <f t="shared" ref="BK3:BK42" ca="1" si="36">BK2+1</f>
        <v>2018</v>
      </c>
      <c r="BL3" s="420" t="s">
        <v>1010</v>
      </c>
      <c r="BM3" s="19">
        <f t="shared" si="19"/>
        <v>228439.61733316205</v>
      </c>
      <c r="BN3" s="19">
        <f>CA149</f>
        <v>68956.812471036057</v>
      </c>
      <c r="BO3" s="19">
        <f>CB149</f>
        <v>2735.4240039256947</v>
      </c>
      <c r="BP3" s="183">
        <f t="shared" si="20"/>
        <v>3.9668655001630991E-2</v>
      </c>
      <c r="BQ3" s="19">
        <f t="shared" si="21"/>
        <v>227.95200032714123</v>
      </c>
      <c r="BS3" s="420" t="str">
        <f t="shared" ref="BS3:BS66" si="37">D3</f>
        <v>AGNC</v>
      </c>
      <c r="BT3" s="425">
        <f t="shared" ref="BT3:BT66" si="38">F3</f>
        <v>3.6112000000000002</v>
      </c>
      <c r="BU3" s="19">
        <f t="shared" ref="BU3:BU66" si="39">I3</f>
        <v>18.940000000000001</v>
      </c>
      <c r="BV3" s="19">
        <f t="shared" ref="BV3:BV66" si="40">J3</f>
        <v>68.396128000000004</v>
      </c>
      <c r="BW3" s="539">
        <f t="shared" ref="BW3:BW66" si="41">Q3</f>
        <v>2.16</v>
      </c>
      <c r="BX3" s="19">
        <f t="shared" ref="BX3:BX66" si="42">BT3*BW3</f>
        <v>7.8001920000000009</v>
      </c>
      <c r="BY3" s="10">
        <f t="shared" ref="BY3:BY66" si="43">BX3/BU3</f>
        <v>0.41183695881731786</v>
      </c>
      <c r="BZ3" s="10">
        <f t="shared" ref="BZ3:BZ66" si="44">BY3+BT3</f>
        <v>4.0230369588173183</v>
      </c>
      <c r="CA3" s="539">
        <f t="shared" ref="CA3:CA66" si="45">BZ3*BU3</f>
        <v>76.196320000000014</v>
      </c>
      <c r="CB3" s="19">
        <f t="shared" ref="CB3:CB66" si="46">BZ3*BW3</f>
        <v>8.6897598310454072</v>
      </c>
      <c r="CC3" s="10">
        <f t="shared" ref="CC3:CC66" si="47">CB3/BU3</f>
        <v>0.4588046373308029</v>
      </c>
      <c r="CD3" s="10">
        <f t="shared" ref="CD3:CD66" si="48">BZ3+CC3</f>
        <v>4.4818415961481213</v>
      </c>
      <c r="CE3" s="539">
        <f t="shared" ref="CE3:CE66" si="49">CD3*BU3</f>
        <v>84.886079831045421</v>
      </c>
      <c r="CF3" s="19">
        <f t="shared" ref="CF3:CF66" si="50">CD3*BW3</f>
        <v>9.6807778476799431</v>
      </c>
      <c r="CG3" s="10">
        <f t="shared" ref="CG3:CG66" si="51">CF3/BU3</f>
        <v>0.51112871423864537</v>
      </c>
      <c r="CH3" s="10">
        <f t="shared" ref="CH3:CH66" si="52">CD3+CG3</f>
        <v>4.9929703103867666</v>
      </c>
      <c r="CI3" s="539">
        <f t="shared" ref="CI3:CI66" si="53">CH3*BU3</f>
        <v>94.56685767872537</v>
      </c>
      <c r="CJ3" s="19">
        <f t="shared" ref="CJ3:CJ66" si="54">CH3*BW3</f>
        <v>10.784815870435416</v>
      </c>
      <c r="CK3" s="10">
        <f t="shared" ref="CK3:CK66" si="55">CJ3/BU3</f>
        <v>0.56942005651718142</v>
      </c>
      <c r="CL3" s="10">
        <f t="shared" ref="CL3:CL66" si="56">CH3+CK3</f>
        <v>5.5623903669039478</v>
      </c>
      <c r="CM3" s="539">
        <f t="shared" ref="CM3:CM66" si="57">CL3*BU3</f>
        <v>105.35167354916078</v>
      </c>
      <c r="CN3" s="19">
        <f t="shared" ref="CN3:CN66" si="58">CL3*BW3</f>
        <v>12.014763192512529</v>
      </c>
      <c r="CO3" s="10">
        <f t="shared" ref="CO3:CO66" si="59">CN3/BU3</f>
        <v>0.63435919707035526</v>
      </c>
      <c r="CP3" s="10">
        <f t="shared" ref="CP3:CP66" si="60">CL3+CO3</f>
        <v>6.1967495639743033</v>
      </c>
      <c r="CQ3" s="539">
        <f t="shared" ref="CQ3:CQ66" si="61">CP3*BU3</f>
        <v>117.36643674167331</v>
      </c>
      <c r="CR3" s="19">
        <f t="shared" ref="CR3:CR66" si="62">CP3*BW3</f>
        <v>13.384979058184497</v>
      </c>
      <c r="CS3" s="10">
        <f t="shared" ref="CS3:CS66" si="63">CR3/BU3</f>
        <v>0.7067042797351899</v>
      </c>
      <c r="CT3" s="10">
        <f t="shared" ref="CT3:CT66" si="64">CP3+CS3</f>
        <v>6.9034538437094932</v>
      </c>
      <c r="CU3" s="539">
        <f t="shared" ref="CU3:CU66" si="65">CT3*BU3</f>
        <v>130.75141579985782</v>
      </c>
      <c r="CV3" s="19">
        <f t="shared" ref="CV3:CV66" si="66">CT3*BW3</f>
        <v>14.911460302412506</v>
      </c>
      <c r="CW3" s="10">
        <f t="shared" ref="CW3:CW66" si="67">CV3/BU3</f>
        <v>0.78729991037024838</v>
      </c>
      <c r="CX3" s="10">
        <f t="shared" ref="CX3:CX66" si="68">CT3+CW3</f>
        <v>7.6907537540797417</v>
      </c>
      <c r="CY3" s="539">
        <f t="shared" ref="CY3:CY66" si="69">CX3*BU3</f>
        <v>145.66287610227033</v>
      </c>
      <c r="CZ3" s="19">
        <f t="shared" ref="CZ3:CZ66" si="70">CX3*BW3</f>
        <v>16.612028108812243</v>
      </c>
      <c r="DA3" s="10">
        <f t="shared" ref="DA3:DA66" si="71">CZ3/BU3</f>
        <v>0.8770870173607308</v>
      </c>
      <c r="DB3" s="10">
        <f t="shared" ref="DB3:DB66" si="72">CX3+DA3</f>
        <v>8.5678407714404727</v>
      </c>
      <c r="DC3" s="539">
        <f t="shared" ref="DC3:DC66" si="73">DB3*BU3</f>
        <v>162.27490421108257</v>
      </c>
      <c r="DD3" s="19">
        <f t="shared" ref="DD3:DD66" si="74">DB3*BW3</f>
        <v>18.506536066311423</v>
      </c>
      <c r="DE3" s="10">
        <f t="shared" ref="DE3:DE66" si="75">DD3/BU3</f>
        <v>0.97711383665846996</v>
      </c>
      <c r="DF3" s="10">
        <f t="shared" ref="DF3:DF66" si="76">DB3+DE3</f>
        <v>9.5449546080989425</v>
      </c>
      <c r="DG3" s="539">
        <f t="shared" ref="DG3:DG66" si="77">DF3*BU3</f>
        <v>180.78144027739398</v>
      </c>
      <c r="DH3" s="19">
        <f t="shared" ref="DH3:DH66" si="78">DF3*BW3</f>
        <v>20.617101953493716</v>
      </c>
      <c r="DI3" s="10">
        <f t="shared" ref="DI3:DI66" si="79">DH3/BU3</f>
        <v>1.0885481496036808</v>
      </c>
      <c r="DJ3" s="10">
        <f t="shared" ref="DJ3:DJ66" si="80">DF3+DI3</f>
        <v>10.633502757702622</v>
      </c>
      <c r="DK3" s="539">
        <f t="shared" ref="DK3:DK66" si="81">DJ3*BU3</f>
        <v>201.39854223088767</v>
      </c>
      <c r="DL3" s="19">
        <f t="shared" ref="DL3:DL66" si="82">DJ3*BW3</f>
        <v>22.968365956637665</v>
      </c>
      <c r="DM3" s="10">
        <f t="shared" ref="DM3:DM66" si="83">DL3/BU3</f>
        <v>1.2126909164011439</v>
      </c>
      <c r="DN3" s="10">
        <f t="shared" ref="DN3:DN66" si="84">DJ3+DM3</f>
        <v>11.846193674103766</v>
      </c>
      <c r="DO3" s="539">
        <f t="shared" ref="DO3:DO66" si="85">DN3*BU3</f>
        <v>224.36690818752535</v>
      </c>
      <c r="DP3" s="19">
        <f t="shared" ref="DP3:DP66" si="86">DN3*BW3</f>
        <v>25.587778336064137</v>
      </c>
      <c r="DQ3" s="10">
        <f t="shared" ref="DQ3:DQ66" si="87">DP3/BU3</f>
        <v>1.3509914644173249</v>
      </c>
      <c r="DR3" s="10">
        <f t="shared" ref="DR3:DR66" si="88">DN3+DQ3</f>
        <v>13.197185138521091</v>
      </c>
      <c r="DS3" s="539">
        <f t="shared" ref="DS3:DS66" si="89">DR3*BU3</f>
        <v>249.95468652358949</v>
      </c>
      <c r="DT3" s="19">
        <f t="shared" ref="DT3:DT66" si="90">DR3*BW3</f>
        <v>28.505919899205558</v>
      </c>
      <c r="DU3" s="10">
        <f t="shared" ref="DU3:DU66" si="91">DT3/BU3</f>
        <v>1.5050644086169775</v>
      </c>
      <c r="DV3" s="10">
        <f t="shared" ref="DV3:DV66" si="92">DR3+DU3</f>
        <v>14.702249547138068</v>
      </c>
      <c r="DW3" s="539">
        <f t="shared" ref="DW3:DW66" si="93">DV3*BU3</f>
        <v>278.46060642279502</v>
      </c>
      <c r="DX3" s="19">
        <f t="shared" ref="DX3:DX66" si="94">DV3*BW3</f>
        <v>31.756859021818229</v>
      </c>
      <c r="DY3" s="10">
        <f t="shared" ref="DY3:DY66" si="95">DX3/BU3</f>
        <v>1.6767085016799486</v>
      </c>
      <c r="DZ3" s="10">
        <f t="shared" ref="DZ3:DZ66" si="96">DV3+DY3</f>
        <v>16.378958048818017</v>
      </c>
      <c r="EA3" s="539">
        <f t="shared" ref="EA3:EA66" si="97">DZ3*BU3</f>
        <v>310.21746544461325</v>
      </c>
      <c r="EB3" s="19">
        <f t="shared" ref="EB3:EB66" si="98">DZ3*BW3</f>
        <v>35.378549385446917</v>
      </c>
      <c r="EC3" s="10">
        <f t="shared" ref="EC3:EC66" si="99">EB3/BU3</f>
        <v>1.8679276338673134</v>
      </c>
      <c r="ED3" s="10">
        <f t="shared" ref="ED3:ED66" si="100">DZ3+EC3</f>
        <v>18.246885682685331</v>
      </c>
      <c r="EE3" s="539">
        <f t="shared" ref="EE3:EE66" si="101">ED3*BU3</f>
        <v>345.5960148300602</v>
      </c>
      <c r="EF3" s="19">
        <f t="shared" ref="EF3:EF66" si="102">ED3*BW3</f>
        <v>39.413273074600319</v>
      </c>
      <c r="EG3" s="10">
        <f t="shared" ref="EG3:EG66" si="103">EF3/BU3</f>
        <v>2.0809542278036068</v>
      </c>
      <c r="EH3" s="10">
        <f t="shared" ref="EH3:EH66" si="104">ED3+EG3</f>
        <v>20.327839910488937</v>
      </c>
      <c r="EI3" s="539">
        <f t="shared" ref="EI3:EI66" si="105">EH3*BU3</f>
        <v>385.00928790466048</v>
      </c>
      <c r="EJ3" s="19">
        <f t="shared" ref="EJ3:EJ66" si="106">EH3*BW3</f>
        <v>43.908134206656108</v>
      </c>
      <c r="EK3" s="10">
        <f t="shared" ref="EK3:EK66" si="107">EJ3/BU3</f>
        <v>2.3182753013018007</v>
      </c>
      <c r="EL3" s="10">
        <f t="shared" ref="EL3:EL66" si="108">EH3+EK3</f>
        <v>22.646115211790736</v>
      </c>
      <c r="EM3" s="539">
        <f t="shared" ref="EM3:EM66" si="109">EL3*BU3</f>
        <v>428.91742211131657</v>
      </c>
      <c r="EN3" s="19">
        <f t="shared" ref="EN3:EN66" si="110">EL3*BW3</f>
        <v>48.915608857467994</v>
      </c>
      <c r="EO3" s="10">
        <f t="shared" ref="EO3:EO66" si="111">EN3/BU3</f>
        <v>2.5826615025062298</v>
      </c>
      <c r="EP3" s="10">
        <f t="shared" ref="EP3:EP66" si="112">EL3+EO3</f>
        <v>25.228776714296966</v>
      </c>
      <c r="EQ3" s="539">
        <f t="shared" ref="EQ3:EQ66" si="113">EP3*BU3</f>
        <v>477.83303096878456</v>
      </c>
      <c r="ER3" s="19">
        <f t="shared" ref="ER3:ER66" si="114">EP3*BW3</f>
        <v>54.494157702881452</v>
      </c>
      <c r="ES3" s="10">
        <f t="shared" ref="ES3:ES66" si="115">ER3/BU3</f>
        <v>2.8771994563295378</v>
      </c>
      <c r="ET3" s="10">
        <f t="shared" ref="ET3:ET66" si="116">EP3+ES3</f>
        <v>28.105976170626505</v>
      </c>
      <c r="EU3" s="539">
        <f t="shared" ref="EU3:EU66" si="117">ET3*BU3</f>
        <v>532.32718867166602</v>
      </c>
      <c r="EV3" s="19">
        <f t="shared" ref="EV3:EV66" si="118">ET3*BW3</f>
        <v>60.708908528553252</v>
      </c>
      <c r="EW3" s="10">
        <f t="shared" ref="EW3:EW66" si="119">EV3/BU3</f>
        <v>3.2053277998180172</v>
      </c>
      <c r="EX3" s="10">
        <f t="shared" ref="EX3:EX66" si="120">ET3+EW3</f>
        <v>31.311303970444524</v>
      </c>
      <c r="EY3" s="539">
        <f t="shared" ref="EY3:EY66" si="121">EX3*BU3</f>
        <v>593.03609720021927</v>
      </c>
      <c r="EZ3" s="19">
        <f t="shared" ref="EZ3:EZ66" si="122">EX3*BW3</f>
        <v>67.632416576160182</v>
      </c>
      <c r="FA3" s="10">
        <f t="shared" ref="FA3:FA66" si="123">EZ3/BU3</f>
        <v>3.5708773271467886</v>
      </c>
      <c r="FB3" s="10">
        <f t="shared" ref="FB3:FB66" si="124">EX3+FA3</f>
        <v>34.882181297591309</v>
      </c>
      <c r="FC3" s="539">
        <f t="shared" ref="FC3:FC66" si="125">FB3*BU3</f>
        <v>660.66851377637943</v>
      </c>
      <c r="FD3" s="19">
        <f t="shared" ref="FD3:FD66" si="126">FB3*BW3</f>
        <v>75.345511602797231</v>
      </c>
      <c r="FE3" s="10">
        <f t="shared" ref="FE3:FE66" si="127">FD3/BU3</f>
        <v>3.9781157129248799</v>
      </c>
      <c r="FF3" s="10">
        <f t="shared" ref="FF3:FF66" si="128">FB3+FE3</f>
        <v>38.860297010516192</v>
      </c>
      <c r="FG3" s="539">
        <f t="shared" ref="FG3:FG66" si="129">FF3*BU3</f>
        <v>736.0140253791767</v>
      </c>
      <c r="FH3" s="19">
        <f t="shared" ref="FH3:FH66" si="130">FF3*BW3</f>
        <v>83.938241542714977</v>
      </c>
      <c r="FI3" s="10">
        <f t="shared" ref="FI3:FI66" si="131">FH3/BU3</f>
        <v>4.4317973359406002</v>
      </c>
      <c r="FJ3" s="10">
        <f t="shared" ref="FJ3:FJ66" si="132">FF3+FI3</f>
        <v>43.292094346456793</v>
      </c>
      <c r="FK3" s="539">
        <f t="shared" ref="FK3:FK66" si="133">FJ3*BU3</f>
        <v>819.95226692189169</v>
      </c>
      <c r="FL3" s="19">
        <f t="shared" ref="FL3:FL66" si="134">FJ3*BW3</f>
        <v>93.510923788346673</v>
      </c>
      <c r="FM3" s="10">
        <f t="shared" ref="FM3:FM66" si="135">FL3/BU3</f>
        <v>4.9372187850235836</v>
      </c>
      <c r="FN3" s="10">
        <f t="shared" ref="FN3:FN66" si="136">FJ3+FM3</f>
        <v>48.229313131480374</v>
      </c>
      <c r="FO3" s="539">
        <f t="shared" ref="FO3:FO66" si="137">FN3*BU3</f>
        <v>913.46319071023834</v>
      </c>
      <c r="FP3" s="19">
        <f t="shared" ref="FP3:FP66" si="138">FN3*BW3</f>
        <v>104.17531636399761</v>
      </c>
      <c r="FQ3" s="10">
        <f t="shared" ref="FQ3:FQ66" si="139">FP3/BU3</f>
        <v>5.5002806950368326</v>
      </c>
      <c r="FR3" s="10">
        <f t="shared" ref="FR3:FR66" si="140">FN3+FQ3</f>
        <v>53.72959382651721</v>
      </c>
      <c r="FS3" s="539">
        <f t="shared" ref="FS3:FS66" si="141">FR3*BU3</f>
        <v>1017.638507074236</v>
      </c>
      <c r="FT3" s="19">
        <f t="shared" ref="FT3:FT66" si="142">FR3*BW3</f>
        <v>116.05592266527718</v>
      </c>
      <c r="FU3" s="10">
        <f t="shared" ref="FU3:FU66" si="143">FT3/BU3</f>
        <v>6.1275566349143178</v>
      </c>
      <c r="FV3" s="10">
        <f t="shared" ref="FV3:FV66" si="144">FR3+FU3</f>
        <v>59.85715046143153</v>
      </c>
      <c r="FW3" s="539">
        <f t="shared" ref="FW3:FW66" si="145">FV3*BU3</f>
        <v>1133.6944297395132</v>
      </c>
      <c r="FX3" s="19">
        <f t="shared" ref="FX3:FX66" si="146">FV3*BW3</f>
        <v>129.29144499669212</v>
      </c>
      <c r="FY3" s="10">
        <f t="shared" ref="FY3:FY66" si="147">FX3/BU3</f>
        <v>6.82636985199008</v>
      </c>
      <c r="FZ3" s="10">
        <f t="shared" ref="FZ3:FZ66" si="148">FV3+FY3</f>
        <v>66.68352031342161</v>
      </c>
      <c r="GA3" s="539">
        <f t="shared" ref="GA3:GA66" si="149">FZ3*BU3</f>
        <v>1262.9858747362055</v>
      </c>
      <c r="GB3" s="19">
        <f t="shared" ref="GB3:GB66" si="150">FZ3*BW3</f>
        <v>144.03640387699068</v>
      </c>
      <c r="GC3" s="10">
        <f t="shared" ref="GC3:GC66" si="151">GB3/BU3</f>
        <v>7.6048787685845127</v>
      </c>
      <c r="GD3" s="10">
        <f t="shared" ref="GD3:GD66" si="152">FZ3+GC3</f>
        <v>74.288399082006123</v>
      </c>
      <c r="GE3" s="539">
        <f t="shared" ref="GE3:GE66" si="153">GD3*BU3</f>
        <v>1407.022278613196</v>
      </c>
      <c r="GF3" s="19">
        <f t="shared" ref="GF3:GF66" si="154">GD3*BW3</f>
        <v>160.46294201713323</v>
      </c>
      <c r="GG3" s="10">
        <f t="shared" ref="GG3:GG66" si="155">GF3/BU3</f>
        <v>8.4721722289933066</v>
      </c>
      <c r="GH3" s="10">
        <f t="shared" ref="GH3:GH66" si="156">GD3+GG3</f>
        <v>82.760571310999424</v>
      </c>
      <c r="GI3" s="539">
        <f t="shared" ref="GI3:GI66" si="157">GH3*BU3</f>
        <v>1567.4852206303292</v>
      </c>
      <c r="GJ3" s="19">
        <f t="shared" ref="GJ3:GJ66" si="158">GH3*BW3</f>
        <v>178.76283403175876</v>
      </c>
      <c r="GK3" s="10">
        <f t="shared" ref="GK3:GK66" si="159">GJ3/BU3</f>
        <v>9.4383756088573776</v>
      </c>
      <c r="GL3" s="10">
        <f t="shared" ref="GL3:GL66" si="160">GH3+GK3</f>
        <v>92.198946919856809</v>
      </c>
      <c r="GM3" s="539">
        <f t="shared" ref="GM3:GM66" si="161">GL3*BU3</f>
        <v>1746.2480546620882</v>
      </c>
      <c r="GN3" s="19">
        <f t="shared" ref="GN3:GN66" si="162">GL3*BW3</f>
        <v>199.14972534689073</v>
      </c>
      <c r="GO3" s="10">
        <f t="shared" ref="GO3:GO66" si="163">GN3/BU3</f>
        <v>10.514769025707007</v>
      </c>
      <c r="GP3" s="10">
        <f t="shared" ref="GP3:GP66" si="164">GL3+GO3</f>
        <v>102.71371594556382</v>
      </c>
      <c r="GQ3" s="539">
        <f t="shared" ref="GQ3:GQ66" si="165">GP3*BU3</f>
        <v>1945.3977800089788</v>
      </c>
      <c r="GR3" s="19">
        <f t="shared" ref="GR3:GR66" si="166">GP3*BW3</f>
        <v>221.86162644241787</v>
      </c>
      <c r="GS3" s="10">
        <f t="shared" ref="GS3:GS66" si="167">GR3/BU3</f>
        <v>11.713919030750679</v>
      </c>
      <c r="GT3" s="10">
        <f t="shared" ref="GT3:GT66" si="168">GP3+GS3</f>
        <v>114.42763497631449</v>
      </c>
      <c r="GU3" s="539">
        <f t="shared" ref="GU3:GU66" si="169">GT3*BU3</f>
        <v>2167.2594064513964</v>
      </c>
      <c r="GV3" s="19">
        <f t="shared" ref="GV3:GV66" si="170">GT3*BW3</f>
        <v>247.16369154883932</v>
      </c>
      <c r="GW3" s="10">
        <f t="shared" ref="GW3:GW66" si="171">GV3/BU3</f>
        <v>13.049825319368496</v>
      </c>
      <c r="GX3" s="10">
        <f t="shared" ref="GX3:GX66" si="172">GT3+GW3</f>
        <v>127.47746029568299</v>
      </c>
      <c r="GY3" s="539">
        <f t="shared" ref="GY3:GY66" si="173">GX3*BU3</f>
        <v>2414.4230980002358</v>
      </c>
      <c r="GZ3" s="19">
        <f t="shared" ref="GZ3:GZ66" si="174">GX3*BW3</f>
        <v>275.35131423867529</v>
      </c>
      <c r="HA3" s="10">
        <f t="shared" ref="HA3:HA66" si="175">GZ3/BU3</f>
        <v>14.538084173108516</v>
      </c>
      <c r="HB3" s="10">
        <f t="shared" ref="HB3:HB66" si="176">GX3+HA3</f>
        <v>142.01554446879152</v>
      </c>
      <c r="HC3" s="539">
        <f t="shared" ref="HC3:HC66" si="177">HB3*BU3</f>
        <v>2689.7744122389117</v>
      </c>
      <c r="HD3" s="19">
        <f t="shared" ref="HD3:HD66" si="178">HB3*BW3</f>
        <v>306.75357605258972</v>
      </c>
      <c r="HE3" s="10">
        <f t="shared" ref="HE3:HE66" si="179">HD3/BU3</f>
        <v>16.196070541319415</v>
      </c>
      <c r="HF3" s="10">
        <f t="shared" ref="HF3:HF66" si="180">HB3+HE3</f>
        <v>158.21161501011093</v>
      </c>
      <c r="HG3" s="539">
        <f t="shared" ref="HG3:HG66" si="181">HF3*BU3</f>
        <v>2996.5279882915011</v>
      </c>
      <c r="HH3" s="19">
        <f t="shared" ref="HH3:HH66" si="182">HF3*BW3</f>
        <v>341.73708842183964</v>
      </c>
      <c r="HI3" s="10">
        <f t="shared" ref="HI3:HI66" si="183">HH3/BU3</f>
        <v>18.043140888164711</v>
      </c>
      <c r="HJ3" s="10">
        <f t="shared" ref="HJ3:HJ66" si="184">HF3+HI3</f>
        <v>176.25475589827565</v>
      </c>
      <c r="HK3" s="539">
        <f t="shared" ref="HK3:HK66" si="185">HJ3*BU3</f>
        <v>3338.2650767133409</v>
      </c>
      <c r="HL3" s="19">
        <f t="shared" ref="HL3:HL66" si="186">HJ3*BW3</f>
        <v>380.7102727402754</v>
      </c>
      <c r="HM3" s="10">
        <f t="shared" ref="HM3:HM66" si="187">HL3/BU3</f>
        <v>20.100859173192998</v>
      </c>
      <c r="HN3" s="10">
        <f t="shared" ref="HN3:HN66" si="188">HJ3+HM3</f>
        <v>196.35561507146863</v>
      </c>
      <c r="HO3" s="539">
        <f t="shared" ref="HO3:HO66" si="189">HN3*BU3</f>
        <v>3718.9753494536162</v>
      </c>
      <c r="HP3" s="19">
        <f t="shared" ref="HP3:HP66" si="190">HN3*BW3</f>
        <v>424.12812855437227</v>
      </c>
      <c r="HQ3" s="10">
        <f t="shared" ref="HQ3:HQ66" si="191">HP3/BU3</f>
        <v>22.393248603715534</v>
      </c>
      <c r="HR3" s="10">
        <f t="shared" ref="HR3:HR66" si="192">HN3+HQ3</f>
        <v>218.74886367518417</v>
      </c>
      <c r="HS3" s="539">
        <f t="shared" ref="HS3:HS66" si="193">HR3*BU3</f>
        <v>4143.1034780079881</v>
      </c>
      <c r="HT3" s="19">
        <f t="shared" ref="HT3:HT66" si="194">HR3*BW3</f>
        <v>472.49754553839784</v>
      </c>
      <c r="HU3" s="10">
        <f t="shared" ref="HU3:HU66" si="195">HT3/BU3</f>
        <v>24.947072098120266</v>
      </c>
      <c r="HV3" s="10">
        <f t="shared" ref="HV3:HV66" si="196">HR3+HU3</f>
        <v>243.69593577330443</v>
      </c>
      <c r="HW3" s="539">
        <f t="shared" ref="HW3:HW66" si="197">HV3*BU3</f>
        <v>4615.6010235463864</v>
      </c>
      <c r="HX3" s="19">
        <f t="shared" ref="HX3:HX66" si="198">HV3*BW3</f>
        <v>526.38322127033757</v>
      </c>
      <c r="HY3" s="10">
        <f t="shared" ref="HY3:HY66" si="199">HX3/BU3</f>
        <v>27.792144734442321</v>
      </c>
      <c r="HZ3" s="10">
        <f t="shared" ref="HZ3:HZ66" si="200">HV3+HY3</f>
        <v>271.48808050774676</v>
      </c>
      <c r="IA3" s="539">
        <f t="shared" ref="IA3:IA66" si="201">HZ3*BU3</f>
        <v>5141.9842448167237</v>
      </c>
      <c r="IB3" s="19">
        <f t="shared" ref="IB3:IB66" si="202">HZ3*BW3</f>
        <v>586.41425389673304</v>
      </c>
      <c r="IF3" s="376" t="s">
        <v>1312</v>
      </c>
      <c r="IG3" s="428" t="s">
        <v>1315</v>
      </c>
      <c r="IH3" s="428"/>
      <c r="II3" s="428"/>
      <c r="IJ3" s="428"/>
      <c r="IK3" s="428"/>
      <c r="IL3" s="428"/>
      <c r="IM3" s="428"/>
      <c r="IN3" s="428"/>
      <c r="IO3" s="428"/>
      <c r="IP3" s="235"/>
    </row>
    <row r="4" spans="1:263">
      <c r="A4" s="6">
        <f ca="1">TODAY()</f>
        <v>42772</v>
      </c>
      <c r="B4" s="6"/>
      <c r="C4" s="826" t="s">
        <v>2342</v>
      </c>
      <c r="D4" s="47" t="s">
        <v>2020</v>
      </c>
      <c r="E4" s="396">
        <f t="shared" ref="E4" si="203">F4+O4</f>
        <v>15</v>
      </c>
      <c r="F4" s="242">
        <v>7</v>
      </c>
      <c r="G4" s="48">
        <f>'Update Stock Prices'!S4</f>
        <v>131717070.73231693</v>
      </c>
      <c r="H4" s="991">
        <f t="shared" ref="H4" si="204">F4/G4</f>
        <v>5.3144212523719165E-8</v>
      </c>
      <c r="I4" s="49">
        <f>'Update Stock Prices'!D4</f>
        <v>40.01</v>
      </c>
      <c r="J4" s="49">
        <f t="shared" si="1"/>
        <v>280.07</v>
      </c>
      <c r="K4" s="30">
        <v>187.32</v>
      </c>
      <c r="L4" s="49">
        <f t="shared" ref="L4" si="205">J4-K4</f>
        <v>92.75</v>
      </c>
      <c r="M4" s="50">
        <f t="shared" ref="M4" si="206">L4/K4</f>
        <v>0.49514200298953664</v>
      </c>
      <c r="N4" s="49">
        <f t="shared" ref="N4" si="207">K4/F4</f>
        <v>26.759999999999998</v>
      </c>
      <c r="O4" s="48">
        <f t="shared" ref="O4" si="208">IF(INT(($B$11-$B$12)/I4)&lt;0,0,INT(($B$11-$B$12)/I4))</f>
        <v>8</v>
      </c>
      <c r="P4" s="49">
        <f t="shared" ref="P4" si="209">IF(($B$11-$B$12)-(O4*I4)&lt;0,0,($B$11-$B$12)-(O4*I4))</f>
        <v>0.93000000000000682</v>
      </c>
      <c r="Q4" s="30">
        <f>0.13*4</f>
        <v>0.52</v>
      </c>
      <c r="R4" s="49">
        <f>S4/365.25</f>
        <v>9.9657768651608483E-3</v>
      </c>
      <c r="S4" s="49">
        <f t="shared" ref="S4" si="210">F4*Q4</f>
        <v>3.64</v>
      </c>
      <c r="T4" s="49">
        <f t="shared" ref="T4" si="211">S4/12</f>
        <v>0.30333333333333334</v>
      </c>
      <c r="U4" s="49" t="s">
        <v>54</v>
      </c>
      <c r="V4" s="50">
        <f t="shared" ref="V4" si="212">Q4/I4</f>
        <v>1.2996750812296927E-2</v>
      </c>
      <c r="W4" s="50">
        <f t="shared" ref="W4" si="213">S4/K4</f>
        <v>1.9431988041853514E-2</v>
      </c>
      <c r="X4" s="49">
        <f t="shared" ref="X4" si="214">12*((E4*Q4)/12-T4)</f>
        <v>4.16</v>
      </c>
      <c r="Y4" s="49">
        <f t="shared" ref="Y4" si="215">IF(U4="Q",3*T4,IF(U4="Y",12*T4,IF(U4="B",6*T4,IF(U4="M",T4,0))))</f>
        <v>0.91</v>
      </c>
      <c r="Z4" s="860">
        <f t="shared" ref="Z4" si="216">IF(Y4/I4&gt;1,1,0)</f>
        <v>0</v>
      </c>
      <c r="AA4" s="860">
        <f t="shared" ref="AA4" si="217">IF(Z4=1,"",IF(AND(U4&lt;&gt;"",Z4=0),I4/(Y4/F4)-F4,""))</f>
        <v>300.76923076923072</v>
      </c>
      <c r="AB4" s="49">
        <f t="shared" ref="AB4" si="218">IF(AA4&lt;&gt;"",AA4*I4,"")</f>
        <v>12033.776923076921</v>
      </c>
      <c r="AC4" s="48">
        <v>1</v>
      </c>
      <c r="AD4" s="47" t="str">
        <f t="shared" ref="AD4" si="219">D4</f>
        <v>AGO</v>
      </c>
      <c r="AE4" s="49">
        <f t="shared" ref="AE4" si="220">J4</f>
        <v>280.07</v>
      </c>
      <c r="AF4" s="50" t="e">
        <f t="shared" si="14"/>
        <v>#REF!</v>
      </c>
      <c r="AG4" s="890" t="e">
        <f t="shared" si="15"/>
        <v>#REF!</v>
      </c>
      <c r="AH4" s="207" t="s">
        <v>2021</v>
      </c>
      <c r="AI4" s="240">
        <f t="shared" si="16"/>
        <v>0.17806620996624919</v>
      </c>
      <c r="AJ4" s="11">
        <f t="shared" si="33"/>
        <v>3</v>
      </c>
      <c r="AK4" s="11">
        <v>1</v>
      </c>
      <c r="AL4" s="11"/>
      <c r="AM4" s="11"/>
      <c r="AN4" s="11"/>
      <c r="AO4" s="11"/>
      <c r="AP4" s="11"/>
      <c r="AQ4" s="11" t="str">
        <f>'Update Stock Prices'!Q4</f>
        <v>mid</v>
      </c>
      <c r="AR4" s="11"/>
      <c r="AS4" s="11"/>
      <c r="AT4" s="176" t="s">
        <v>279</v>
      </c>
      <c r="AU4" s="420"/>
      <c r="AV4" s="420"/>
      <c r="AW4" s="420" t="s">
        <v>0</v>
      </c>
      <c r="AX4" s="395">
        <v>886.73839999999996</v>
      </c>
      <c r="AY4" s="31">
        <f>TSPHistory!$C$3</f>
        <v>31.726500000000001</v>
      </c>
      <c r="AZ4" s="19">
        <f>AX4*AY4</f>
        <v>28133.1058476</v>
      </c>
      <c r="BA4" s="15">
        <f>AZ4/$AZ$8</f>
        <v>0.19320570376982105</v>
      </c>
      <c r="BB4" s="939">
        <v>0.24</v>
      </c>
      <c r="BC4" s="15">
        <f>BA4-BB4</f>
        <v>-4.6794296230178944E-2</v>
      </c>
      <c r="BD4" s="12"/>
      <c r="BE4" s="593">
        <f t="shared" si="17"/>
        <v>0</v>
      </c>
      <c r="BF4" s="725">
        <f t="shared" ref="BF4:BF42" si="221">($BD$124+BF3)*(1+$BD$3)</f>
        <v>173630.83095936853</v>
      </c>
      <c r="BG4" s="420" t="str">
        <f t="shared" ca="1" si="18"/>
        <v/>
      </c>
      <c r="BH4" s="593">
        <f t="shared" ca="1" si="34"/>
        <v>5</v>
      </c>
      <c r="BI4" s="420">
        <f t="shared" ca="1" si="35"/>
        <v>39</v>
      </c>
      <c r="BJ4" s="420">
        <f t="shared" ca="1" si="35"/>
        <v>45</v>
      </c>
      <c r="BK4" s="420">
        <f t="shared" ca="1" si="36"/>
        <v>2019</v>
      </c>
      <c r="BL4" s="420" t="s">
        <v>1011</v>
      </c>
      <c r="BM4" s="19">
        <f t="shared" si="19"/>
        <v>245323.0674343303</v>
      </c>
      <c r="BN4" s="19">
        <f>CE149</f>
        <v>71692.236474961755</v>
      </c>
      <c r="BO4" s="19">
        <f>CF149</f>
        <v>2895.0955675459904</v>
      </c>
      <c r="BP4" s="183">
        <f t="shared" si="20"/>
        <v>4.0382274426005553E-2</v>
      </c>
      <c r="BQ4" s="19">
        <f t="shared" si="21"/>
        <v>241.25796396216586</v>
      </c>
      <c r="BS4" s="420" t="str">
        <f t="shared" si="37"/>
        <v>AGO</v>
      </c>
      <c r="BT4" s="425">
        <f t="shared" si="38"/>
        <v>7</v>
      </c>
      <c r="BU4" s="19">
        <f t="shared" si="39"/>
        <v>40.01</v>
      </c>
      <c r="BV4" s="19">
        <f t="shared" si="40"/>
        <v>280.07</v>
      </c>
      <c r="BW4" s="539">
        <f t="shared" si="41"/>
        <v>0.52</v>
      </c>
      <c r="BX4" s="19">
        <f t="shared" si="42"/>
        <v>3.64</v>
      </c>
      <c r="BY4" s="10">
        <f t="shared" si="43"/>
        <v>9.0977255686078493E-2</v>
      </c>
      <c r="BZ4" s="10">
        <f t="shared" si="44"/>
        <v>7.0909772556860782</v>
      </c>
      <c r="CA4" s="539">
        <f t="shared" si="45"/>
        <v>283.70999999999998</v>
      </c>
      <c r="CB4" s="19">
        <f t="shared" si="46"/>
        <v>3.6873081729567607</v>
      </c>
      <c r="CC4" s="10">
        <f t="shared" si="47"/>
        <v>9.2159664407817074E-2</v>
      </c>
      <c r="CD4" s="10">
        <f t="shared" si="48"/>
        <v>7.1831369200938955</v>
      </c>
      <c r="CE4" s="539">
        <f t="shared" si="49"/>
        <v>287.39730817295674</v>
      </c>
      <c r="CF4" s="19">
        <f t="shared" si="50"/>
        <v>3.7352311984488256</v>
      </c>
      <c r="CG4" s="10">
        <f t="shared" si="51"/>
        <v>9.3357440601070374E-2</v>
      </c>
      <c r="CH4" s="10">
        <f t="shared" si="52"/>
        <v>7.2764943606949659</v>
      </c>
      <c r="CI4" s="539">
        <f t="shared" si="53"/>
        <v>291.13253937140558</v>
      </c>
      <c r="CJ4" s="19">
        <f t="shared" si="54"/>
        <v>3.7837770675613824</v>
      </c>
      <c r="CK4" s="10">
        <f t="shared" si="55"/>
        <v>9.4570783993036311E-2</v>
      </c>
      <c r="CL4" s="10">
        <f t="shared" si="56"/>
        <v>7.3710651446880018</v>
      </c>
      <c r="CM4" s="539">
        <f t="shared" si="57"/>
        <v>294.91631643896693</v>
      </c>
      <c r="CN4" s="19">
        <f t="shared" si="58"/>
        <v>3.8329538752377612</v>
      </c>
      <c r="CO4" s="10">
        <f t="shared" si="59"/>
        <v>9.5799896906717349E-2</v>
      </c>
      <c r="CP4" s="10">
        <f t="shared" si="60"/>
        <v>7.4668650415947191</v>
      </c>
      <c r="CQ4" s="539">
        <f t="shared" si="61"/>
        <v>298.74927031420469</v>
      </c>
      <c r="CR4" s="19">
        <f t="shared" si="62"/>
        <v>3.8827698216292541</v>
      </c>
      <c r="CS4" s="10">
        <f t="shared" si="63"/>
        <v>9.7044984294657688E-2</v>
      </c>
      <c r="CT4" s="10">
        <f t="shared" si="64"/>
        <v>7.5639100258893768</v>
      </c>
      <c r="CU4" s="539">
        <f t="shared" si="65"/>
        <v>302.63204013583396</v>
      </c>
      <c r="CV4" s="19">
        <f t="shared" si="66"/>
        <v>3.9332332134624761</v>
      </c>
      <c r="CW4" s="10">
        <f t="shared" si="67"/>
        <v>9.8306253773118635E-2</v>
      </c>
      <c r="CX4" s="10">
        <f t="shared" si="68"/>
        <v>7.6622162796624957</v>
      </c>
      <c r="CY4" s="539">
        <f t="shared" si="69"/>
        <v>306.56527334929643</v>
      </c>
      <c r="CZ4" s="19">
        <f t="shared" si="70"/>
        <v>3.9843524654244979</v>
      </c>
      <c r="DA4" s="10">
        <f t="shared" si="71"/>
        <v>9.9583915656698274E-2</v>
      </c>
      <c r="DB4" s="10">
        <f t="shared" si="72"/>
        <v>7.7618001953191937</v>
      </c>
      <c r="DC4" s="539">
        <f t="shared" si="73"/>
        <v>310.54962581472091</v>
      </c>
      <c r="DD4" s="19">
        <f t="shared" si="74"/>
        <v>4.0361361015659805</v>
      </c>
      <c r="DE4" s="10">
        <f t="shared" si="75"/>
        <v>0.10087818299340116</v>
      </c>
      <c r="DF4" s="10">
        <f t="shared" si="76"/>
        <v>7.8626783783125953</v>
      </c>
      <c r="DG4" s="539">
        <f t="shared" si="77"/>
        <v>314.58576191628691</v>
      </c>
      <c r="DH4" s="19">
        <f t="shared" si="78"/>
        <v>4.0885927567225497</v>
      </c>
      <c r="DI4" s="10">
        <f t="shared" si="79"/>
        <v>0.10218927160016371</v>
      </c>
      <c r="DJ4" s="10">
        <f t="shared" si="80"/>
        <v>7.9648676499127591</v>
      </c>
      <c r="DK4" s="539">
        <f t="shared" si="81"/>
        <v>318.67435467300947</v>
      </c>
      <c r="DL4" s="19">
        <f t="shared" si="82"/>
        <v>4.1417311779546351</v>
      </c>
      <c r="DM4" s="10">
        <f t="shared" si="83"/>
        <v>0.10351740009884117</v>
      </c>
      <c r="DN4" s="10">
        <f t="shared" si="84"/>
        <v>8.0683850500115994</v>
      </c>
      <c r="DO4" s="539">
        <f t="shared" si="85"/>
        <v>322.8160858509641</v>
      </c>
      <c r="DP4" s="19">
        <f t="shared" si="86"/>
        <v>4.1955602260060321</v>
      </c>
      <c r="DQ4" s="10">
        <f t="shared" si="87"/>
        <v>0.10486278995266264</v>
      </c>
      <c r="DR4" s="10">
        <f t="shared" si="88"/>
        <v>8.1732478399642616</v>
      </c>
      <c r="DS4" s="539">
        <f t="shared" si="89"/>
        <v>327.01164607697007</v>
      </c>
      <c r="DT4" s="19">
        <f t="shared" si="90"/>
        <v>4.2500888767814162</v>
      </c>
      <c r="DU4" s="10">
        <f t="shared" si="91"/>
        <v>0.10622566550315962</v>
      </c>
      <c r="DV4" s="10">
        <f t="shared" si="92"/>
        <v>8.279473505467422</v>
      </c>
      <c r="DW4" s="539">
        <f t="shared" si="93"/>
        <v>331.26173495375156</v>
      </c>
      <c r="DX4" s="19">
        <f t="shared" si="94"/>
        <v>4.3053262228430595</v>
      </c>
      <c r="DY4" s="10">
        <f t="shared" si="95"/>
        <v>0.10760625400757461</v>
      </c>
      <c r="DZ4" s="10">
        <f t="shared" si="96"/>
        <v>8.3870797594749966</v>
      </c>
      <c r="EA4" s="539">
        <f t="shared" si="97"/>
        <v>335.56706117659462</v>
      </c>
      <c r="EB4" s="19">
        <f t="shared" si="98"/>
        <v>4.3612814749269981</v>
      </c>
      <c r="EC4" s="10">
        <f t="shared" si="99"/>
        <v>0.10900478567675577</v>
      </c>
      <c r="ED4" s="10">
        <f t="shared" si="100"/>
        <v>8.4960845451517528</v>
      </c>
      <c r="EE4" s="539">
        <f t="shared" si="101"/>
        <v>339.92834265152163</v>
      </c>
      <c r="EF4" s="19">
        <f t="shared" si="102"/>
        <v>4.4179639634789112</v>
      </c>
      <c r="EG4" s="10">
        <f t="shared" si="103"/>
        <v>0.1104214937135444</v>
      </c>
      <c r="EH4" s="10">
        <f t="shared" si="104"/>
        <v>8.6065060388652981</v>
      </c>
      <c r="EI4" s="539">
        <f t="shared" si="105"/>
        <v>344.34630661500057</v>
      </c>
      <c r="EJ4" s="19">
        <f t="shared" si="106"/>
        <v>4.4753831402099555</v>
      </c>
      <c r="EK4" s="10">
        <f t="shared" si="107"/>
        <v>0.11185661435166099</v>
      </c>
      <c r="EL4" s="10">
        <f t="shared" si="108"/>
        <v>8.7183626532169587</v>
      </c>
      <c r="EM4" s="539">
        <f t="shared" si="109"/>
        <v>348.82168975521051</v>
      </c>
      <c r="EN4" s="19">
        <f t="shared" si="110"/>
        <v>4.5335485796728188</v>
      </c>
      <c r="EO4" s="10">
        <f t="shared" si="111"/>
        <v>0.1133103868950967</v>
      </c>
      <c r="EP4" s="10">
        <f t="shared" si="112"/>
        <v>8.8316730401120562</v>
      </c>
      <c r="EQ4" s="539">
        <f t="shared" si="113"/>
        <v>353.35523833488332</v>
      </c>
      <c r="ER4" s="19">
        <f t="shared" si="114"/>
        <v>4.5924699808582696</v>
      </c>
      <c r="ES4" s="10">
        <f t="shared" si="115"/>
        <v>0.11478305375801724</v>
      </c>
      <c r="ET4" s="10">
        <f t="shared" si="116"/>
        <v>8.9464560938700739</v>
      </c>
      <c r="EU4" s="539">
        <f t="shared" si="117"/>
        <v>357.94770831574164</v>
      </c>
      <c r="EV4" s="19">
        <f t="shared" si="118"/>
        <v>4.6521571688124386</v>
      </c>
      <c r="EW4" s="10">
        <f t="shared" si="119"/>
        <v>0.11627486050518468</v>
      </c>
      <c r="EX4" s="10">
        <f t="shared" si="120"/>
        <v>9.0627309543752581</v>
      </c>
      <c r="EY4" s="539">
        <f t="shared" si="121"/>
        <v>362.59986548455407</v>
      </c>
      <c r="EZ4" s="19">
        <f t="shared" si="122"/>
        <v>4.7126200962751348</v>
      </c>
      <c r="FA4" s="10">
        <f t="shared" si="123"/>
        <v>0.11778605589290515</v>
      </c>
      <c r="FB4" s="10">
        <f t="shared" si="124"/>
        <v>9.1805170102681632</v>
      </c>
      <c r="FC4" s="539">
        <f t="shared" si="125"/>
        <v>367.31248558082922</v>
      </c>
      <c r="FD4" s="19">
        <f t="shared" si="126"/>
        <v>4.7738688453394449</v>
      </c>
      <c r="FE4" s="10">
        <f t="shared" si="127"/>
        <v>0.1193168919105085</v>
      </c>
      <c r="FF4" s="10">
        <f t="shared" si="128"/>
        <v>9.2998339021786709</v>
      </c>
      <c r="FG4" s="539">
        <f t="shared" si="129"/>
        <v>372.08635442616861</v>
      </c>
      <c r="FH4" s="19">
        <f t="shared" si="130"/>
        <v>4.835913629132909</v>
      </c>
      <c r="FI4" s="10">
        <f t="shared" si="131"/>
        <v>0.12086762382236714</v>
      </c>
      <c r="FJ4" s="10">
        <f t="shared" si="132"/>
        <v>9.4207015260010376</v>
      </c>
      <c r="FK4" s="539">
        <f t="shared" si="133"/>
        <v>376.92226805530152</v>
      </c>
      <c r="FL4" s="19">
        <f t="shared" si="134"/>
        <v>4.8987647935205398</v>
      </c>
      <c r="FM4" s="10">
        <f t="shared" si="135"/>
        <v>0.12243851021046089</v>
      </c>
      <c r="FN4" s="10">
        <f t="shared" si="136"/>
        <v>9.5431400362114989</v>
      </c>
      <c r="FO4" s="539">
        <f t="shared" si="137"/>
        <v>381.82103284882203</v>
      </c>
      <c r="FP4" s="19">
        <f t="shared" si="138"/>
        <v>4.9624328188299796</v>
      </c>
      <c r="FQ4" s="10">
        <f t="shared" si="139"/>
        <v>0.12402981301749512</v>
      </c>
      <c r="FR4" s="10">
        <f t="shared" si="140"/>
        <v>9.6671698492289941</v>
      </c>
      <c r="FS4" s="539">
        <f t="shared" si="141"/>
        <v>386.78346566765202</v>
      </c>
      <c r="FT4" s="19">
        <f t="shared" si="142"/>
        <v>5.026928321599077</v>
      </c>
      <c r="FU4" s="10">
        <f t="shared" si="143"/>
        <v>0.12564179759057928</v>
      </c>
      <c r="FV4" s="10">
        <f t="shared" si="144"/>
        <v>9.7928116468195743</v>
      </c>
      <c r="FW4" s="539">
        <f t="shared" si="145"/>
        <v>391.81039398925117</v>
      </c>
      <c r="FX4" s="19">
        <f t="shared" si="146"/>
        <v>5.0922620563461791</v>
      </c>
      <c r="FY4" s="10">
        <f t="shared" si="147"/>
        <v>0.12727473272547313</v>
      </c>
      <c r="FZ4" s="10">
        <f t="shared" si="148"/>
        <v>9.9200863795450474</v>
      </c>
      <c r="GA4" s="539">
        <f t="shared" si="149"/>
        <v>396.90265604559733</v>
      </c>
      <c r="GB4" s="19">
        <f t="shared" si="150"/>
        <v>5.1584449173634246</v>
      </c>
      <c r="GC4" s="10">
        <f t="shared" si="151"/>
        <v>0.12892889071140776</v>
      </c>
      <c r="GD4" s="10">
        <f t="shared" si="152"/>
        <v>10.049015270256454</v>
      </c>
      <c r="GE4" s="539">
        <f t="shared" si="153"/>
        <v>402.06110096296072</v>
      </c>
      <c r="GF4" s="19">
        <f t="shared" si="154"/>
        <v>5.2254879405333563</v>
      </c>
      <c r="GG4" s="10">
        <f t="shared" si="155"/>
        <v>0.1306045473764898</v>
      </c>
      <c r="GH4" s="10">
        <f t="shared" si="156"/>
        <v>10.179619817632943</v>
      </c>
      <c r="GI4" s="539">
        <f t="shared" si="157"/>
        <v>407.28658890349402</v>
      </c>
      <c r="GJ4" s="19">
        <f t="shared" si="158"/>
        <v>5.2934023051691304</v>
      </c>
      <c r="GK4" s="10">
        <f t="shared" si="159"/>
        <v>0.13230198213369485</v>
      </c>
      <c r="GL4" s="10">
        <f t="shared" si="160"/>
        <v>10.311921799766639</v>
      </c>
      <c r="GM4" s="539">
        <f t="shared" si="161"/>
        <v>412.57999120866322</v>
      </c>
      <c r="GN4" s="19">
        <f t="shared" si="162"/>
        <v>5.3621993358786524</v>
      </c>
      <c r="GO4" s="10">
        <f t="shared" si="163"/>
        <v>0.13402147802745945</v>
      </c>
      <c r="GP4" s="10">
        <f t="shared" si="164"/>
        <v>10.445943277794099</v>
      </c>
      <c r="GQ4" s="539">
        <f t="shared" si="165"/>
        <v>417.94219054454186</v>
      </c>
      <c r="GR4" s="19">
        <f t="shared" si="166"/>
        <v>5.4318905044529311</v>
      </c>
      <c r="GS4" s="10">
        <f t="shared" si="167"/>
        <v>0.13576332178087808</v>
      </c>
      <c r="GT4" s="10">
        <f t="shared" si="168"/>
        <v>10.581706599574977</v>
      </c>
      <c r="GU4" s="539">
        <f t="shared" si="169"/>
        <v>423.37408104899481</v>
      </c>
      <c r="GV4" s="19">
        <f t="shared" si="170"/>
        <v>5.502487431778988</v>
      </c>
      <c r="GW4" s="10">
        <f t="shared" si="171"/>
        <v>0.13752780384351382</v>
      </c>
      <c r="GX4" s="10">
        <f t="shared" si="172"/>
        <v>10.71923440341849</v>
      </c>
      <c r="GY4" s="539">
        <f t="shared" si="173"/>
        <v>428.87656848077376</v>
      </c>
      <c r="GZ4" s="19">
        <f t="shared" si="174"/>
        <v>5.5740018897776151</v>
      </c>
      <c r="HA4" s="10">
        <f t="shared" si="175"/>
        <v>0.13931521843983044</v>
      </c>
      <c r="HB4" s="10">
        <f t="shared" si="176"/>
        <v>10.85854962185832</v>
      </c>
      <c r="HC4" s="539">
        <f t="shared" si="177"/>
        <v>434.45057037055136</v>
      </c>
      <c r="HD4" s="19">
        <f t="shared" si="178"/>
        <v>5.6464458033663263</v>
      </c>
      <c r="HE4" s="10">
        <f t="shared" si="179"/>
        <v>0.14112586361825361</v>
      </c>
      <c r="HF4" s="10">
        <f t="shared" si="180"/>
        <v>10.999675485476573</v>
      </c>
      <c r="HG4" s="539">
        <f t="shared" si="181"/>
        <v>440.09701617391767</v>
      </c>
      <c r="HH4" s="19">
        <f t="shared" si="182"/>
        <v>5.7198312524478183</v>
      </c>
      <c r="HI4" s="10">
        <f t="shared" si="183"/>
        <v>0.14296004130087026</v>
      </c>
      <c r="HJ4" s="10">
        <f t="shared" si="184"/>
        <v>11.142635526777443</v>
      </c>
      <c r="HK4" s="539">
        <f t="shared" si="185"/>
        <v>445.81684742636548</v>
      </c>
      <c r="HL4" s="19">
        <f t="shared" si="186"/>
        <v>5.7941704739242708</v>
      </c>
      <c r="HM4" s="10">
        <f t="shared" si="187"/>
        <v>0.14481805733377334</v>
      </c>
      <c r="HN4" s="10">
        <f t="shared" si="188"/>
        <v>11.287453584111217</v>
      </c>
      <c r="HO4" s="539">
        <f t="shared" si="189"/>
        <v>451.61101790028977</v>
      </c>
      <c r="HP4" s="19">
        <f t="shared" si="190"/>
        <v>5.8694758637378328</v>
      </c>
      <c r="HQ4" s="10">
        <f t="shared" si="191"/>
        <v>0.14670022153806131</v>
      </c>
      <c r="HR4" s="10">
        <f t="shared" si="192"/>
        <v>11.434153805649279</v>
      </c>
      <c r="HS4" s="539">
        <f t="shared" si="193"/>
        <v>457.48049376402764</v>
      </c>
      <c r="HT4" s="19">
        <f t="shared" si="194"/>
        <v>5.945759978937625</v>
      </c>
      <c r="HU4" s="10">
        <f t="shared" si="195"/>
        <v>0.14860684776150027</v>
      </c>
      <c r="HV4" s="10">
        <f t="shared" si="196"/>
        <v>11.58276065341078</v>
      </c>
      <c r="HW4" s="539">
        <f t="shared" si="197"/>
        <v>463.42625374296529</v>
      </c>
      <c r="HX4" s="19">
        <f t="shared" si="198"/>
        <v>6.0230355397736055</v>
      </c>
      <c r="HY4" s="10">
        <f t="shared" si="199"/>
        <v>0.15053825393085743</v>
      </c>
      <c r="HZ4" s="10">
        <f t="shared" si="200"/>
        <v>11.733298907341638</v>
      </c>
      <c r="IA4" s="539">
        <f t="shared" si="201"/>
        <v>469.4492892827389</v>
      </c>
      <c r="IB4" s="19">
        <f t="shared" si="202"/>
        <v>6.1013154318176515</v>
      </c>
      <c r="IF4" s="224" t="s">
        <v>2696</v>
      </c>
      <c r="IG4" s="30">
        <f>Stocks!I38</f>
        <v>200.38</v>
      </c>
      <c r="IP4" s="236"/>
    </row>
    <row r="5" spans="1:263" ht="13.5" thickBot="1">
      <c r="A5" s="7" t="str">
        <f ca="1">CHOOSE(WEEKDAY(A4),"Sunday","Monday","Tuesday","Wednesday","Thursday","Friday","Saturday")</f>
        <v>Monday</v>
      </c>
      <c r="B5" s="19"/>
      <c r="C5" s="826" t="s">
        <v>2342</v>
      </c>
      <c r="D5" s="47" t="s">
        <v>2518</v>
      </c>
      <c r="E5" s="396">
        <f t="shared" ref="E5" si="222">F5+O5</f>
        <v>24.067799999999998</v>
      </c>
      <c r="F5" s="242">
        <v>8.0678000000000001</v>
      </c>
      <c r="G5" s="48">
        <f>'Update Stock Prices'!S5</f>
        <v>225175526.57973921</v>
      </c>
      <c r="H5" s="991">
        <f t="shared" ref="H5" si="223">F5/G5</f>
        <v>3.5828938084632517E-8</v>
      </c>
      <c r="I5" s="49">
        <f>'Update Stock Prices'!D5</f>
        <v>19.940000000000001</v>
      </c>
      <c r="J5" s="49">
        <f t="shared" si="1"/>
        <v>160.87193200000002</v>
      </c>
      <c r="K5" s="30">
        <v>151.61000000000001</v>
      </c>
      <c r="L5" s="49">
        <f t="shared" ref="L5" si="224">J5-K5</f>
        <v>9.2619320000000016</v>
      </c>
      <c r="M5" s="50">
        <f t="shared" ref="M5" si="225">L5/K5</f>
        <v>6.1090508541652933E-2</v>
      </c>
      <c r="N5" s="49">
        <f t="shared" ref="N5" si="226">K5/F5</f>
        <v>18.791987902526092</v>
      </c>
      <c r="O5" s="48">
        <f t="shared" ref="O5" si="227">IF(INT(($B$11-$B$12)/I5)&lt;0,0,INT(($B$11-$B$12)/I5))</f>
        <v>16</v>
      </c>
      <c r="P5" s="49">
        <f t="shared" ref="P5" si="228">IF(($B$11-$B$12)-(O5*I5)&lt;0,0,($B$11-$B$12)-(O5*I5))</f>
        <v>1.9699999999999704</v>
      </c>
      <c r="Q5" s="30">
        <f>0.1*12</f>
        <v>1.2000000000000002</v>
      </c>
      <c r="R5" s="49">
        <f>S5/365.25</f>
        <v>2.6506119096509243E-2</v>
      </c>
      <c r="S5" s="49">
        <f t="shared" ref="S5" si="229">F5*Q5</f>
        <v>9.6813600000000015</v>
      </c>
      <c r="T5" s="49">
        <f t="shared" ref="T5" si="230">S5/12</f>
        <v>0.80678000000000016</v>
      </c>
      <c r="U5" s="49" t="s">
        <v>56</v>
      </c>
      <c r="V5" s="50">
        <f t="shared" ref="V5" si="231">Q5/I5</f>
        <v>6.0180541624874628E-2</v>
      </c>
      <c r="W5" s="50">
        <f t="shared" ref="W5" si="232">S5/K5</f>
        <v>6.385700151705033E-2</v>
      </c>
      <c r="X5" s="49">
        <f t="shared" ref="X5" si="233">12*((E5*Q5)/12-T5)</f>
        <v>19.199999999999996</v>
      </c>
      <c r="Y5" s="49">
        <f t="shared" ref="Y5" si="234">IF(U5="Q",3*T5,IF(U5="Y",12*T5,IF(U5="B",6*T5,IF(U5="M",T5,0))))</f>
        <v>0.80678000000000016</v>
      </c>
      <c r="Z5" s="860">
        <f t="shared" ref="Z5" si="235">IF(Y5/I5&gt;1,1,0)</f>
        <v>0</v>
      </c>
      <c r="AA5" s="860">
        <f t="shared" ref="AA5" si="236">IF(Z5=1,"",IF(AND(U5&lt;&gt;"",Z5=0),I5/(Y5/F5)-F5,""))</f>
        <v>191.33219999999997</v>
      </c>
      <c r="AB5" s="49">
        <f t="shared" ref="AB5" si="237">IF(AA5&lt;&gt;"",AA5*I5,"")</f>
        <v>3815.1640679999996</v>
      </c>
      <c r="AC5" s="48">
        <v>1</v>
      </c>
      <c r="AD5" s="47" t="str">
        <f t="shared" ref="AD5" si="238">D5</f>
        <v>APLE</v>
      </c>
      <c r="AE5" s="49">
        <f t="shared" ref="AE5" si="239">J5</f>
        <v>160.87193200000002</v>
      </c>
      <c r="AF5" s="50" t="e">
        <f t="shared" si="14"/>
        <v>#REF!</v>
      </c>
      <c r="AG5" s="890" t="e">
        <f t="shared" ref="AG5" si="240">(100*AF5)^2</f>
        <v>#REF!</v>
      </c>
      <c r="AH5" s="207" t="s">
        <v>2519</v>
      </c>
      <c r="AI5" s="240">
        <f t="shared" si="16"/>
        <v>5.8750137499479264E-2</v>
      </c>
      <c r="AJ5" s="11">
        <f t="shared" ref="AJ5" si="241">LEN(D5)</f>
        <v>4</v>
      </c>
      <c r="AK5" s="11"/>
      <c r="AL5" s="11"/>
      <c r="AM5" s="11"/>
      <c r="AN5" s="11"/>
      <c r="AO5" s="11"/>
      <c r="AP5" s="11"/>
      <c r="AQ5" s="11" t="str">
        <f>'Update Stock Prices'!Q5</f>
        <v>mid</v>
      </c>
      <c r="AR5" s="11"/>
      <c r="AS5" s="11"/>
      <c r="AT5" s="176" t="s">
        <v>61</v>
      </c>
      <c r="AU5" s="420"/>
      <c r="AV5" s="420"/>
      <c r="AW5" s="420" t="s">
        <v>5</v>
      </c>
      <c r="AX5" s="395">
        <v>495.42939999999999</v>
      </c>
      <c r="AY5" s="31">
        <f>TSPHistory!$D$3</f>
        <v>42.327800000000003</v>
      </c>
      <c r="AZ5" s="19">
        <f>AX5*AY5</f>
        <v>20970.436557320001</v>
      </c>
      <c r="BA5" s="15">
        <f>AZ5/$AZ$8</f>
        <v>0.14401566522250978</v>
      </c>
      <c r="BB5" s="939">
        <v>0.28000000000000003</v>
      </c>
      <c r="BC5" s="15">
        <f>BA5-BB5</f>
        <v>-0.13598433477749025</v>
      </c>
      <c r="BD5" s="12"/>
      <c r="BE5" s="593">
        <f t="shared" si="17"/>
        <v>0</v>
      </c>
      <c r="BF5" s="725">
        <f t="shared" si="221"/>
        <v>188061.8175785559</v>
      </c>
      <c r="BG5" s="420" t="str">
        <f t="shared" ca="1" si="18"/>
        <v/>
      </c>
      <c r="BH5" s="593">
        <f t="shared" ca="1" si="34"/>
        <v>6</v>
      </c>
      <c r="BI5" s="420">
        <f t="shared" ca="1" si="35"/>
        <v>40</v>
      </c>
      <c r="BJ5" s="420">
        <f t="shared" ca="1" si="35"/>
        <v>46</v>
      </c>
      <c r="BK5" s="420">
        <f t="shared" ca="1" si="36"/>
        <v>2020</v>
      </c>
      <c r="BL5" s="420" t="s">
        <v>1012</v>
      </c>
      <c r="BM5" s="19">
        <f t="shared" si="19"/>
        <v>262649.14962106367</v>
      </c>
      <c r="BN5" s="19">
        <f>CI149</f>
        <v>74587.332042507755</v>
      </c>
      <c r="BO5" s="19">
        <f>CJ149</f>
        <v>3066.0663833779381</v>
      </c>
      <c r="BP5" s="183">
        <f t="shared" si="20"/>
        <v>4.1107066031408242E-2</v>
      </c>
      <c r="BQ5" s="19">
        <f t="shared" si="21"/>
        <v>255.50553194816152</v>
      </c>
      <c r="BS5" s="420" t="str">
        <f t="shared" si="37"/>
        <v>APLE</v>
      </c>
      <c r="BT5" s="425">
        <f t="shared" si="38"/>
        <v>8.0678000000000001</v>
      </c>
      <c r="BU5" s="19">
        <f t="shared" si="39"/>
        <v>19.940000000000001</v>
      </c>
      <c r="BV5" s="19">
        <f t="shared" si="40"/>
        <v>160.87193200000002</v>
      </c>
      <c r="BW5" s="539">
        <f t="shared" si="41"/>
        <v>1.2000000000000002</v>
      </c>
      <c r="BX5" s="19">
        <f t="shared" si="42"/>
        <v>9.6813600000000015</v>
      </c>
      <c r="BY5" s="10">
        <f t="shared" si="43"/>
        <v>0.48552457372116353</v>
      </c>
      <c r="BZ5" s="10">
        <f t="shared" si="44"/>
        <v>8.5533245737211629</v>
      </c>
      <c r="CA5" s="539">
        <f t="shared" si="45"/>
        <v>170.553292</v>
      </c>
      <c r="CB5" s="19">
        <f t="shared" si="46"/>
        <v>10.263989488465397</v>
      </c>
      <c r="CC5" s="10">
        <f t="shared" si="47"/>
        <v>0.51474370553988946</v>
      </c>
      <c r="CD5" s="10">
        <f t="shared" si="48"/>
        <v>9.0680682792610519</v>
      </c>
      <c r="CE5" s="539">
        <f t="shared" si="49"/>
        <v>180.8172814884654</v>
      </c>
      <c r="CF5" s="19">
        <f t="shared" si="50"/>
        <v>10.881681935113264</v>
      </c>
      <c r="CG5" s="10">
        <f t="shared" si="51"/>
        <v>0.54572126053727499</v>
      </c>
      <c r="CH5" s="10">
        <f t="shared" si="52"/>
        <v>9.6137895397983275</v>
      </c>
      <c r="CI5" s="539">
        <f t="shared" si="53"/>
        <v>191.69896342357868</v>
      </c>
      <c r="CJ5" s="19">
        <f t="shared" si="54"/>
        <v>11.536547447757995</v>
      </c>
      <c r="CK5" s="10">
        <f t="shared" si="55"/>
        <v>0.57856306157261761</v>
      </c>
      <c r="CL5" s="10">
        <f t="shared" si="56"/>
        <v>10.192352601370946</v>
      </c>
      <c r="CM5" s="539">
        <f t="shared" si="57"/>
        <v>203.23551087133666</v>
      </c>
      <c r="CN5" s="19">
        <f t="shared" si="58"/>
        <v>12.230823121645136</v>
      </c>
      <c r="CO5" s="10">
        <f t="shared" si="59"/>
        <v>0.61338129998220337</v>
      </c>
      <c r="CP5" s="10">
        <f t="shared" si="60"/>
        <v>10.805733901353149</v>
      </c>
      <c r="CQ5" s="539">
        <f t="shared" si="61"/>
        <v>215.46633399298179</v>
      </c>
      <c r="CR5" s="19">
        <f t="shared" si="62"/>
        <v>12.966880681623779</v>
      </c>
      <c r="CS5" s="10">
        <f t="shared" si="63"/>
        <v>0.65029491883770207</v>
      </c>
      <c r="CT5" s="10">
        <f t="shared" si="64"/>
        <v>11.45602882019085</v>
      </c>
      <c r="CU5" s="539">
        <f t="shared" si="65"/>
        <v>228.43321467460558</v>
      </c>
      <c r="CV5" s="19">
        <f t="shared" si="66"/>
        <v>13.747234584229023</v>
      </c>
      <c r="CW5" s="10">
        <f t="shared" si="67"/>
        <v>0.68943001926925884</v>
      </c>
      <c r="CX5" s="10">
        <f t="shared" si="68"/>
        <v>12.145458839460108</v>
      </c>
      <c r="CY5" s="539">
        <f t="shared" si="69"/>
        <v>242.18044925883459</v>
      </c>
      <c r="CZ5" s="19">
        <f t="shared" si="70"/>
        <v>14.574550607352132</v>
      </c>
      <c r="DA5" s="10">
        <f t="shared" si="71"/>
        <v>0.73092029124133051</v>
      </c>
      <c r="DB5" s="10">
        <f t="shared" si="72"/>
        <v>12.876379130701439</v>
      </c>
      <c r="DC5" s="539">
        <f t="shared" si="73"/>
        <v>256.75499986618672</v>
      </c>
      <c r="DD5" s="19">
        <f t="shared" si="74"/>
        <v>15.451654956841729</v>
      </c>
      <c r="DE5" s="10">
        <f t="shared" si="75"/>
        <v>0.7749074702528449</v>
      </c>
      <c r="DF5" s="10">
        <f t="shared" si="76"/>
        <v>13.651286600954284</v>
      </c>
      <c r="DG5" s="539">
        <f t="shared" si="77"/>
        <v>272.20665482302843</v>
      </c>
      <c r="DH5" s="19">
        <f t="shared" si="78"/>
        <v>16.381543921145145</v>
      </c>
      <c r="DI5" s="10">
        <f t="shared" si="79"/>
        <v>0.82154182152182265</v>
      </c>
      <c r="DJ5" s="10">
        <f t="shared" si="80"/>
        <v>14.472828422476107</v>
      </c>
      <c r="DK5" s="539">
        <f t="shared" si="81"/>
        <v>288.58819874417361</v>
      </c>
      <c r="DL5" s="19">
        <f t="shared" si="82"/>
        <v>17.367394106971332</v>
      </c>
      <c r="DM5" s="10">
        <f t="shared" si="83"/>
        <v>0.87098265330849201</v>
      </c>
      <c r="DN5" s="10">
        <f t="shared" si="84"/>
        <v>15.343811075784599</v>
      </c>
      <c r="DO5" s="539">
        <f t="shared" si="85"/>
        <v>305.9555928511449</v>
      </c>
      <c r="DP5" s="19">
        <f t="shared" si="86"/>
        <v>18.41257329094152</v>
      </c>
      <c r="DQ5" s="10">
        <f t="shared" si="87"/>
        <v>0.92339886113046732</v>
      </c>
      <c r="DR5" s="10">
        <f t="shared" si="88"/>
        <v>16.267209936915066</v>
      </c>
      <c r="DS5" s="539">
        <f t="shared" si="89"/>
        <v>324.36816614208641</v>
      </c>
      <c r="DT5" s="19">
        <f t="shared" si="90"/>
        <v>19.520651924298082</v>
      </c>
      <c r="DU5" s="10">
        <f t="shared" si="91"/>
        <v>0.97896950472909139</v>
      </c>
      <c r="DV5" s="10">
        <f t="shared" si="92"/>
        <v>17.246179441644156</v>
      </c>
      <c r="DW5" s="539">
        <f t="shared" si="93"/>
        <v>343.88881806638449</v>
      </c>
      <c r="DX5" s="19">
        <f t="shared" si="94"/>
        <v>20.695415329972988</v>
      </c>
      <c r="DY5" s="10">
        <f t="shared" si="95"/>
        <v>1.0378844197579231</v>
      </c>
      <c r="DZ5" s="10">
        <f t="shared" si="96"/>
        <v>18.284063861402078</v>
      </c>
      <c r="EA5" s="539">
        <f t="shared" si="97"/>
        <v>364.58423339635749</v>
      </c>
      <c r="EB5" s="19">
        <f t="shared" si="98"/>
        <v>21.940876633682496</v>
      </c>
      <c r="EC5" s="10">
        <f t="shared" si="99"/>
        <v>1.1003448662829736</v>
      </c>
      <c r="ED5" s="10">
        <f t="shared" si="100"/>
        <v>19.384408727685052</v>
      </c>
      <c r="EE5" s="539">
        <f t="shared" si="101"/>
        <v>386.52511003003997</v>
      </c>
      <c r="EF5" s="19">
        <f t="shared" si="102"/>
        <v>23.261290473222065</v>
      </c>
      <c r="EG5" s="10">
        <f t="shared" si="103"/>
        <v>1.1665642163100334</v>
      </c>
      <c r="EH5" s="10">
        <f t="shared" si="104"/>
        <v>20.550972943995085</v>
      </c>
      <c r="EI5" s="539">
        <f t="shared" si="105"/>
        <v>409.78640050326203</v>
      </c>
      <c r="EJ5" s="19">
        <f t="shared" si="106"/>
        <v>24.661167532794106</v>
      </c>
      <c r="EK5" s="10">
        <f t="shared" si="107"/>
        <v>1.2367686826877686</v>
      </c>
      <c r="EL5" s="10">
        <f t="shared" si="108"/>
        <v>21.787741626682852</v>
      </c>
      <c r="EM5" s="539">
        <f t="shared" si="109"/>
        <v>434.44756803605611</v>
      </c>
      <c r="EN5" s="19">
        <f t="shared" si="110"/>
        <v>26.145289952019425</v>
      </c>
      <c r="EO5" s="10">
        <f t="shared" si="111"/>
        <v>1.3111980918766011</v>
      </c>
      <c r="EP5" s="10">
        <f t="shared" si="112"/>
        <v>23.098939718559453</v>
      </c>
      <c r="EQ5" s="539">
        <f t="shared" si="113"/>
        <v>460.59285798807554</v>
      </c>
      <c r="ER5" s="19">
        <f t="shared" si="114"/>
        <v>27.718727662271348</v>
      </c>
      <c r="ES5" s="10">
        <f t="shared" si="115"/>
        <v>1.390106703223237</v>
      </c>
      <c r="ET5" s="10">
        <f t="shared" si="116"/>
        <v>24.489046421782689</v>
      </c>
      <c r="EU5" s="539">
        <f t="shared" si="117"/>
        <v>488.31158565034684</v>
      </c>
      <c r="EV5" s="19">
        <f t="shared" si="118"/>
        <v>29.386855706139229</v>
      </c>
      <c r="EW5" s="10">
        <f t="shared" si="119"/>
        <v>1.4737640775395802</v>
      </c>
      <c r="EX5" s="10">
        <f t="shared" si="120"/>
        <v>25.96281049932227</v>
      </c>
      <c r="EY5" s="539">
        <f t="shared" si="121"/>
        <v>517.69844135648611</v>
      </c>
      <c r="EZ5" s="19">
        <f t="shared" si="122"/>
        <v>31.155372599186727</v>
      </c>
      <c r="FA5" s="10">
        <f t="shared" si="123"/>
        <v>1.5624559979531958</v>
      </c>
      <c r="FB5" s="10">
        <f t="shared" si="124"/>
        <v>27.525266497275467</v>
      </c>
      <c r="FC5" s="539">
        <f t="shared" si="125"/>
        <v>548.85381395567288</v>
      </c>
      <c r="FD5" s="19">
        <f t="shared" si="126"/>
        <v>33.030319796730566</v>
      </c>
      <c r="FE5" s="10">
        <f t="shared" si="127"/>
        <v>1.6564854461750533</v>
      </c>
      <c r="FF5" s="10">
        <f t="shared" si="128"/>
        <v>29.181751943450521</v>
      </c>
      <c r="FG5" s="539">
        <f t="shared" si="129"/>
        <v>581.88413375240339</v>
      </c>
      <c r="FH5" s="19">
        <f t="shared" si="130"/>
        <v>35.018102332140629</v>
      </c>
      <c r="FI5" s="10">
        <f t="shared" si="131"/>
        <v>1.75617363751959</v>
      </c>
      <c r="FJ5" s="10">
        <f t="shared" si="132"/>
        <v>30.937925580970113</v>
      </c>
      <c r="FK5" s="539">
        <f t="shared" si="133"/>
        <v>616.90223608454414</v>
      </c>
      <c r="FL5" s="19">
        <f t="shared" si="134"/>
        <v>37.125510697164138</v>
      </c>
      <c r="FM5" s="10">
        <f t="shared" si="135"/>
        <v>1.8618611182128453</v>
      </c>
      <c r="FN5" s="10">
        <f t="shared" si="136"/>
        <v>32.79978669918296</v>
      </c>
      <c r="FO5" s="539">
        <f t="shared" si="137"/>
        <v>654.02774678170829</v>
      </c>
      <c r="FP5" s="19">
        <f t="shared" si="138"/>
        <v>39.35974403901956</v>
      </c>
      <c r="FQ5" s="10">
        <f t="shared" si="139"/>
        <v>1.9739089287371894</v>
      </c>
      <c r="FR5" s="10">
        <f t="shared" si="140"/>
        <v>34.773695627920148</v>
      </c>
      <c r="FS5" s="539">
        <f t="shared" si="141"/>
        <v>693.38749082072775</v>
      </c>
      <c r="FT5" s="19">
        <f t="shared" si="142"/>
        <v>41.728434753504182</v>
      </c>
      <c r="FU5" s="10">
        <f t="shared" si="143"/>
        <v>2.0926998371867693</v>
      </c>
      <c r="FV5" s="10">
        <f t="shared" si="144"/>
        <v>36.866395465106919</v>
      </c>
      <c r="FW5" s="539">
        <f t="shared" si="145"/>
        <v>735.11592557423205</v>
      </c>
      <c r="FX5" s="19">
        <f t="shared" si="146"/>
        <v>44.239674558128307</v>
      </c>
      <c r="FY5" s="10">
        <f t="shared" si="147"/>
        <v>2.218639646846956</v>
      </c>
      <c r="FZ5" s="10">
        <f t="shared" si="148"/>
        <v>39.085035111953871</v>
      </c>
      <c r="GA5" s="539">
        <f t="shared" si="149"/>
        <v>779.35560013236022</v>
      </c>
      <c r="GB5" s="19">
        <f t="shared" si="150"/>
        <v>46.902042134344654</v>
      </c>
      <c r="GC5" s="10">
        <f t="shared" si="151"/>
        <v>2.3521585824646265</v>
      </c>
      <c r="GD5" s="10">
        <f t="shared" si="152"/>
        <v>41.437193694418497</v>
      </c>
      <c r="GE5" s="539">
        <f t="shared" si="153"/>
        <v>826.25764226670492</v>
      </c>
      <c r="GF5" s="19">
        <f t="shared" si="154"/>
        <v>49.724632433302205</v>
      </c>
      <c r="GG5" s="10">
        <f t="shared" si="155"/>
        <v>2.4937127599449447</v>
      </c>
      <c r="GH5" s="10">
        <f t="shared" si="156"/>
        <v>43.930906454363438</v>
      </c>
      <c r="GI5" s="539">
        <f t="shared" si="157"/>
        <v>875.982274700007</v>
      </c>
      <c r="GJ5" s="19">
        <f t="shared" si="158"/>
        <v>52.717087745236135</v>
      </c>
      <c r="GK5" s="10">
        <f t="shared" si="159"/>
        <v>2.6437857444952924</v>
      </c>
      <c r="GL5" s="10">
        <f t="shared" si="160"/>
        <v>46.574692198858727</v>
      </c>
      <c r="GM5" s="539">
        <f t="shared" si="161"/>
        <v>928.69936244524308</v>
      </c>
      <c r="GN5" s="19">
        <f t="shared" si="162"/>
        <v>55.889630638630479</v>
      </c>
      <c r="GO5" s="10">
        <f t="shared" si="163"/>
        <v>2.8028902025391411</v>
      </c>
      <c r="GP5" s="10">
        <f t="shared" si="164"/>
        <v>49.377582401397866</v>
      </c>
      <c r="GQ5" s="539">
        <f t="shared" si="165"/>
        <v>984.58899308387356</v>
      </c>
      <c r="GR5" s="19">
        <f t="shared" si="166"/>
        <v>59.253098881677445</v>
      </c>
      <c r="GS5" s="10">
        <f t="shared" si="167"/>
        <v>2.9715696530430011</v>
      </c>
      <c r="GT5" s="10">
        <f t="shared" si="168"/>
        <v>52.349152054440864</v>
      </c>
      <c r="GU5" s="539">
        <f t="shared" si="169"/>
        <v>1043.8420919655509</v>
      </c>
      <c r="GV5" s="19">
        <f t="shared" si="170"/>
        <v>62.81898246532905</v>
      </c>
      <c r="GW5" s="10">
        <f t="shared" si="171"/>
        <v>3.1504003242391696</v>
      </c>
      <c r="GX5" s="10">
        <f t="shared" si="172"/>
        <v>55.499552378680036</v>
      </c>
      <c r="GY5" s="539">
        <f t="shared" si="173"/>
        <v>1106.66107443088</v>
      </c>
      <c r="GZ5" s="19">
        <f t="shared" si="174"/>
        <v>66.599462854416046</v>
      </c>
      <c r="HA5" s="10">
        <f t="shared" si="175"/>
        <v>3.3399931220870633</v>
      </c>
      <c r="HB5" s="10">
        <f t="shared" si="176"/>
        <v>58.839545500767102</v>
      </c>
      <c r="HC5" s="539">
        <f t="shared" si="177"/>
        <v>1173.2605372852961</v>
      </c>
      <c r="HD5" s="19">
        <f t="shared" si="178"/>
        <v>70.607454600920533</v>
      </c>
      <c r="HE5" s="10">
        <f t="shared" si="179"/>
        <v>3.5409957171976192</v>
      </c>
      <c r="HF5" s="10">
        <f t="shared" si="180"/>
        <v>62.380541217964719</v>
      </c>
      <c r="HG5" s="539">
        <f t="shared" si="181"/>
        <v>1243.8679918862165</v>
      </c>
      <c r="HH5" s="19">
        <f t="shared" si="182"/>
        <v>74.85664946155768</v>
      </c>
      <c r="HI5" s="10">
        <f t="shared" si="183"/>
        <v>3.7540947573499337</v>
      </c>
      <c r="HJ5" s="10">
        <f t="shared" si="184"/>
        <v>66.134635975314652</v>
      </c>
      <c r="HK5" s="539">
        <f t="shared" si="185"/>
        <v>1318.7246413477742</v>
      </c>
      <c r="HL5" s="19">
        <f t="shared" si="186"/>
        <v>79.361563170377593</v>
      </c>
      <c r="HM5" s="10">
        <f t="shared" si="187"/>
        <v>3.9800182131583544</v>
      </c>
      <c r="HN5" s="10">
        <f t="shared" si="188"/>
        <v>70.114654188473011</v>
      </c>
      <c r="HO5" s="539">
        <f t="shared" si="189"/>
        <v>1398.086204518152</v>
      </c>
      <c r="HP5" s="19">
        <f t="shared" si="190"/>
        <v>84.137585026167628</v>
      </c>
      <c r="HQ5" s="10">
        <f t="shared" si="191"/>
        <v>4.2195378649030904</v>
      </c>
      <c r="HR5" s="10">
        <f t="shared" si="192"/>
        <v>74.3341920533761</v>
      </c>
      <c r="HS5" s="539">
        <f t="shared" si="193"/>
        <v>1482.2237895443195</v>
      </c>
      <c r="HT5" s="19">
        <f t="shared" si="194"/>
        <v>89.201030464051328</v>
      </c>
      <c r="HU5" s="10">
        <f t="shared" si="195"/>
        <v>4.4734719390196247</v>
      </c>
      <c r="HV5" s="10">
        <f t="shared" si="196"/>
        <v>78.807663992395732</v>
      </c>
      <c r="HW5" s="539">
        <f t="shared" si="197"/>
        <v>1571.4248200083709</v>
      </c>
      <c r="HX5" s="19">
        <f t="shared" si="198"/>
        <v>94.569196790874898</v>
      </c>
      <c r="HY5" s="10">
        <f t="shared" si="199"/>
        <v>4.742687903253505</v>
      </c>
      <c r="HZ5" s="10">
        <f t="shared" si="200"/>
        <v>83.550351895649243</v>
      </c>
      <c r="IA5" s="539">
        <f t="shared" si="201"/>
        <v>1665.9940167992461</v>
      </c>
      <c r="IB5" s="19">
        <f t="shared" si="202"/>
        <v>100.2604222747791</v>
      </c>
      <c r="IF5" s="224"/>
      <c r="IL5" s="420" t="s">
        <v>2014</v>
      </c>
      <c r="IP5" s="236"/>
      <c r="IY5"/>
    </row>
    <row r="6" spans="1:263">
      <c r="B6" s="25"/>
      <c r="C6" s="826" t="s">
        <v>2342</v>
      </c>
      <c r="D6" s="47" t="s">
        <v>254</v>
      </c>
      <c r="E6" s="396">
        <f t="shared" si="0"/>
        <v>29.283200000000001</v>
      </c>
      <c r="F6" s="242">
        <f>15.21+0.0732</f>
        <v>15.283200000000001</v>
      </c>
      <c r="G6" s="48">
        <f>'Update Stock Prices'!S6</f>
        <v>36928704.566635601</v>
      </c>
      <c r="H6" s="991">
        <f t="shared" si="27"/>
        <v>4.1385692185390353E-7</v>
      </c>
      <c r="I6" s="49">
        <f>'Update Stock Prices'!D6</f>
        <v>21.46</v>
      </c>
      <c r="J6" s="49">
        <f t="shared" si="1"/>
        <v>327.97747200000003</v>
      </c>
      <c r="K6" s="30">
        <v>464.51</v>
      </c>
      <c r="L6" s="49">
        <f t="shared" si="28"/>
        <v>-136.53252799999996</v>
      </c>
      <c r="M6" s="50">
        <f t="shared" si="29"/>
        <v>-0.29392807043981822</v>
      </c>
      <c r="N6" s="49">
        <f t="shared" si="30"/>
        <v>30.393503978224455</v>
      </c>
      <c r="O6" s="48">
        <f t="shared" si="2"/>
        <v>14</v>
      </c>
      <c r="P6" s="49">
        <f>IF(($B$11-$B$12)-(O6*I6)&lt;0,0,($B$11-$B$12)-(O6*I6))</f>
        <v>20.569999999999993</v>
      </c>
      <c r="Q6" s="30">
        <f>0.19*12</f>
        <v>2.2800000000000002</v>
      </c>
      <c r="R6" s="49">
        <f t="shared" ref="R6:R140" si="242">S6/365.25</f>
        <v>9.5402316221765926E-2</v>
      </c>
      <c r="S6" s="49">
        <f t="shared" si="4"/>
        <v>34.845696000000004</v>
      </c>
      <c r="T6" s="49">
        <f t="shared" si="31"/>
        <v>2.9038080000000002</v>
      </c>
      <c r="U6" s="49" t="s">
        <v>56</v>
      </c>
      <c r="V6" s="50">
        <f t="shared" si="6"/>
        <v>0.10624417520969245</v>
      </c>
      <c r="W6" s="50">
        <f t="shared" si="7"/>
        <v>7.5016029794837583E-2</v>
      </c>
      <c r="X6" s="49">
        <f>12*((E6*Q6)/12-T6)</f>
        <v>31.920000000000009</v>
      </c>
      <c r="Y6" s="49">
        <f>IF(U6="Q",3*T6,IF(U6="Y",12*T6,IF(U6="B",6*T6,IF(U6="M",T6,0))))</f>
        <v>2.9038080000000002</v>
      </c>
      <c r="Z6" s="860">
        <f>IF(Y6/I6&gt;1,1,0)</f>
        <v>0</v>
      </c>
      <c r="AA6" s="860">
        <f>IF(Z6=1,"",IF(AND(U6&lt;&gt;"",Z6=0),I6/(Y6/F6)-F6,""))</f>
        <v>97.664168421052636</v>
      </c>
      <c r="AB6" s="49">
        <f>IF(AA6&lt;&gt;"",AA6*I6,"")</f>
        <v>2095.8730543157899</v>
      </c>
      <c r="AC6" s="48">
        <v>1</v>
      </c>
      <c r="AD6" s="47" t="str">
        <f t="shared" si="12"/>
        <v>ARR</v>
      </c>
      <c r="AE6" s="49">
        <f t="shared" si="13"/>
        <v>327.97747200000003</v>
      </c>
      <c r="AF6" s="50" t="e">
        <f t="shared" si="14"/>
        <v>#REF!</v>
      </c>
      <c r="AG6" s="890" t="e">
        <f t="shared" si="15"/>
        <v>#REF!</v>
      </c>
      <c r="AH6" s="207" t="s">
        <v>317</v>
      </c>
      <c r="AI6" s="240">
        <f t="shared" si="16"/>
        <v>0.24419477122211669</v>
      </c>
      <c r="AJ6" s="11">
        <f t="shared" si="33"/>
        <v>3</v>
      </c>
      <c r="AK6" s="11"/>
      <c r="AL6" s="11"/>
      <c r="AM6" s="11"/>
      <c r="AN6" s="11"/>
      <c r="AO6" s="11"/>
      <c r="AP6" s="11"/>
      <c r="AQ6" s="11" t="str">
        <f>'Update Stock Prices'!Q6</f>
        <v>small</v>
      </c>
      <c r="AR6" s="11">
        <v>1</v>
      </c>
      <c r="AS6" s="11"/>
      <c r="AT6" s="176" t="s">
        <v>67</v>
      </c>
      <c r="AU6" s="420"/>
      <c r="AV6" s="420"/>
      <c r="AW6" s="420" t="s">
        <v>3</v>
      </c>
      <c r="AX6" s="395">
        <v>950.05460000000005</v>
      </c>
      <c r="AY6" s="31">
        <f>TSPHistory!$E$3</f>
        <v>25.458300000000001</v>
      </c>
      <c r="AZ6" s="19">
        <f>AX6*AY6</f>
        <v>24186.775023180002</v>
      </c>
      <c r="BA6" s="15">
        <f>AZ6/$AZ$8</f>
        <v>0.1661040524850004</v>
      </c>
      <c r="BB6" s="939">
        <v>0.2</v>
      </c>
      <c r="BC6" s="15">
        <f>BA6-BB6</f>
        <v>-3.3895947514999608E-2</v>
      </c>
      <c r="BD6" s="932"/>
      <c r="BE6" s="593">
        <f t="shared" si="17"/>
        <v>0</v>
      </c>
      <c r="BF6" s="725">
        <f t="shared" si="221"/>
        <v>202781.42393012703</v>
      </c>
      <c r="BG6" s="420" t="str">
        <f t="shared" ca="1" si="18"/>
        <v/>
      </c>
      <c r="BH6" s="593">
        <f t="shared" ca="1" si="34"/>
        <v>7</v>
      </c>
      <c r="BI6" s="420">
        <f t="shared" ca="1" si="35"/>
        <v>41</v>
      </c>
      <c r="BJ6" s="420">
        <f t="shared" ca="1" si="35"/>
        <v>47</v>
      </c>
      <c r="BK6" s="420">
        <f t="shared" ca="1" si="36"/>
        <v>2021</v>
      </c>
      <c r="BL6" s="420" t="s">
        <v>1013</v>
      </c>
      <c r="BM6" s="19">
        <f t="shared" si="19"/>
        <v>280434.82235601271</v>
      </c>
      <c r="BN6" s="19">
        <f>CM149</f>
        <v>77653.398425885694</v>
      </c>
      <c r="BO6" s="19">
        <f>CN149</f>
        <v>3249.268164826839</v>
      </c>
      <c r="BP6" s="183">
        <f t="shared" si="20"/>
        <v>4.1843219108150434E-2</v>
      </c>
      <c r="BQ6" s="19">
        <f t="shared" si="21"/>
        <v>270.77234706890323</v>
      </c>
      <c r="BS6" s="420" t="str">
        <f t="shared" si="37"/>
        <v>ARR</v>
      </c>
      <c r="BT6" s="425">
        <f t="shared" si="38"/>
        <v>15.283200000000001</v>
      </c>
      <c r="BU6" s="19">
        <f t="shared" si="39"/>
        <v>21.46</v>
      </c>
      <c r="BV6" s="19">
        <f t="shared" si="40"/>
        <v>327.97747200000003</v>
      </c>
      <c r="BW6" s="539">
        <f t="shared" si="41"/>
        <v>2.2800000000000002</v>
      </c>
      <c r="BX6" s="19">
        <f t="shared" si="42"/>
        <v>34.845696000000004</v>
      </c>
      <c r="BY6" s="10">
        <f t="shared" si="43"/>
        <v>1.6237509785647717</v>
      </c>
      <c r="BZ6" s="10">
        <f t="shared" si="44"/>
        <v>16.906950978564772</v>
      </c>
      <c r="CA6" s="539">
        <f t="shared" si="45"/>
        <v>362.82316800000001</v>
      </c>
      <c r="CB6" s="19">
        <f t="shared" si="46"/>
        <v>38.547848231127688</v>
      </c>
      <c r="CC6" s="10">
        <f t="shared" si="47"/>
        <v>1.7962650620283171</v>
      </c>
      <c r="CD6" s="10">
        <f t="shared" si="48"/>
        <v>18.703216040593091</v>
      </c>
      <c r="CE6" s="539">
        <f t="shared" si="49"/>
        <v>401.37101623112773</v>
      </c>
      <c r="CF6" s="19">
        <f t="shared" si="50"/>
        <v>42.643332572552254</v>
      </c>
      <c r="CG6" s="10">
        <f t="shared" si="51"/>
        <v>1.987107762001503</v>
      </c>
      <c r="CH6" s="10">
        <f t="shared" si="52"/>
        <v>20.690323802594595</v>
      </c>
      <c r="CI6" s="539">
        <f t="shared" si="53"/>
        <v>444.01434880368004</v>
      </c>
      <c r="CJ6" s="19">
        <f t="shared" si="54"/>
        <v>47.173938269915681</v>
      </c>
      <c r="CK6" s="10">
        <f t="shared" si="55"/>
        <v>2.1982263872281305</v>
      </c>
      <c r="CL6" s="10">
        <f t="shared" si="56"/>
        <v>22.888550189822723</v>
      </c>
      <c r="CM6" s="539">
        <f t="shared" si="57"/>
        <v>491.18828707359569</v>
      </c>
      <c r="CN6" s="19">
        <f t="shared" si="58"/>
        <v>52.185894432795813</v>
      </c>
      <c r="CO6" s="10">
        <f t="shared" si="59"/>
        <v>2.4317751366633651</v>
      </c>
      <c r="CP6" s="10">
        <f t="shared" si="60"/>
        <v>25.320325326486088</v>
      </c>
      <c r="CQ6" s="539">
        <f t="shared" si="61"/>
        <v>543.37418150639144</v>
      </c>
      <c r="CR6" s="19">
        <f t="shared" si="62"/>
        <v>57.730341744388291</v>
      </c>
      <c r="CS6" s="10">
        <f t="shared" si="63"/>
        <v>2.6901370803536016</v>
      </c>
      <c r="CT6" s="10">
        <f t="shared" si="64"/>
        <v>28.010462406839689</v>
      </c>
      <c r="CU6" s="539">
        <f t="shared" si="65"/>
        <v>601.10452325077972</v>
      </c>
      <c r="CV6" s="19">
        <f t="shared" si="66"/>
        <v>63.863854287594499</v>
      </c>
      <c r="CW6" s="10">
        <f t="shared" si="67"/>
        <v>2.97594847565678</v>
      </c>
      <c r="CX6" s="10">
        <f t="shared" si="68"/>
        <v>30.986410882496468</v>
      </c>
      <c r="CY6" s="539">
        <f t="shared" si="69"/>
        <v>664.96837753837428</v>
      </c>
      <c r="CZ6" s="19">
        <f t="shared" si="70"/>
        <v>70.649016812091958</v>
      </c>
      <c r="DA6" s="10">
        <f t="shared" si="71"/>
        <v>3.2921256669194761</v>
      </c>
      <c r="DB6" s="10">
        <f t="shared" si="72"/>
        <v>34.278536549415946</v>
      </c>
      <c r="DC6" s="539">
        <f t="shared" si="73"/>
        <v>735.61739435046627</v>
      </c>
      <c r="DD6" s="19">
        <f t="shared" si="74"/>
        <v>78.155063332668362</v>
      </c>
      <c r="DE6" s="10">
        <f t="shared" si="75"/>
        <v>3.6418948430879943</v>
      </c>
      <c r="DF6" s="10">
        <f t="shared" si="76"/>
        <v>37.920431392503943</v>
      </c>
      <c r="DG6" s="539">
        <f t="shared" si="77"/>
        <v>813.77245768313469</v>
      </c>
      <c r="DH6" s="19">
        <f t="shared" si="78"/>
        <v>86.458583574908999</v>
      </c>
      <c r="DI6" s="10">
        <f t="shared" si="79"/>
        <v>4.0288249568923113</v>
      </c>
      <c r="DJ6" s="10">
        <f t="shared" si="80"/>
        <v>41.949256349396251</v>
      </c>
      <c r="DK6" s="539">
        <f t="shared" si="81"/>
        <v>900.23104125804355</v>
      </c>
      <c r="DL6" s="19">
        <f t="shared" si="82"/>
        <v>95.644304476623461</v>
      </c>
      <c r="DM6" s="10">
        <f t="shared" si="83"/>
        <v>4.4568641415015593</v>
      </c>
      <c r="DN6" s="10">
        <f t="shared" si="84"/>
        <v>46.406120490897813</v>
      </c>
      <c r="DO6" s="539">
        <f t="shared" si="85"/>
        <v>995.87534573466712</v>
      </c>
      <c r="DP6" s="19">
        <f t="shared" si="86"/>
        <v>105.80595471924703</v>
      </c>
      <c r="DQ6" s="10">
        <f t="shared" si="87"/>
        <v>4.9303799962370469</v>
      </c>
      <c r="DR6" s="10">
        <f t="shared" si="88"/>
        <v>51.336500487134856</v>
      </c>
      <c r="DS6" s="539">
        <f t="shared" si="89"/>
        <v>1101.681300453914</v>
      </c>
      <c r="DT6" s="19">
        <f t="shared" si="90"/>
        <v>117.04722111066748</v>
      </c>
      <c r="DU6" s="10">
        <f t="shared" si="91"/>
        <v>5.4542041524076179</v>
      </c>
      <c r="DV6" s="10">
        <f t="shared" si="92"/>
        <v>56.790704639542476</v>
      </c>
      <c r="DW6" s="539">
        <f t="shared" si="93"/>
        <v>1218.7285215645816</v>
      </c>
      <c r="DX6" s="19">
        <f t="shared" si="94"/>
        <v>129.48280657815687</v>
      </c>
      <c r="DY6" s="10">
        <f t="shared" si="95"/>
        <v>6.0336815740054455</v>
      </c>
      <c r="DZ6" s="10">
        <f t="shared" si="96"/>
        <v>62.824386213547925</v>
      </c>
      <c r="EA6" s="539">
        <f t="shared" si="97"/>
        <v>1348.2113281427385</v>
      </c>
      <c r="EB6" s="19">
        <f t="shared" si="98"/>
        <v>143.23960056688929</v>
      </c>
      <c r="EC6" s="10">
        <f t="shared" si="99"/>
        <v>6.6747250963135736</v>
      </c>
      <c r="ED6" s="10">
        <f t="shared" si="100"/>
        <v>69.499111309861505</v>
      </c>
      <c r="EE6" s="539">
        <f t="shared" si="101"/>
        <v>1491.450928709628</v>
      </c>
      <c r="EF6" s="19">
        <f t="shared" si="102"/>
        <v>158.45797378648425</v>
      </c>
      <c r="EG6" s="10">
        <f t="shared" si="103"/>
        <v>7.3838757589228443</v>
      </c>
      <c r="EH6" s="10">
        <f t="shared" si="104"/>
        <v>76.882987068784345</v>
      </c>
      <c r="EI6" s="539">
        <f t="shared" si="105"/>
        <v>1649.9089024961122</v>
      </c>
      <c r="EJ6" s="19">
        <f t="shared" si="106"/>
        <v>175.29321051682834</v>
      </c>
      <c r="EK6" s="10">
        <f t="shared" si="107"/>
        <v>8.1683695487804435</v>
      </c>
      <c r="EL6" s="10">
        <f t="shared" si="108"/>
        <v>85.051356617564792</v>
      </c>
      <c r="EM6" s="539">
        <f t="shared" si="109"/>
        <v>1825.2021130129406</v>
      </c>
      <c r="EN6" s="19">
        <f t="shared" si="110"/>
        <v>193.91709308804775</v>
      </c>
      <c r="EO6" s="10">
        <f t="shared" si="111"/>
        <v>9.0362112342985892</v>
      </c>
      <c r="EP6" s="10">
        <f t="shared" si="112"/>
        <v>94.087567851863383</v>
      </c>
      <c r="EQ6" s="539">
        <f t="shared" si="113"/>
        <v>2019.1192061009883</v>
      </c>
      <c r="ER6" s="19">
        <f t="shared" si="114"/>
        <v>214.51965470224854</v>
      </c>
      <c r="ES6" s="10">
        <f t="shared" si="115"/>
        <v>9.9962560439072004</v>
      </c>
      <c r="ET6" s="10">
        <f t="shared" si="116"/>
        <v>104.08382389577058</v>
      </c>
      <c r="EU6" s="539">
        <f t="shared" si="117"/>
        <v>2233.6388608032366</v>
      </c>
      <c r="EV6" s="19">
        <f t="shared" si="118"/>
        <v>237.31111848235693</v>
      </c>
      <c r="EW6" s="10">
        <f t="shared" si="119"/>
        <v>11.058300022477024</v>
      </c>
      <c r="EX6" s="10">
        <f t="shared" si="120"/>
        <v>115.14212391824761</v>
      </c>
      <c r="EY6" s="539">
        <f t="shared" si="121"/>
        <v>2470.9499792855936</v>
      </c>
      <c r="EZ6" s="19">
        <f t="shared" si="122"/>
        <v>262.52404253360459</v>
      </c>
      <c r="FA6" s="10">
        <f t="shared" si="123"/>
        <v>12.23317998758642</v>
      </c>
      <c r="FB6" s="10">
        <f t="shared" si="124"/>
        <v>127.37530390583403</v>
      </c>
      <c r="FC6" s="539">
        <f t="shared" si="125"/>
        <v>2733.4740218191982</v>
      </c>
      <c r="FD6" s="19">
        <f t="shared" si="126"/>
        <v>290.41569290530163</v>
      </c>
      <c r="FE6" s="10">
        <f t="shared" si="127"/>
        <v>13.532884105559255</v>
      </c>
      <c r="FF6" s="10">
        <f t="shared" si="128"/>
        <v>140.90818801139329</v>
      </c>
      <c r="FG6" s="539">
        <f t="shared" si="129"/>
        <v>3023.8897147245002</v>
      </c>
      <c r="FH6" s="19">
        <f t="shared" si="130"/>
        <v>321.27066866597676</v>
      </c>
      <c r="FI6" s="10">
        <f t="shared" si="131"/>
        <v>14.970674215562756</v>
      </c>
      <c r="FJ6" s="10">
        <f t="shared" si="132"/>
        <v>155.87886222695604</v>
      </c>
      <c r="FK6" s="539">
        <f t="shared" si="133"/>
        <v>3345.1603833904769</v>
      </c>
      <c r="FL6" s="19">
        <f t="shared" si="134"/>
        <v>355.40380587745983</v>
      </c>
      <c r="FM6" s="10">
        <f t="shared" si="135"/>
        <v>16.56122114992823</v>
      </c>
      <c r="FN6" s="10">
        <f t="shared" si="136"/>
        <v>172.44008337688427</v>
      </c>
      <c r="FO6" s="539">
        <f t="shared" si="137"/>
        <v>3700.5641892679369</v>
      </c>
      <c r="FP6" s="19">
        <f t="shared" si="138"/>
        <v>393.16339009929618</v>
      </c>
      <c r="FQ6" s="10">
        <f t="shared" si="139"/>
        <v>18.32075443146767</v>
      </c>
      <c r="FR6" s="10">
        <f t="shared" si="140"/>
        <v>190.76083780835194</v>
      </c>
      <c r="FS6" s="539">
        <f t="shared" si="141"/>
        <v>4093.7275793672329</v>
      </c>
      <c r="FT6" s="19">
        <f t="shared" si="142"/>
        <v>434.93471020304247</v>
      </c>
      <c r="FU6" s="10">
        <f t="shared" si="143"/>
        <v>20.267227875258268</v>
      </c>
      <c r="FV6" s="10">
        <f t="shared" si="144"/>
        <v>211.02806568361021</v>
      </c>
      <c r="FW6" s="539">
        <f t="shared" si="145"/>
        <v>4528.6622895702749</v>
      </c>
      <c r="FX6" s="19">
        <f t="shared" si="146"/>
        <v>481.14398975863134</v>
      </c>
      <c r="FY6" s="10">
        <f t="shared" si="147"/>
        <v>22.420502784651973</v>
      </c>
      <c r="FZ6" s="10">
        <f t="shared" si="148"/>
        <v>233.44856846826218</v>
      </c>
      <c r="GA6" s="539">
        <f t="shared" si="149"/>
        <v>5009.8062793289064</v>
      </c>
      <c r="GB6" s="19">
        <f t="shared" si="150"/>
        <v>532.26273610763781</v>
      </c>
      <c r="GC6" s="10">
        <f t="shared" si="151"/>
        <v>24.802550610793933</v>
      </c>
      <c r="GD6" s="10">
        <f t="shared" si="152"/>
        <v>258.25111907905614</v>
      </c>
      <c r="GE6" s="539">
        <f t="shared" si="153"/>
        <v>5542.0690154365448</v>
      </c>
      <c r="GF6" s="19">
        <f t="shared" si="154"/>
        <v>588.81255150024811</v>
      </c>
      <c r="GG6" s="10">
        <f t="shared" si="155"/>
        <v>27.437677143534394</v>
      </c>
      <c r="GH6" s="10">
        <f t="shared" si="156"/>
        <v>285.68879622259055</v>
      </c>
      <c r="GI6" s="539">
        <f t="shared" si="157"/>
        <v>6130.8815669367932</v>
      </c>
      <c r="GJ6" s="19">
        <f t="shared" si="158"/>
        <v>651.37045538750658</v>
      </c>
      <c r="GK6" s="10">
        <f t="shared" si="159"/>
        <v>30.352770521319037</v>
      </c>
      <c r="GL6" s="10">
        <f t="shared" si="160"/>
        <v>316.04156674390958</v>
      </c>
      <c r="GM6" s="539">
        <f t="shared" si="161"/>
        <v>6782.2520223243</v>
      </c>
      <c r="GN6" s="19">
        <f t="shared" si="162"/>
        <v>720.57477217611392</v>
      </c>
      <c r="GO6" s="10">
        <f t="shared" si="163"/>
        <v>33.57757559068564</v>
      </c>
      <c r="GP6" s="10">
        <f t="shared" si="164"/>
        <v>349.61914233459521</v>
      </c>
      <c r="GQ6" s="539">
        <f t="shared" si="165"/>
        <v>7502.8267945004136</v>
      </c>
      <c r="GR6" s="19">
        <f t="shared" si="166"/>
        <v>797.1316445228772</v>
      </c>
      <c r="GS6" s="10">
        <f t="shared" si="167"/>
        <v>37.144997414859141</v>
      </c>
      <c r="GT6" s="10">
        <f t="shared" si="168"/>
        <v>386.76413974945433</v>
      </c>
      <c r="GU6" s="539">
        <f t="shared" si="169"/>
        <v>8299.9584390232903</v>
      </c>
      <c r="GV6" s="19">
        <f t="shared" si="170"/>
        <v>881.82223862875594</v>
      </c>
      <c r="GW6" s="10">
        <f t="shared" si="171"/>
        <v>41.091437028367004</v>
      </c>
      <c r="GX6" s="10">
        <f t="shared" si="172"/>
        <v>427.85557677782134</v>
      </c>
      <c r="GY6" s="539">
        <f t="shared" si="173"/>
        <v>9181.7806776520465</v>
      </c>
      <c r="GZ6" s="19">
        <f t="shared" si="174"/>
        <v>975.51071505343282</v>
      </c>
      <c r="HA6" s="10">
        <f t="shared" si="175"/>
        <v>45.457162863626877</v>
      </c>
      <c r="HB6" s="10">
        <f t="shared" si="176"/>
        <v>473.31273964144822</v>
      </c>
      <c r="HC6" s="539">
        <f t="shared" si="177"/>
        <v>10157.29139270548</v>
      </c>
      <c r="HD6" s="19">
        <f t="shared" si="178"/>
        <v>1079.153046382502</v>
      </c>
      <c r="HE6" s="10">
        <f t="shared" si="179"/>
        <v>50.286721639445574</v>
      </c>
      <c r="HF6" s="10">
        <f t="shared" si="180"/>
        <v>523.59946128089382</v>
      </c>
      <c r="HG6" s="539">
        <f t="shared" si="181"/>
        <v>11236.444439087982</v>
      </c>
      <c r="HH6" s="19">
        <f t="shared" si="182"/>
        <v>1193.8067717204381</v>
      </c>
      <c r="HI6" s="10">
        <f t="shared" si="183"/>
        <v>55.629392904027867</v>
      </c>
      <c r="HJ6" s="10">
        <f t="shared" si="184"/>
        <v>579.22885418492172</v>
      </c>
      <c r="HK6" s="539">
        <f t="shared" si="185"/>
        <v>12430.251210808421</v>
      </c>
      <c r="HL6" s="19">
        <f t="shared" si="186"/>
        <v>1320.6417875416216</v>
      </c>
      <c r="HM6" s="10">
        <f t="shared" si="187"/>
        <v>61.539691870532224</v>
      </c>
      <c r="HN6" s="10">
        <f t="shared" si="188"/>
        <v>640.76854605545395</v>
      </c>
      <c r="HO6" s="539">
        <f t="shared" si="189"/>
        <v>13750.892998350042</v>
      </c>
      <c r="HP6" s="19">
        <f t="shared" si="190"/>
        <v>1460.9522850064352</v>
      </c>
      <c r="HQ6" s="10">
        <f t="shared" si="191"/>
        <v>68.07792567597555</v>
      </c>
      <c r="HR6" s="10">
        <f t="shared" si="192"/>
        <v>708.84647173142946</v>
      </c>
      <c r="HS6" s="539">
        <f t="shared" si="193"/>
        <v>15211.845283356477</v>
      </c>
      <c r="HT6" s="19">
        <f t="shared" si="194"/>
        <v>1616.1699555476594</v>
      </c>
      <c r="HU6" s="10">
        <f t="shared" si="195"/>
        <v>75.310808739406298</v>
      </c>
      <c r="HV6" s="10">
        <f t="shared" si="196"/>
        <v>784.15728047083576</v>
      </c>
      <c r="HW6" s="539">
        <f t="shared" si="197"/>
        <v>16828.015238904136</v>
      </c>
      <c r="HX6" s="19">
        <f t="shared" si="198"/>
        <v>1787.8785994735058</v>
      </c>
      <c r="HY6" s="10">
        <f t="shared" si="199"/>
        <v>83.312143498299434</v>
      </c>
      <c r="HZ6" s="10">
        <f t="shared" si="200"/>
        <v>867.46942396913516</v>
      </c>
      <c r="IA6" s="539">
        <f t="shared" si="201"/>
        <v>18615.89383837764</v>
      </c>
      <c r="IB6" s="19">
        <f t="shared" si="202"/>
        <v>1977.8302866496283</v>
      </c>
      <c r="IF6" s="659" t="s">
        <v>2509</v>
      </c>
      <c r="IG6" s="1370" t="s">
        <v>2510</v>
      </c>
      <c r="IH6" s="1370" t="s">
        <v>1306</v>
      </c>
      <c r="II6" s="1370" t="s">
        <v>1307</v>
      </c>
      <c r="IJ6" s="1370" t="s">
        <v>1308</v>
      </c>
      <c r="IK6" s="1370" t="s">
        <v>1309</v>
      </c>
      <c r="IL6" s="1370" t="s">
        <v>1310</v>
      </c>
      <c r="IM6" s="1370" t="s">
        <v>1390</v>
      </c>
      <c r="IN6" s="1370" t="s">
        <v>1396</v>
      </c>
      <c r="IO6" s="664" t="s">
        <v>2698</v>
      </c>
      <c r="IP6" s="592" t="s">
        <v>1311</v>
      </c>
      <c r="IY6"/>
    </row>
    <row r="7" spans="1:263">
      <c r="A7" s="9"/>
      <c r="C7" s="177" t="s">
        <v>2343</v>
      </c>
      <c r="D7" s="47" t="s">
        <v>1200</v>
      </c>
      <c r="E7" s="396">
        <f t="shared" si="0"/>
        <v>11.0509</v>
      </c>
      <c r="F7" s="242">
        <v>1.0508999999999999</v>
      </c>
      <c r="G7" s="48">
        <f>'Update Stock Prices'!S7</f>
        <v>9121739.1304347832</v>
      </c>
      <c r="H7" s="991">
        <f t="shared" si="27"/>
        <v>1.1520829361296471E-7</v>
      </c>
      <c r="I7" s="49">
        <f>'Update Stock Prices'!D7</f>
        <v>31.05</v>
      </c>
      <c r="J7" s="49">
        <f t="shared" si="1"/>
        <v>32.630445000000002</v>
      </c>
      <c r="K7" s="30">
        <v>23.33</v>
      </c>
      <c r="L7" s="49">
        <f t="shared" si="28"/>
        <v>9.3004450000000034</v>
      </c>
      <c r="M7" s="50">
        <f t="shared" si="29"/>
        <v>0.3986474496356624</v>
      </c>
      <c r="N7" s="49">
        <f t="shared" si="30"/>
        <v>22.2000190313065</v>
      </c>
      <c r="O7" s="48">
        <f t="shared" si="2"/>
        <v>10</v>
      </c>
      <c r="P7" s="49">
        <f t="shared" si="3"/>
        <v>10.509999999999991</v>
      </c>
      <c r="Q7" s="30">
        <f>0.2283*4</f>
        <v>0.91320000000000001</v>
      </c>
      <c r="R7" s="49">
        <f t="shared" ref="R7" si="243">S7/365.25</f>
        <v>2.6274657905544147E-3</v>
      </c>
      <c r="S7" s="49">
        <f t="shared" si="4"/>
        <v>0.95968187999999999</v>
      </c>
      <c r="T7" s="49">
        <f t="shared" ref="T7" si="244">S7/12</f>
        <v>7.9973489999999994E-2</v>
      </c>
      <c r="U7" s="49" t="s">
        <v>54</v>
      </c>
      <c r="V7" s="50">
        <f t="shared" si="6"/>
        <v>2.9410628019323672E-2</v>
      </c>
      <c r="W7" s="50">
        <f t="shared" si="7"/>
        <v>4.1135099871410202E-2</v>
      </c>
      <c r="X7" s="49">
        <f t="shared" si="8"/>
        <v>9.1320000000000014</v>
      </c>
      <c r="Y7" s="49">
        <f t="shared" ref="Y7" si="245">IF(U7="Q",3*T7,IF(U7="Y",12*T7,IF(U7="B",6*T7,IF(U7="M",T7,0))))</f>
        <v>0.23992047</v>
      </c>
      <c r="Z7" s="860">
        <f t="shared" si="9"/>
        <v>0</v>
      </c>
      <c r="AA7" s="860">
        <f t="shared" si="10"/>
        <v>134.95435624178711</v>
      </c>
      <c r="AB7" s="49">
        <f t="shared" si="11"/>
        <v>4190.3327613074898</v>
      </c>
      <c r="AC7" s="48">
        <v>1</v>
      </c>
      <c r="AD7" s="47" t="str">
        <f t="shared" si="12"/>
        <v>ARTNA</v>
      </c>
      <c r="AE7" s="49">
        <f t="shared" si="13"/>
        <v>32.630445000000002</v>
      </c>
      <c r="AF7" s="50" t="e">
        <f t="shared" si="14"/>
        <v>#REF!</v>
      </c>
      <c r="AG7" s="890" t="e">
        <f t="shared" si="15"/>
        <v>#REF!</v>
      </c>
      <c r="AH7" s="207" t="s">
        <v>1204</v>
      </c>
      <c r="AI7" s="240">
        <f t="shared" si="16"/>
        <v>2.4170983695509041E-3</v>
      </c>
      <c r="AJ7" s="11">
        <f t="shared" si="33"/>
        <v>5</v>
      </c>
      <c r="AK7" s="11"/>
      <c r="AL7" s="11">
        <v>1</v>
      </c>
      <c r="AM7" s="11"/>
      <c r="AN7" s="11"/>
      <c r="AO7" s="11"/>
      <c r="AP7" s="11"/>
      <c r="AQ7" s="11" t="str">
        <f>'Update Stock Prices'!Q7</f>
        <v>micro</v>
      </c>
      <c r="AR7" s="11"/>
      <c r="AS7" s="11"/>
      <c r="AT7" s="176" t="s">
        <v>118</v>
      </c>
      <c r="AU7" s="420"/>
      <c r="AV7" s="420"/>
      <c r="AW7" s="11"/>
      <c r="AX7" s="9"/>
      <c r="AY7" s="29" t="s">
        <v>304</v>
      </c>
      <c r="AZ7" s="20"/>
      <c r="BA7" s="15"/>
      <c r="BC7" s="420"/>
      <c r="BD7" s="932"/>
      <c r="BE7" s="593">
        <f t="shared" si="17"/>
        <v>0</v>
      </c>
      <c r="BF7" s="725">
        <f t="shared" si="221"/>
        <v>217795.42240872956</v>
      </c>
      <c r="BG7" s="420" t="str">
        <f t="shared" ca="1" si="18"/>
        <v/>
      </c>
      <c r="BH7" s="593">
        <f t="shared" ca="1" si="34"/>
        <v>8</v>
      </c>
      <c r="BI7" s="420">
        <f t="shared" ca="1" si="35"/>
        <v>42</v>
      </c>
      <c r="BJ7" s="420">
        <f t="shared" ca="1" si="35"/>
        <v>48</v>
      </c>
      <c r="BK7" s="420">
        <f t="shared" ca="1" si="36"/>
        <v>2022</v>
      </c>
      <c r="BL7" s="420" t="s">
        <v>1014</v>
      </c>
      <c r="BM7" s="19">
        <f t="shared" si="19"/>
        <v>298698.08899944206</v>
      </c>
      <c r="BN7" s="19">
        <f>CQ149</f>
        <v>80902.666590712528</v>
      </c>
      <c r="BO7" s="19">
        <f>CR149</f>
        <v>3445.7193161211981</v>
      </c>
      <c r="BP7" s="183">
        <f t="shared" si="20"/>
        <v>4.2590923900606759E-2</v>
      </c>
      <c r="BQ7" s="19">
        <f t="shared" si="21"/>
        <v>287.14327634343317</v>
      </c>
      <c r="BS7" s="420" t="str">
        <f t="shared" si="37"/>
        <v>ARTNA</v>
      </c>
      <c r="BT7" s="425">
        <f t="shared" si="38"/>
        <v>1.0508999999999999</v>
      </c>
      <c r="BU7" s="19">
        <f t="shared" si="39"/>
        <v>31.05</v>
      </c>
      <c r="BV7" s="19">
        <f t="shared" si="40"/>
        <v>32.630445000000002</v>
      </c>
      <c r="BW7" s="539">
        <f t="shared" si="41"/>
        <v>0.91320000000000001</v>
      </c>
      <c r="BX7" s="19">
        <f t="shared" si="42"/>
        <v>0.95968187999999999</v>
      </c>
      <c r="BY7" s="10">
        <f t="shared" si="43"/>
        <v>3.0907628985507245E-2</v>
      </c>
      <c r="BZ7" s="10">
        <f t="shared" si="44"/>
        <v>1.0818076289855072</v>
      </c>
      <c r="CA7" s="539">
        <f t="shared" si="45"/>
        <v>33.59012688</v>
      </c>
      <c r="CB7" s="19">
        <f t="shared" si="46"/>
        <v>0.98790672678956515</v>
      </c>
      <c r="CC7" s="10">
        <f t="shared" si="47"/>
        <v>3.1816641764559263E-2</v>
      </c>
      <c r="CD7" s="10">
        <f t="shared" si="48"/>
        <v>1.1136242707500665</v>
      </c>
      <c r="CE7" s="539">
        <f t="shared" si="49"/>
        <v>34.578033606789568</v>
      </c>
      <c r="CF7" s="19">
        <f t="shared" si="50"/>
        <v>1.0169616840489608</v>
      </c>
      <c r="CG7" s="10">
        <f t="shared" si="51"/>
        <v>3.27523891803208E-2</v>
      </c>
      <c r="CH7" s="10">
        <f t="shared" si="52"/>
        <v>1.1463766599303873</v>
      </c>
      <c r="CI7" s="539">
        <f t="shared" si="53"/>
        <v>35.594995290838526</v>
      </c>
      <c r="CJ7" s="19">
        <f t="shared" si="54"/>
        <v>1.0468711658484298</v>
      </c>
      <c r="CK7" s="10">
        <f t="shared" si="55"/>
        <v>3.3715657515247334E-2</v>
      </c>
      <c r="CL7" s="10">
        <f t="shared" si="56"/>
        <v>1.1800923174456346</v>
      </c>
      <c r="CM7" s="539">
        <f t="shared" si="57"/>
        <v>36.641866456686955</v>
      </c>
      <c r="CN7" s="19">
        <f t="shared" si="58"/>
        <v>1.0776603042913535</v>
      </c>
      <c r="CO7" s="10">
        <f t="shared" si="59"/>
        <v>3.4707256176855182E-2</v>
      </c>
      <c r="CP7" s="10">
        <f t="shared" si="60"/>
        <v>1.2147995736224897</v>
      </c>
      <c r="CQ7" s="539">
        <f t="shared" si="61"/>
        <v>37.719526760978304</v>
      </c>
      <c r="CR7" s="19">
        <f t="shared" si="62"/>
        <v>1.1093549706320576</v>
      </c>
      <c r="CS7" s="10">
        <f t="shared" si="63"/>
        <v>3.5728018377844041E-2</v>
      </c>
      <c r="CT7" s="10">
        <f t="shared" si="64"/>
        <v>1.2505275920003338</v>
      </c>
      <c r="CU7" s="539">
        <f t="shared" si="65"/>
        <v>38.828881731610366</v>
      </c>
      <c r="CV7" s="19">
        <f t="shared" si="66"/>
        <v>1.1419817970147048</v>
      </c>
      <c r="CW7" s="10">
        <f t="shared" si="67"/>
        <v>3.6778801836222376E-2</v>
      </c>
      <c r="CX7" s="10">
        <f t="shared" si="68"/>
        <v>1.2873063938365561</v>
      </c>
      <c r="CY7" s="539">
        <f t="shared" si="69"/>
        <v>39.970863528625067</v>
      </c>
      <c r="CZ7" s="19">
        <f t="shared" si="70"/>
        <v>1.175568198851543</v>
      </c>
      <c r="DA7" s="10">
        <f t="shared" si="71"/>
        <v>3.7860489496023927E-2</v>
      </c>
      <c r="DB7" s="10">
        <f t="shared" si="72"/>
        <v>1.32516688333258</v>
      </c>
      <c r="DC7" s="539">
        <f t="shared" si="73"/>
        <v>41.14643172747661</v>
      </c>
      <c r="DD7" s="19">
        <f t="shared" si="74"/>
        <v>1.2101423978593122</v>
      </c>
      <c r="DE7" s="10">
        <f t="shared" si="75"/>
        <v>3.8973990269221007E-2</v>
      </c>
      <c r="DF7" s="10">
        <f t="shared" si="76"/>
        <v>1.364140873601801</v>
      </c>
      <c r="DG7" s="539">
        <f t="shared" si="77"/>
        <v>42.356574125335925</v>
      </c>
      <c r="DH7" s="19">
        <f t="shared" si="78"/>
        <v>1.2457334457731648</v>
      </c>
      <c r="DI7" s="10">
        <f t="shared" si="79"/>
        <v>4.0120239799457801E-2</v>
      </c>
      <c r="DJ7" s="10">
        <f t="shared" si="80"/>
        <v>1.4042611134012588</v>
      </c>
      <c r="DK7" s="539">
        <f t="shared" si="81"/>
        <v>43.602307571109087</v>
      </c>
      <c r="DL7" s="19">
        <f t="shared" si="82"/>
        <v>1.2823712487580297</v>
      </c>
      <c r="DM7" s="10">
        <f t="shared" si="83"/>
        <v>4.1300201248245717E-2</v>
      </c>
      <c r="DN7" s="10">
        <f t="shared" si="84"/>
        <v>1.4455613146495045</v>
      </c>
      <c r="DO7" s="539">
        <f t="shared" si="85"/>
        <v>44.884678819867119</v>
      </c>
      <c r="DP7" s="19">
        <f t="shared" si="86"/>
        <v>1.3200865925379275</v>
      </c>
      <c r="DQ7" s="10">
        <f t="shared" si="87"/>
        <v>4.2514866104281075E-2</v>
      </c>
      <c r="DR7" s="10">
        <f t="shared" si="88"/>
        <v>1.4880761807537857</v>
      </c>
      <c r="DS7" s="539">
        <f t="shared" si="89"/>
        <v>46.204765412405045</v>
      </c>
      <c r="DT7" s="19">
        <f t="shared" si="90"/>
        <v>1.3589111682643571</v>
      </c>
      <c r="DU7" s="10">
        <f t="shared" si="91"/>
        <v>4.3765255016565446E-2</v>
      </c>
      <c r="DV7" s="10">
        <f t="shared" si="92"/>
        <v>1.5318414357703511</v>
      </c>
      <c r="DW7" s="539">
        <f t="shared" si="93"/>
        <v>47.563676580669402</v>
      </c>
      <c r="DX7" s="19">
        <f t="shared" si="94"/>
        <v>1.3988775991454847</v>
      </c>
      <c r="DY7" s="10">
        <f t="shared" si="95"/>
        <v>4.5052418652028491E-2</v>
      </c>
      <c r="DZ7" s="10">
        <f t="shared" si="96"/>
        <v>1.5768938544223796</v>
      </c>
      <c r="EA7" s="539">
        <f t="shared" si="97"/>
        <v>48.962554179814887</v>
      </c>
      <c r="EB7" s="19">
        <f t="shared" si="98"/>
        <v>1.440019467858517</v>
      </c>
      <c r="EC7" s="10">
        <f t="shared" si="99"/>
        <v>4.6377438578374133E-2</v>
      </c>
      <c r="ED7" s="10">
        <f t="shared" si="100"/>
        <v>1.6232712930007538</v>
      </c>
      <c r="EE7" s="539">
        <f t="shared" si="101"/>
        <v>50.402573647673407</v>
      </c>
      <c r="EF7" s="19">
        <f t="shared" si="102"/>
        <v>1.4823713447682885</v>
      </c>
      <c r="EG7" s="10">
        <f t="shared" si="103"/>
        <v>4.7741428172891738E-2</v>
      </c>
      <c r="EH7" s="10">
        <f t="shared" si="104"/>
        <v>1.6710127211736456</v>
      </c>
      <c r="EI7" s="539">
        <f t="shared" si="105"/>
        <v>51.884944992441696</v>
      </c>
      <c r="EJ7" s="19">
        <f t="shared" si="106"/>
        <v>1.5259688169757732</v>
      </c>
      <c r="EK7" s="10">
        <f t="shared" si="107"/>
        <v>4.9145533557995918E-2</v>
      </c>
      <c r="EL7" s="10">
        <f t="shared" si="108"/>
        <v>1.7201582547316416</v>
      </c>
      <c r="EM7" s="539">
        <f t="shared" si="109"/>
        <v>53.410913809417472</v>
      </c>
      <c r="EN7" s="19">
        <f t="shared" si="110"/>
        <v>1.5708485182209351</v>
      </c>
      <c r="EO7" s="10">
        <f t="shared" si="111"/>
        <v>5.059093456428132E-2</v>
      </c>
      <c r="EP7" s="10">
        <f t="shared" si="112"/>
        <v>1.7707491892959228</v>
      </c>
      <c r="EQ7" s="539">
        <f t="shared" si="113"/>
        <v>54.981762327638407</v>
      </c>
      <c r="ER7" s="19">
        <f t="shared" si="114"/>
        <v>1.6170481596650368</v>
      </c>
      <c r="ES7" s="10">
        <f t="shared" si="115"/>
        <v>5.2078845721901343E-2</v>
      </c>
      <c r="ET7" s="10">
        <f t="shared" si="116"/>
        <v>1.8228280350178241</v>
      </c>
      <c r="EU7" s="539">
        <f t="shared" si="117"/>
        <v>56.598810487303439</v>
      </c>
      <c r="EV7" s="19">
        <f t="shared" si="118"/>
        <v>1.664606561578277</v>
      </c>
      <c r="EW7" s="10">
        <f t="shared" si="119"/>
        <v>5.3610517281103928E-2</v>
      </c>
      <c r="EX7" s="10">
        <f t="shared" si="120"/>
        <v>1.876438552298928</v>
      </c>
      <c r="EY7" s="539">
        <f t="shared" si="121"/>
        <v>58.263417048881713</v>
      </c>
      <c r="EZ7" s="19">
        <f t="shared" si="122"/>
        <v>1.713563685959381</v>
      </c>
      <c r="FA7" s="10">
        <f t="shared" si="123"/>
        <v>5.5187236262781998E-2</v>
      </c>
      <c r="FB7" s="10">
        <f t="shared" si="124"/>
        <v>1.9316257885617101</v>
      </c>
      <c r="FC7" s="539">
        <f t="shared" si="125"/>
        <v>59.976980734841099</v>
      </c>
      <c r="FD7" s="19">
        <f t="shared" si="126"/>
        <v>1.7639606701145536</v>
      </c>
      <c r="FE7" s="10">
        <f t="shared" si="127"/>
        <v>5.6810327539921213E-2</v>
      </c>
      <c r="FF7" s="10">
        <f t="shared" si="128"/>
        <v>1.9884361161016313</v>
      </c>
      <c r="FG7" s="539">
        <f t="shared" si="129"/>
        <v>61.740941404955656</v>
      </c>
      <c r="FH7" s="19">
        <f t="shared" si="130"/>
        <v>1.8158398612240096</v>
      </c>
      <c r="FI7" s="10">
        <f t="shared" si="131"/>
        <v>5.8481154950853771E-2</v>
      </c>
      <c r="FJ7" s="10">
        <f t="shared" si="132"/>
        <v>2.046917271052485</v>
      </c>
      <c r="FK7" s="539">
        <f t="shared" si="133"/>
        <v>63.556781266179662</v>
      </c>
      <c r="FL7" s="19">
        <f t="shared" si="134"/>
        <v>1.8692448519251292</v>
      </c>
      <c r="FM7" s="10">
        <f t="shared" si="135"/>
        <v>6.020112244525376E-2</v>
      </c>
      <c r="FN7" s="10">
        <f t="shared" si="136"/>
        <v>2.1071183934977387</v>
      </c>
      <c r="FO7" s="539">
        <f t="shared" si="137"/>
        <v>65.426026118104787</v>
      </c>
      <c r="FP7" s="19">
        <f t="shared" si="138"/>
        <v>1.9242205169421349</v>
      </c>
      <c r="FQ7" s="10">
        <f t="shared" si="139"/>
        <v>6.1971675263836873E-2</v>
      </c>
      <c r="FR7" s="10">
        <f t="shared" si="140"/>
        <v>2.1690900687615757</v>
      </c>
      <c r="FS7" s="539">
        <f t="shared" si="141"/>
        <v>67.350246635046929</v>
      </c>
      <c r="FT7" s="19">
        <f t="shared" si="142"/>
        <v>1.980813050793071</v>
      </c>
      <c r="FU7" s="10">
        <f t="shared" si="143"/>
        <v>6.3794301152755903E-2</v>
      </c>
      <c r="FV7" s="10">
        <f t="shared" si="144"/>
        <v>2.2328843699143315</v>
      </c>
      <c r="FW7" s="539">
        <f t="shared" si="145"/>
        <v>69.331059685839989</v>
      </c>
      <c r="FX7" s="19">
        <f t="shared" si="146"/>
        <v>2.0390700066057676</v>
      </c>
      <c r="FY7" s="10">
        <f t="shared" si="147"/>
        <v>6.5670531613712321E-2</v>
      </c>
      <c r="FZ7" s="10">
        <f t="shared" si="148"/>
        <v>2.298554901528044</v>
      </c>
      <c r="GA7" s="539">
        <f t="shared" si="149"/>
        <v>71.370129692445772</v>
      </c>
      <c r="GB7" s="19">
        <f t="shared" si="150"/>
        <v>2.0990403360754097</v>
      </c>
      <c r="GC7" s="10">
        <f t="shared" si="151"/>
        <v>6.7601943190834457E-2</v>
      </c>
      <c r="GD7" s="10">
        <f t="shared" si="152"/>
        <v>2.3661568447188785</v>
      </c>
      <c r="GE7" s="539">
        <f t="shared" si="153"/>
        <v>73.469170028521177</v>
      </c>
      <c r="GF7" s="19">
        <f t="shared" si="154"/>
        <v>2.16077443059728</v>
      </c>
      <c r="GG7" s="10">
        <f t="shared" si="155"/>
        <v>6.9590158795403548E-2</v>
      </c>
      <c r="GH7" s="10">
        <f t="shared" si="156"/>
        <v>2.4357470035142823</v>
      </c>
      <c r="GI7" s="539">
        <f t="shared" si="157"/>
        <v>75.629944459118462</v>
      </c>
      <c r="GJ7" s="19">
        <f t="shared" si="158"/>
        <v>2.2243241636092428</v>
      </c>
      <c r="GK7" s="10">
        <f t="shared" si="159"/>
        <v>7.1636849069540834E-2</v>
      </c>
      <c r="GL7" s="10">
        <f t="shared" si="160"/>
        <v>2.507383852583823</v>
      </c>
      <c r="GM7" s="539">
        <f t="shared" si="161"/>
        <v>77.854268622727702</v>
      </c>
      <c r="GN7" s="19">
        <f t="shared" si="162"/>
        <v>2.289742934179547</v>
      </c>
      <c r="GO7" s="10">
        <f t="shared" si="163"/>
        <v>7.3743733790001514E-2</v>
      </c>
      <c r="GP7" s="10">
        <f t="shared" si="164"/>
        <v>2.5811275863738246</v>
      </c>
      <c r="GQ7" s="539">
        <f t="shared" si="165"/>
        <v>80.144011556907259</v>
      </c>
      <c r="GR7" s="19">
        <f t="shared" si="166"/>
        <v>2.3570857118765765</v>
      </c>
      <c r="GS7" s="10">
        <f t="shared" si="167"/>
        <v>7.5912583313255275E-2</v>
      </c>
      <c r="GT7" s="10">
        <f t="shared" si="168"/>
        <v>2.6570401696870798</v>
      </c>
      <c r="GU7" s="539">
        <f t="shared" si="169"/>
        <v>82.501097268783823</v>
      </c>
      <c r="GV7" s="19">
        <f t="shared" si="170"/>
        <v>2.4264090829582412</v>
      </c>
      <c r="GW7" s="10">
        <f t="shared" si="171"/>
        <v>7.8145220063067344E-2</v>
      </c>
      <c r="GX7" s="10">
        <f t="shared" si="172"/>
        <v>2.7351853897501472</v>
      </c>
      <c r="GY7" s="539">
        <f t="shared" si="173"/>
        <v>84.927506351742068</v>
      </c>
      <c r="GZ7" s="19">
        <f t="shared" si="174"/>
        <v>2.4977712979198343</v>
      </c>
      <c r="HA7" s="10">
        <f t="shared" si="175"/>
        <v>8.0443520061830406E-2</v>
      </c>
      <c r="HB7" s="10">
        <f t="shared" si="176"/>
        <v>2.8156289098119776</v>
      </c>
      <c r="HC7" s="539">
        <f t="shared" si="177"/>
        <v>87.425277649661908</v>
      </c>
      <c r="HD7" s="19">
        <f t="shared" si="178"/>
        <v>2.571232320440298</v>
      </c>
      <c r="HE7" s="10">
        <f t="shared" si="179"/>
        <v>8.2809414506933909E-2</v>
      </c>
      <c r="HF7" s="10">
        <f t="shared" si="180"/>
        <v>2.8984383243189114</v>
      </c>
      <c r="HG7" s="539">
        <f t="shared" si="181"/>
        <v>89.996509970102196</v>
      </c>
      <c r="HH7" s="19">
        <f t="shared" si="182"/>
        <v>2.6468538777680299</v>
      </c>
      <c r="HI7" s="10">
        <f t="shared" si="183"/>
        <v>8.5244891393495323E-2</v>
      </c>
      <c r="HJ7" s="10">
        <f t="shared" si="184"/>
        <v>2.9836832157124067</v>
      </c>
      <c r="HK7" s="539">
        <f t="shared" si="185"/>
        <v>92.643363847870233</v>
      </c>
      <c r="HL7" s="19">
        <f t="shared" si="186"/>
        <v>2.72469951258857</v>
      </c>
      <c r="HM7" s="10">
        <f t="shared" si="187"/>
        <v>8.7751997184817063E-2</v>
      </c>
      <c r="HN7" s="10">
        <f t="shared" si="188"/>
        <v>3.0714352128972235</v>
      </c>
      <c r="HO7" s="539">
        <f t="shared" si="189"/>
        <v>95.368063360458791</v>
      </c>
      <c r="HP7" s="19">
        <f t="shared" si="190"/>
        <v>2.8048346364177448</v>
      </c>
      <c r="HQ7" s="10">
        <f t="shared" si="191"/>
        <v>9.0332838531972451E-2</v>
      </c>
      <c r="HR7" s="10">
        <f t="shared" si="192"/>
        <v>3.1617680514291959</v>
      </c>
      <c r="HS7" s="539">
        <f t="shared" si="193"/>
        <v>98.172897996876529</v>
      </c>
      <c r="HT7" s="19">
        <f t="shared" si="194"/>
        <v>2.8873265845651419</v>
      </c>
      <c r="HU7" s="10">
        <f t="shared" si="195"/>
        <v>9.2989584043965914E-2</v>
      </c>
      <c r="HV7" s="10">
        <f t="shared" si="196"/>
        <v>3.2547576354731618</v>
      </c>
      <c r="HW7" s="539">
        <f t="shared" si="197"/>
        <v>101.06022458144167</v>
      </c>
      <c r="HX7" s="19">
        <f t="shared" si="198"/>
        <v>2.9722446727140914</v>
      </c>
      <c r="HY7" s="10">
        <f t="shared" si="199"/>
        <v>9.5724466109954637E-2</v>
      </c>
      <c r="HZ7" s="10">
        <f t="shared" si="200"/>
        <v>3.3504821015831165</v>
      </c>
      <c r="IA7" s="539">
        <f t="shared" si="201"/>
        <v>104.03246925415577</v>
      </c>
      <c r="IB7" s="19">
        <f t="shared" si="202"/>
        <v>3.0596602551657019</v>
      </c>
      <c r="IF7" s="660"/>
      <c r="IG7" s="540"/>
      <c r="IH7" s="540"/>
      <c r="II7" s="540"/>
      <c r="IJ7" s="540"/>
      <c r="IK7" s="540"/>
      <c r="IL7" s="540"/>
      <c r="IM7" s="540"/>
      <c r="IN7" s="540"/>
      <c r="IO7" s="665"/>
      <c r="IP7" s="236"/>
      <c r="IY7"/>
    </row>
    <row r="8" spans="1:263">
      <c r="A8" s="10" t="s">
        <v>64</v>
      </c>
      <c r="B8" s="20">
        <f>B149</f>
        <v>321.01</v>
      </c>
      <c r="C8" s="826" t="s">
        <v>2343</v>
      </c>
      <c r="D8" s="47" t="s">
        <v>50</v>
      </c>
      <c r="E8" s="396">
        <f t="shared" si="0"/>
        <v>307.70730000000003</v>
      </c>
      <c r="F8" s="242">
        <v>171.7073</v>
      </c>
      <c r="G8" s="48">
        <f>'Update Stock Prices'!S8</f>
        <v>114119148.93617021</v>
      </c>
      <c r="H8" s="991">
        <f t="shared" si="27"/>
        <v>1.5046317958087852E-6</v>
      </c>
      <c r="I8" s="49">
        <f>'Update Stock Prices'!D8</f>
        <v>2.35</v>
      </c>
      <c r="J8" s="49">
        <f t="shared" si="1"/>
        <v>403.51215500000001</v>
      </c>
      <c r="K8" s="30">
        <v>1134.94</v>
      </c>
      <c r="L8" s="49">
        <f t="shared" si="28"/>
        <v>-731.42784500000005</v>
      </c>
      <c r="M8" s="50">
        <f t="shared" si="29"/>
        <v>-0.6444638879588348</v>
      </c>
      <c r="N8" s="49">
        <f t="shared" si="30"/>
        <v>6.6097364526726592</v>
      </c>
      <c r="O8" s="48">
        <f t="shared" si="2"/>
        <v>136</v>
      </c>
      <c r="P8" s="49">
        <f>IF(($B$11-$B$12)-(O8*I8)&lt;0,0,($B$11-$B$12)-(O8*I8))</f>
        <v>1.4099999999999682</v>
      </c>
      <c r="Q8" s="30">
        <f>0.02658*4</f>
        <v>0.10632</v>
      </c>
      <c r="R8" s="49">
        <f t="shared" si="242"/>
        <v>4.9981985314168378E-2</v>
      </c>
      <c r="S8" s="49">
        <f t="shared" si="4"/>
        <v>18.255920136</v>
      </c>
      <c r="T8" s="49">
        <f t="shared" si="31"/>
        <v>1.5213266780000001</v>
      </c>
      <c r="U8" s="49" t="s">
        <v>54</v>
      </c>
      <c r="V8" s="50">
        <f t="shared" si="6"/>
        <v>4.5242553191489357E-2</v>
      </c>
      <c r="W8" s="50">
        <f t="shared" si="7"/>
        <v>1.6085361460517734E-2</v>
      </c>
      <c r="X8" s="49">
        <f>12*((E8*Q8)/12-T8)</f>
        <v>14.459520000000005</v>
      </c>
      <c r="Y8" s="49">
        <f t="shared" si="32"/>
        <v>4.5639800340000001</v>
      </c>
      <c r="Z8" s="860">
        <f t="shared" si="9"/>
        <v>1</v>
      </c>
      <c r="AA8" s="860" t="str">
        <f t="shared" si="10"/>
        <v/>
      </c>
      <c r="AB8" s="49" t="str">
        <f t="shared" si="11"/>
        <v/>
      </c>
      <c r="AC8" s="48">
        <v>1</v>
      </c>
      <c r="AD8" s="47" t="str">
        <f t="shared" si="12"/>
        <v>AT</v>
      </c>
      <c r="AE8" s="49">
        <f t="shared" si="13"/>
        <v>403.51215500000001</v>
      </c>
      <c r="AF8" s="50" t="e">
        <f t="shared" si="14"/>
        <v>#REF!</v>
      </c>
      <c r="AG8" s="890" t="e">
        <f t="shared" si="15"/>
        <v>#REF!</v>
      </c>
      <c r="AH8" s="207" t="s">
        <v>709</v>
      </c>
      <c r="AI8" s="240">
        <f t="shared" si="16"/>
        <v>0.36962520239002145</v>
      </c>
      <c r="AJ8" s="11">
        <f t="shared" si="33"/>
        <v>2</v>
      </c>
      <c r="AK8" s="11"/>
      <c r="AL8" s="11"/>
      <c r="AM8" s="11"/>
      <c r="AN8" s="11"/>
      <c r="AO8" s="11"/>
      <c r="AP8" s="11"/>
      <c r="AQ8" s="11" t="str">
        <f>'Update Stock Prices'!Q8</f>
        <v>micro</v>
      </c>
      <c r="AR8" s="11"/>
      <c r="AS8" s="11"/>
      <c r="AT8" s="176" t="s">
        <v>306</v>
      </c>
      <c r="AU8" s="420"/>
      <c r="AV8" s="420"/>
      <c r="AW8" s="420"/>
      <c r="AX8" s="14">
        <f>SUM(AX2:AX6)</f>
        <v>6802.9090000000006</v>
      </c>
      <c r="AY8" s="19"/>
      <c r="AZ8" s="21">
        <f>SUM(AZ2:AZ6)</f>
        <v>145612.19104130002</v>
      </c>
      <c r="BA8" s="19"/>
      <c r="BB8" s="21">
        <f>AZ8/AX8</f>
        <v>21.404400829306994</v>
      </c>
      <c r="BD8" s="932"/>
      <c r="BE8" s="593">
        <f t="shared" si="17"/>
        <v>0</v>
      </c>
      <c r="BF8" s="725">
        <f t="shared" si="221"/>
        <v>233109.70085690415</v>
      </c>
      <c r="BG8" s="420" t="str">
        <f t="shared" ca="1" si="18"/>
        <v/>
      </c>
      <c r="BH8" s="593">
        <f t="shared" ca="1" si="34"/>
        <v>9</v>
      </c>
      <c r="BI8" s="420">
        <f t="shared" ca="1" si="35"/>
        <v>43</v>
      </c>
      <c r="BJ8" s="420">
        <f t="shared" ca="1" si="35"/>
        <v>49</v>
      </c>
      <c r="BK8" s="420">
        <f t="shared" ca="1" si="36"/>
        <v>2023</v>
      </c>
      <c r="BL8" s="420" t="s">
        <v>1015</v>
      </c>
      <c r="BM8" s="19">
        <f t="shared" si="19"/>
        <v>317458.08676373784</v>
      </c>
      <c r="BN8" s="19">
        <f>CU149</f>
        <v>84348.385906833719</v>
      </c>
      <c r="BO8" s="19">
        <f>CV149</f>
        <v>3656.5337632392079</v>
      </c>
      <c r="BP8" s="183">
        <f t="shared" si="20"/>
        <v>4.3350370299652212E-2</v>
      </c>
      <c r="BQ8" s="19">
        <f t="shared" si="21"/>
        <v>304.71114693660064</v>
      </c>
      <c r="BS8" s="420" t="str">
        <f t="shared" si="37"/>
        <v>AT</v>
      </c>
      <c r="BT8" s="425">
        <f t="shared" si="38"/>
        <v>171.7073</v>
      </c>
      <c r="BU8" s="19">
        <f t="shared" si="39"/>
        <v>2.35</v>
      </c>
      <c r="BV8" s="19">
        <f t="shared" si="40"/>
        <v>403.51215500000001</v>
      </c>
      <c r="BW8" s="539">
        <f t="shared" si="41"/>
        <v>0.10632</v>
      </c>
      <c r="BX8" s="19">
        <f t="shared" si="42"/>
        <v>18.255920136</v>
      </c>
      <c r="BY8" s="10">
        <f t="shared" si="43"/>
        <v>7.7684766536170207</v>
      </c>
      <c r="BZ8" s="10">
        <f t="shared" si="44"/>
        <v>179.47577665361703</v>
      </c>
      <c r="CA8" s="539">
        <f t="shared" si="45"/>
        <v>421.76807513600005</v>
      </c>
      <c r="CB8" s="19">
        <f t="shared" si="46"/>
        <v>19.081864573812563</v>
      </c>
      <c r="CC8" s="10">
        <f t="shared" si="47"/>
        <v>8.1199423718351333</v>
      </c>
      <c r="CD8" s="10">
        <f t="shared" si="48"/>
        <v>187.59571902545215</v>
      </c>
      <c r="CE8" s="539">
        <f t="shared" si="49"/>
        <v>440.84993970981259</v>
      </c>
      <c r="CF8" s="19">
        <f t="shared" si="50"/>
        <v>19.945176846786072</v>
      </c>
      <c r="CG8" s="10">
        <f t="shared" si="51"/>
        <v>8.4873092965047121</v>
      </c>
      <c r="CH8" s="10">
        <f t="shared" si="52"/>
        <v>196.08302832195687</v>
      </c>
      <c r="CI8" s="539">
        <f t="shared" si="53"/>
        <v>460.79511655659866</v>
      </c>
      <c r="CJ8" s="19">
        <f t="shared" si="54"/>
        <v>20.847547571190454</v>
      </c>
      <c r="CK8" s="10">
        <f t="shared" si="55"/>
        <v>8.8712968388044473</v>
      </c>
      <c r="CL8" s="10">
        <f t="shared" si="56"/>
        <v>204.95432516076133</v>
      </c>
      <c r="CM8" s="539">
        <f t="shared" si="57"/>
        <v>481.64266412778915</v>
      </c>
      <c r="CN8" s="19">
        <f t="shared" si="58"/>
        <v>21.790743851092145</v>
      </c>
      <c r="CO8" s="10">
        <f t="shared" si="59"/>
        <v>9.2726569579115505</v>
      </c>
      <c r="CP8" s="10">
        <f t="shared" si="60"/>
        <v>214.22698211867288</v>
      </c>
      <c r="CQ8" s="539">
        <f t="shared" si="61"/>
        <v>503.43340797888129</v>
      </c>
      <c r="CR8" s="19">
        <f t="shared" si="62"/>
        <v>22.776612738857299</v>
      </c>
      <c r="CS8" s="10">
        <f t="shared" si="63"/>
        <v>9.6921756335562979</v>
      </c>
      <c r="CT8" s="10">
        <f t="shared" si="64"/>
        <v>223.91915775222918</v>
      </c>
      <c r="CU8" s="539">
        <f t="shared" si="65"/>
        <v>526.21002071773864</v>
      </c>
      <c r="CV8" s="19">
        <f t="shared" si="66"/>
        <v>23.807084852217006</v>
      </c>
      <c r="CW8" s="10">
        <f t="shared" si="67"/>
        <v>10.130674405198725</v>
      </c>
      <c r="CX8" s="10">
        <f t="shared" si="68"/>
        <v>234.04983215742791</v>
      </c>
      <c r="CY8" s="539">
        <f t="shared" si="69"/>
        <v>550.01710556995567</v>
      </c>
      <c r="CZ8" s="19">
        <f t="shared" si="70"/>
        <v>24.884178154977736</v>
      </c>
      <c r="DA8" s="10">
        <f t="shared" si="71"/>
        <v>10.589011980841589</v>
      </c>
      <c r="DB8" s="10">
        <f t="shared" si="72"/>
        <v>244.63884413826949</v>
      </c>
      <c r="DC8" s="539">
        <f t="shared" si="73"/>
        <v>574.90128372493336</v>
      </c>
      <c r="DD8" s="19">
        <f t="shared" si="74"/>
        <v>26.010001908780811</v>
      </c>
      <c r="DE8" s="10">
        <f t="shared" si="75"/>
        <v>11.068085918630132</v>
      </c>
      <c r="DF8" s="10">
        <f t="shared" si="76"/>
        <v>255.70693005689964</v>
      </c>
      <c r="DG8" s="539">
        <f t="shared" si="77"/>
        <v>600.91128563371421</v>
      </c>
      <c r="DH8" s="19">
        <f t="shared" si="78"/>
        <v>27.18676080364957</v>
      </c>
      <c r="DI8" s="10">
        <f t="shared" si="79"/>
        <v>11.568834384531732</v>
      </c>
      <c r="DJ8" s="10">
        <f t="shared" si="80"/>
        <v>267.27576444143136</v>
      </c>
      <c r="DK8" s="539">
        <f t="shared" si="81"/>
        <v>628.09804643736368</v>
      </c>
      <c r="DL8" s="19">
        <f t="shared" si="82"/>
        <v>28.416759275412982</v>
      </c>
      <c r="DM8" s="10">
        <f t="shared" si="83"/>
        <v>12.092237989537439</v>
      </c>
      <c r="DN8" s="10">
        <f t="shared" si="84"/>
        <v>279.36800243096883</v>
      </c>
      <c r="DO8" s="539">
        <f t="shared" si="85"/>
        <v>656.51480571277682</v>
      </c>
      <c r="DP8" s="19">
        <f t="shared" si="86"/>
        <v>29.702406018460604</v>
      </c>
      <c r="DQ8" s="10">
        <f t="shared" si="87"/>
        <v>12.639321709983236</v>
      </c>
      <c r="DR8" s="10">
        <f t="shared" si="88"/>
        <v>292.00732414095205</v>
      </c>
      <c r="DS8" s="539">
        <f t="shared" si="89"/>
        <v>686.2172117312374</v>
      </c>
      <c r="DT8" s="19">
        <f t="shared" si="90"/>
        <v>31.046218702666021</v>
      </c>
      <c r="DU8" s="10">
        <f t="shared" si="91"/>
        <v>13.211156894751499</v>
      </c>
      <c r="DV8" s="10">
        <f t="shared" si="92"/>
        <v>305.21848103570358</v>
      </c>
      <c r="DW8" s="539">
        <f t="shared" si="93"/>
        <v>717.26343043390341</v>
      </c>
      <c r="DX8" s="19">
        <f t="shared" si="94"/>
        <v>32.450828903716001</v>
      </c>
      <c r="DY8" s="10">
        <f t="shared" si="95"/>
        <v>13.808863363283404</v>
      </c>
      <c r="DZ8" s="10">
        <f t="shared" si="96"/>
        <v>319.027344398987</v>
      </c>
      <c r="EA8" s="539">
        <f t="shared" si="97"/>
        <v>749.71425933761952</v>
      </c>
      <c r="EB8" s="19">
        <f t="shared" si="98"/>
        <v>33.918987256500294</v>
      </c>
      <c r="EC8" s="10">
        <f t="shared" si="99"/>
        <v>14.433611598510764</v>
      </c>
      <c r="ED8" s="10">
        <f t="shared" si="100"/>
        <v>333.46095599749776</v>
      </c>
      <c r="EE8" s="539">
        <f t="shared" si="101"/>
        <v>783.63324659411978</v>
      </c>
      <c r="EF8" s="19">
        <f t="shared" si="102"/>
        <v>35.453568841653961</v>
      </c>
      <c r="EG8" s="10">
        <f t="shared" si="103"/>
        <v>15.086625039001685</v>
      </c>
      <c r="EH8" s="10">
        <f t="shared" si="104"/>
        <v>348.54758103649942</v>
      </c>
      <c r="EI8" s="539">
        <f t="shared" si="105"/>
        <v>819.0868154357737</v>
      </c>
      <c r="EJ8" s="19">
        <f t="shared" si="106"/>
        <v>37.057578815800618</v>
      </c>
      <c r="EK8" s="10">
        <f t="shared" si="107"/>
        <v>15.769182474808773</v>
      </c>
      <c r="EL8" s="10">
        <f t="shared" si="108"/>
        <v>364.31676351130818</v>
      </c>
      <c r="EM8" s="539">
        <f t="shared" si="109"/>
        <v>856.14439425157423</v>
      </c>
      <c r="EN8" s="19">
        <f t="shared" si="110"/>
        <v>38.734158296522288</v>
      </c>
      <c r="EO8" s="10">
        <f t="shared" si="111"/>
        <v>16.482620551711612</v>
      </c>
      <c r="EP8" s="10">
        <f t="shared" si="112"/>
        <v>380.79938406301977</v>
      </c>
      <c r="EQ8" s="539">
        <f t="shared" si="113"/>
        <v>894.87855254809654</v>
      </c>
      <c r="ER8" s="19">
        <f t="shared" si="114"/>
        <v>40.486590513580261</v>
      </c>
      <c r="ES8" s="10">
        <f t="shared" si="115"/>
        <v>17.228336388757558</v>
      </c>
      <c r="ET8" s="10">
        <f t="shared" si="116"/>
        <v>398.02772045177733</v>
      </c>
      <c r="EU8" s="539">
        <f t="shared" si="117"/>
        <v>935.3651430616768</v>
      </c>
      <c r="EV8" s="19">
        <f t="shared" si="118"/>
        <v>42.318307238432965</v>
      </c>
      <c r="EW8" s="10">
        <f t="shared" si="119"/>
        <v>18.007790314226792</v>
      </c>
      <c r="EX8" s="10">
        <f t="shared" si="120"/>
        <v>416.03551076600411</v>
      </c>
      <c r="EY8" s="539">
        <f t="shared" si="121"/>
        <v>977.68345030010971</v>
      </c>
      <c r="EZ8" s="19">
        <f t="shared" si="122"/>
        <v>44.232895504641554</v>
      </c>
      <c r="FA8" s="10">
        <f t="shared" si="123"/>
        <v>18.822508725379386</v>
      </c>
      <c r="FB8" s="10">
        <f t="shared" si="124"/>
        <v>434.85801949138352</v>
      </c>
      <c r="FC8" s="539">
        <f t="shared" si="125"/>
        <v>1021.9163458047512</v>
      </c>
      <c r="FD8" s="19">
        <f t="shared" si="126"/>
        <v>46.234104632323891</v>
      </c>
      <c r="FE8" s="10">
        <f t="shared" si="127"/>
        <v>19.674087077584634</v>
      </c>
      <c r="FF8" s="10">
        <f t="shared" si="128"/>
        <v>454.53210656896817</v>
      </c>
      <c r="FG8" s="539">
        <f t="shared" si="129"/>
        <v>1068.1504504370753</v>
      </c>
      <c r="FH8" s="19">
        <f t="shared" si="130"/>
        <v>48.325853570412697</v>
      </c>
      <c r="FI8" s="10">
        <f t="shared" si="131"/>
        <v>20.564193008686253</v>
      </c>
      <c r="FJ8" s="10">
        <f t="shared" si="132"/>
        <v>475.09629957765441</v>
      </c>
      <c r="FK8" s="539">
        <f t="shared" si="133"/>
        <v>1116.4763040074879</v>
      </c>
      <c r="FL8" s="19">
        <f t="shared" si="134"/>
        <v>50.512238571096212</v>
      </c>
      <c r="FM8" s="10">
        <f t="shared" si="135"/>
        <v>21.494569604721793</v>
      </c>
      <c r="FN8" s="10">
        <f t="shared" si="136"/>
        <v>496.5908691823762</v>
      </c>
      <c r="FO8" s="539">
        <f t="shared" si="137"/>
        <v>1166.9885425785842</v>
      </c>
      <c r="FP8" s="19">
        <f t="shared" si="138"/>
        <v>52.797541211470239</v>
      </c>
      <c r="FQ8" s="10">
        <f t="shared" si="139"/>
        <v>22.467038813391589</v>
      </c>
      <c r="FR8" s="10">
        <f t="shared" si="140"/>
        <v>519.05790799576778</v>
      </c>
      <c r="FS8" s="539">
        <f t="shared" si="141"/>
        <v>1219.7860837900544</v>
      </c>
      <c r="FT8" s="19">
        <f t="shared" si="142"/>
        <v>55.186236778110029</v>
      </c>
      <c r="FU8" s="10">
        <f t="shared" si="143"/>
        <v>23.483505011961714</v>
      </c>
      <c r="FV8" s="10">
        <f t="shared" si="144"/>
        <v>542.54141300772949</v>
      </c>
      <c r="FW8" s="539">
        <f t="shared" si="145"/>
        <v>1274.9723205681644</v>
      </c>
      <c r="FX8" s="19">
        <f t="shared" si="146"/>
        <v>57.683003030981801</v>
      </c>
      <c r="FY8" s="10">
        <f t="shared" si="147"/>
        <v>24.545958736587998</v>
      </c>
      <c r="FZ8" s="10">
        <f t="shared" si="148"/>
        <v>567.08737174431747</v>
      </c>
      <c r="GA8" s="539">
        <f t="shared" si="149"/>
        <v>1332.6553235991462</v>
      </c>
      <c r="GB8" s="19">
        <f t="shared" si="150"/>
        <v>60.292729363855834</v>
      </c>
      <c r="GC8" s="10">
        <f t="shared" si="151"/>
        <v>25.656480580364185</v>
      </c>
      <c r="GD8" s="10">
        <f t="shared" si="152"/>
        <v>592.7438523246816</v>
      </c>
      <c r="GE8" s="539">
        <f t="shared" si="153"/>
        <v>1392.9480529630018</v>
      </c>
      <c r="GF8" s="19">
        <f t="shared" si="154"/>
        <v>63.020526379160145</v>
      </c>
      <c r="GG8" s="10">
        <f t="shared" si="155"/>
        <v>26.817245267727721</v>
      </c>
      <c r="GH8" s="10">
        <f t="shared" si="156"/>
        <v>619.56109759240928</v>
      </c>
      <c r="GI8" s="539">
        <f t="shared" si="157"/>
        <v>1455.9685793421618</v>
      </c>
      <c r="GJ8" s="19">
        <f t="shared" si="158"/>
        <v>65.871735896024958</v>
      </c>
      <c r="GK8" s="10">
        <f t="shared" si="159"/>
        <v>28.030525913202109</v>
      </c>
      <c r="GL8" s="10">
        <f t="shared" si="160"/>
        <v>647.59162350561144</v>
      </c>
      <c r="GM8" s="539">
        <f t="shared" si="161"/>
        <v>1521.840315238187</v>
      </c>
      <c r="GN8" s="19">
        <f t="shared" si="162"/>
        <v>68.851941411116613</v>
      </c>
      <c r="GO8" s="10">
        <f t="shared" si="163"/>
        <v>29.29869847281558</v>
      </c>
      <c r="GP8" s="10">
        <f t="shared" si="164"/>
        <v>676.89032197842698</v>
      </c>
      <c r="GQ8" s="539">
        <f t="shared" si="165"/>
        <v>1590.6922566493035</v>
      </c>
      <c r="GR8" s="19">
        <f t="shared" si="166"/>
        <v>71.966979032746352</v>
      </c>
      <c r="GS8" s="10">
        <f t="shared" si="167"/>
        <v>30.624246396913339</v>
      </c>
      <c r="GT8" s="10">
        <f t="shared" si="168"/>
        <v>707.51456837534033</v>
      </c>
      <c r="GU8" s="539">
        <f t="shared" si="169"/>
        <v>1662.6592356820499</v>
      </c>
      <c r="GV8" s="19">
        <f t="shared" si="170"/>
        <v>75.222948909666187</v>
      </c>
      <c r="GW8" s="10">
        <f t="shared" si="171"/>
        <v>32.009765493474973</v>
      </c>
      <c r="GX8" s="10">
        <f t="shared" si="172"/>
        <v>739.52433386881535</v>
      </c>
      <c r="GY8" s="539">
        <f t="shared" si="173"/>
        <v>1737.8821845917162</v>
      </c>
      <c r="GZ8" s="19">
        <f t="shared" si="174"/>
        <v>78.626227176932446</v>
      </c>
      <c r="HA8" s="10">
        <f t="shared" si="175"/>
        <v>33.457969011460612</v>
      </c>
      <c r="HB8" s="10">
        <f t="shared" si="176"/>
        <v>772.98230288027594</v>
      </c>
      <c r="HC8" s="539">
        <f t="shared" si="177"/>
        <v>1816.5084117686486</v>
      </c>
      <c r="HD8" s="19">
        <f t="shared" si="178"/>
        <v>82.183478442230935</v>
      </c>
      <c r="HE8" s="10">
        <f t="shared" si="179"/>
        <v>34.971692954140821</v>
      </c>
      <c r="HF8" s="10">
        <f t="shared" si="180"/>
        <v>807.95399583441679</v>
      </c>
      <c r="HG8" s="539">
        <f t="shared" si="181"/>
        <v>1898.6918902108796</v>
      </c>
      <c r="HH8" s="19">
        <f t="shared" si="182"/>
        <v>85.901668837115196</v>
      </c>
      <c r="HI8" s="10">
        <f t="shared" si="183"/>
        <v>36.553901632814977</v>
      </c>
      <c r="HJ8" s="10">
        <f t="shared" si="184"/>
        <v>844.50789746723171</v>
      </c>
      <c r="HK8" s="539">
        <f t="shared" si="185"/>
        <v>1984.5935590479946</v>
      </c>
      <c r="HL8" s="19">
        <f t="shared" si="186"/>
        <v>89.788079658716072</v>
      </c>
      <c r="HM8" s="10">
        <f t="shared" si="187"/>
        <v>38.207693471794073</v>
      </c>
      <c r="HN8" s="10">
        <f t="shared" si="188"/>
        <v>882.71559093902579</v>
      </c>
      <c r="HO8" s="539">
        <f t="shared" si="189"/>
        <v>2074.3816387067109</v>
      </c>
      <c r="HP8" s="19">
        <f t="shared" si="190"/>
        <v>93.850321628637218</v>
      </c>
      <c r="HQ8" s="10">
        <f t="shared" si="191"/>
        <v>39.936307076015837</v>
      </c>
      <c r="HR8" s="10">
        <f t="shared" si="192"/>
        <v>922.65189801504164</v>
      </c>
      <c r="HS8" s="539">
        <f t="shared" si="193"/>
        <v>2168.231960335348</v>
      </c>
      <c r="HT8" s="19">
        <f t="shared" si="194"/>
        <v>98.096349796959231</v>
      </c>
      <c r="HU8" s="10">
        <f t="shared" si="195"/>
        <v>41.743127573174142</v>
      </c>
      <c r="HV8" s="10">
        <f t="shared" si="196"/>
        <v>964.39502558821573</v>
      </c>
      <c r="HW8" s="539">
        <f t="shared" si="197"/>
        <v>2266.3283101323073</v>
      </c>
      <c r="HX8" s="19">
        <f t="shared" si="198"/>
        <v>102.53447912053909</v>
      </c>
      <c r="HY8" s="10">
        <f t="shared" si="199"/>
        <v>43.631693242782589</v>
      </c>
      <c r="HZ8" s="10">
        <f t="shared" si="200"/>
        <v>1008.0267188309983</v>
      </c>
      <c r="IA8" s="539">
        <f t="shared" si="201"/>
        <v>2368.8627892528461</v>
      </c>
      <c r="IB8" s="19">
        <f t="shared" si="202"/>
        <v>107.17340074611174</v>
      </c>
      <c r="IF8" s="660" t="s">
        <v>1314</v>
      </c>
      <c r="IG8" s="540" t="s">
        <v>1314</v>
      </c>
      <c r="IH8" s="540" t="s">
        <v>1313</v>
      </c>
      <c r="II8" s="540" t="s">
        <v>1316</v>
      </c>
      <c r="IJ8" s="540" t="s">
        <v>1320</v>
      </c>
      <c r="IK8" s="540" t="s">
        <v>1323</v>
      </c>
      <c r="IL8" s="540" t="s">
        <v>1391</v>
      </c>
      <c r="IM8" s="540" t="s">
        <v>1391</v>
      </c>
      <c r="IN8" s="540" t="s">
        <v>1396</v>
      </c>
      <c r="IO8" s="665" t="s">
        <v>2699</v>
      </c>
      <c r="IP8" s="236" t="s">
        <v>1334</v>
      </c>
      <c r="IY8"/>
    </row>
    <row r="9" spans="1:263" ht="13.5" thickBot="1">
      <c r="A9" s="10" t="s">
        <v>65</v>
      </c>
      <c r="B9" s="30">
        <v>0</v>
      </c>
      <c r="C9" s="826" t="s">
        <v>2343</v>
      </c>
      <c r="D9" s="47" t="s">
        <v>229</v>
      </c>
      <c r="E9" s="396">
        <f t="shared" si="0"/>
        <v>17.601300000000002</v>
      </c>
      <c r="F9" s="242">
        <v>13.6013</v>
      </c>
      <c r="G9" s="48">
        <f>'Update Stock Prices'!S9</f>
        <v>176633061.731805</v>
      </c>
      <c r="H9" s="991">
        <f t="shared" si="27"/>
        <v>7.7003137842064118E-8</v>
      </c>
      <c r="I9" s="49">
        <f>'Update Stock Prices'!D9</f>
        <v>72.41</v>
      </c>
      <c r="J9" s="49">
        <f t="shared" si="1"/>
        <v>984.87013300000001</v>
      </c>
      <c r="K9" s="30">
        <v>551.84</v>
      </c>
      <c r="L9" s="49">
        <f t="shared" si="28"/>
        <v>433.03013299999998</v>
      </c>
      <c r="M9" s="50">
        <f t="shared" si="29"/>
        <v>0.78470232857349953</v>
      </c>
      <c r="N9" s="49">
        <f t="shared" si="30"/>
        <v>40.572592325733574</v>
      </c>
      <c r="O9" s="48">
        <f t="shared" si="2"/>
        <v>4</v>
      </c>
      <c r="P9" s="49">
        <f>IF(($B$11-$B$12)-(O9*I9)&lt;0,0,($B$11-$B$12)-(O9*I9))</f>
        <v>31.370000000000005</v>
      </c>
      <c r="Q9" s="30">
        <f>0.375*4</f>
        <v>1.5</v>
      </c>
      <c r="R9" s="49">
        <f t="shared" si="242"/>
        <v>5.5857494866529772E-2</v>
      </c>
      <c r="S9" s="49">
        <f t="shared" si="4"/>
        <v>20.401949999999999</v>
      </c>
      <c r="T9" s="49">
        <f t="shared" si="31"/>
        <v>1.7001625</v>
      </c>
      <c r="U9" s="49" t="s">
        <v>54</v>
      </c>
      <c r="V9" s="50">
        <f t="shared" si="6"/>
        <v>2.0715370805137412E-2</v>
      </c>
      <c r="W9" s="50">
        <f t="shared" si="7"/>
        <v>3.6970770513192225E-2</v>
      </c>
      <c r="X9" s="49">
        <f>12*((E9*Q9)/12-T9)</f>
        <v>6.0000000000000027</v>
      </c>
      <c r="Y9" s="49">
        <f t="shared" si="32"/>
        <v>5.1004874999999998</v>
      </c>
      <c r="Z9" s="860">
        <f t="shared" si="9"/>
        <v>0</v>
      </c>
      <c r="AA9" s="860">
        <f t="shared" si="10"/>
        <v>179.49203333333332</v>
      </c>
      <c r="AB9" s="49">
        <f t="shared" si="11"/>
        <v>12997.018133666665</v>
      </c>
      <c r="AC9" s="48">
        <v>1</v>
      </c>
      <c r="AD9" s="47" t="str">
        <f t="shared" si="12"/>
        <v>AWK</v>
      </c>
      <c r="AE9" s="49">
        <f t="shared" si="13"/>
        <v>984.87013300000001</v>
      </c>
      <c r="AF9" s="50" t="e">
        <f t="shared" si="14"/>
        <v>#REF!</v>
      </c>
      <c r="AG9" s="890" t="e">
        <f t="shared" si="15"/>
        <v>#REF!</v>
      </c>
      <c r="AH9" s="207" t="s">
        <v>453</v>
      </c>
      <c r="AI9" s="240">
        <f t="shared" si="16"/>
        <v>2.2019439856206908</v>
      </c>
      <c r="AJ9" s="11">
        <f t="shared" si="33"/>
        <v>3</v>
      </c>
      <c r="AK9" s="11"/>
      <c r="AL9" s="11">
        <v>1</v>
      </c>
      <c r="AM9" s="11"/>
      <c r="AN9" s="11"/>
      <c r="AO9" s="11"/>
      <c r="AP9" s="11"/>
      <c r="AQ9" s="11" t="str">
        <f>'Update Stock Prices'!Q9</f>
        <v>mid</v>
      </c>
      <c r="AR9" s="11"/>
      <c r="AS9" s="11"/>
      <c r="AT9" s="177" t="s">
        <v>578</v>
      </c>
      <c r="AU9" s="420"/>
      <c r="AV9" s="420"/>
      <c r="AW9" s="420"/>
      <c r="AX9" s="14"/>
      <c r="AY9" s="19"/>
      <c r="AZ9" s="21"/>
      <c r="BA9" s="15"/>
      <c r="BC9" s="19"/>
      <c r="BD9" s="932"/>
      <c r="BE9" s="593">
        <f t="shared" si="17"/>
        <v>0</v>
      </c>
      <c r="BF9" s="725">
        <f t="shared" si="221"/>
        <v>248730.26487404224</v>
      </c>
      <c r="BG9" s="420" t="str">
        <f t="shared" ca="1" si="18"/>
        <v/>
      </c>
      <c r="BH9" s="593">
        <f t="shared" ca="1" si="34"/>
        <v>10</v>
      </c>
      <c r="BI9" s="420">
        <f t="shared" ca="1" si="35"/>
        <v>44</v>
      </c>
      <c r="BJ9" s="420">
        <f t="shared" ca="1" si="35"/>
        <v>50</v>
      </c>
      <c r="BK9" s="420">
        <f t="shared" ca="1" si="36"/>
        <v>2024</v>
      </c>
      <c r="BL9" s="420" t="s">
        <v>1016</v>
      </c>
      <c r="BM9" s="19">
        <f t="shared" si="19"/>
        <v>336735.18454411509</v>
      </c>
      <c r="BN9" s="19">
        <f>CY149</f>
        <v>88004.919670072879</v>
      </c>
      <c r="BO9" s="19">
        <f>CZ149</f>
        <v>3882.9307458043777</v>
      </c>
      <c r="BP9" s="183">
        <f t="shared" si="20"/>
        <v>4.4121746379194915E-2</v>
      </c>
      <c r="BQ9" s="19">
        <f t="shared" si="21"/>
        <v>323.57756215036483</v>
      </c>
      <c r="BS9" s="420" t="str">
        <f t="shared" si="37"/>
        <v>AWK</v>
      </c>
      <c r="BT9" s="425">
        <f t="shared" si="38"/>
        <v>13.6013</v>
      </c>
      <c r="BU9" s="19">
        <f t="shared" si="39"/>
        <v>72.41</v>
      </c>
      <c r="BV9" s="19">
        <f t="shared" si="40"/>
        <v>984.87013300000001</v>
      </c>
      <c r="BW9" s="539">
        <f t="shared" si="41"/>
        <v>1.5</v>
      </c>
      <c r="BX9" s="19">
        <f t="shared" si="42"/>
        <v>20.401949999999999</v>
      </c>
      <c r="BY9" s="10">
        <f t="shared" si="43"/>
        <v>0.28175597293191551</v>
      </c>
      <c r="BZ9" s="10">
        <f t="shared" si="44"/>
        <v>13.883055972931915</v>
      </c>
      <c r="CA9" s="539">
        <f t="shared" si="45"/>
        <v>1005.272083</v>
      </c>
      <c r="CB9" s="19">
        <f t="shared" si="46"/>
        <v>20.824583959397874</v>
      </c>
      <c r="CC9" s="10">
        <f t="shared" si="47"/>
        <v>0.28759265238776238</v>
      </c>
      <c r="CD9" s="10">
        <f t="shared" si="48"/>
        <v>14.170648625319677</v>
      </c>
      <c r="CE9" s="539">
        <f t="shared" si="49"/>
        <v>1026.0966669593977</v>
      </c>
      <c r="CF9" s="19">
        <f t="shared" si="50"/>
        <v>21.255972937979514</v>
      </c>
      <c r="CG9" s="10">
        <f t="shared" si="51"/>
        <v>0.29355024082280784</v>
      </c>
      <c r="CH9" s="10">
        <f t="shared" si="52"/>
        <v>14.464198866142485</v>
      </c>
      <c r="CI9" s="539">
        <f t="shared" si="53"/>
        <v>1047.3526398973772</v>
      </c>
      <c r="CJ9" s="19">
        <f t="shared" si="54"/>
        <v>21.69629829921373</v>
      </c>
      <c r="CK9" s="10">
        <f t="shared" si="55"/>
        <v>0.29963124291138976</v>
      </c>
      <c r="CL9" s="10">
        <f t="shared" si="56"/>
        <v>14.763830109053876</v>
      </c>
      <c r="CM9" s="539">
        <f t="shared" si="57"/>
        <v>1069.0489381965911</v>
      </c>
      <c r="CN9" s="19">
        <f t="shared" si="58"/>
        <v>22.145745163580813</v>
      </c>
      <c r="CO9" s="10">
        <f t="shared" si="59"/>
        <v>0.30583821521310334</v>
      </c>
      <c r="CP9" s="10">
        <f t="shared" si="60"/>
        <v>15.06966832426698</v>
      </c>
      <c r="CQ9" s="539">
        <f t="shared" si="61"/>
        <v>1091.1946833601719</v>
      </c>
      <c r="CR9" s="19">
        <f t="shared" si="62"/>
        <v>22.60450248640047</v>
      </c>
      <c r="CS9" s="10">
        <f t="shared" si="63"/>
        <v>0.31217376724762425</v>
      </c>
      <c r="CT9" s="10">
        <f t="shared" si="64"/>
        <v>15.381842091514605</v>
      </c>
      <c r="CU9" s="539">
        <f t="shared" si="65"/>
        <v>1113.7991858465725</v>
      </c>
      <c r="CV9" s="19">
        <f t="shared" si="66"/>
        <v>23.072763137271906</v>
      </c>
      <c r="CW9" s="10">
        <f t="shared" si="67"/>
        <v>0.31864056259179541</v>
      </c>
      <c r="CX9" s="10">
        <f t="shared" si="68"/>
        <v>15.7004826541064</v>
      </c>
      <c r="CY9" s="539">
        <f t="shared" si="69"/>
        <v>1136.8719489838443</v>
      </c>
      <c r="CZ9" s="19">
        <f t="shared" si="70"/>
        <v>23.550723981159599</v>
      </c>
      <c r="DA9" s="10">
        <f t="shared" si="71"/>
        <v>0.32524131999944206</v>
      </c>
      <c r="DB9" s="10">
        <f t="shared" si="72"/>
        <v>16.025723974105841</v>
      </c>
      <c r="DC9" s="539">
        <f t="shared" si="73"/>
        <v>1160.4226729650038</v>
      </c>
      <c r="DD9" s="19">
        <f t="shared" si="74"/>
        <v>24.038585961158759</v>
      </c>
      <c r="DE9" s="10">
        <f t="shared" si="75"/>
        <v>0.33197881454438283</v>
      </c>
      <c r="DF9" s="10">
        <f t="shared" si="76"/>
        <v>16.357702788650222</v>
      </c>
      <c r="DG9" s="539">
        <f t="shared" si="77"/>
        <v>1184.4612589261626</v>
      </c>
      <c r="DH9" s="19">
        <f t="shared" si="78"/>
        <v>24.536554182975333</v>
      </c>
      <c r="DI9" s="10">
        <f t="shared" si="79"/>
        <v>0.33885587878711965</v>
      </c>
      <c r="DJ9" s="10">
        <f t="shared" si="80"/>
        <v>16.696558667437341</v>
      </c>
      <c r="DK9" s="539">
        <f t="shared" si="81"/>
        <v>1208.9978131091377</v>
      </c>
      <c r="DL9" s="19">
        <f t="shared" si="82"/>
        <v>25.044838001156009</v>
      </c>
      <c r="DM9" s="10">
        <f t="shared" si="83"/>
        <v>0.34587540396569549</v>
      </c>
      <c r="DN9" s="10">
        <f t="shared" si="84"/>
        <v>17.042434071403036</v>
      </c>
      <c r="DO9" s="539">
        <f t="shared" si="85"/>
        <v>1234.0426511102937</v>
      </c>
      <c r="DP9" s="19">
        <f t="shared" si="86"/>
        <v>25.563651107104555</v>
      </c>
      <c r="DQ9" s="10">
        <f t="shared" si="87"/>
        <v>0.35304034121122158</v>
      </c>
      <c r="DR9" s="10">
        <f t="shared" si="88"/>
        <v>17.395474412614259</v>
      </c>
      <c r="DS9" s="539">
        <f t="shared" si="89"/>
        <v>1259.6063022173985</v>
      </c>
      <c r="DT9" s="19">
        <f t="shared" si="90"/>
        <v>26.093211618921387</v>
      </c>
      <c r="DU9" s="10">
        <f t="shared" si="91"/>
        <v>0.36035370278858431</v>
      </c>
      <c r="DV9" s="10">
        <f t="shared" si="92"/>
        <v>17.755828115402842</v>
      </c>
      <c r="DW9" s="539">
        <f t="shared" si="93"/>
        <v>1285.6995138363197</v>
      </c>
      <c r="DX9" s="19">
        <f t="shared" si="94"/>
        <v>26.633742173104263</v>
      </c>
      <c r="DY9" s="10">
        <f t="shared" si="95"/>
        <v>0.36781856336285407</v>
      </c>
      <c r="DZ9" s="10">
        <f t="shared" si="96"/>
        <v>18.123646678765695</v>
      </c>
      <c r="EA9" s="539">
        <f t="shared" si="97"/>
        <v>1312.3332560094238</v>
      </c>
      <c r="EB9" s="19">
        <f t="shared" si="98"/>
        <v>27.185470018148543</v>
      </c>
      <c r="EC9" s="10">
        <f t="shared" si="99"/>
        <v>0.37543806129192853</v>
      </c>
      <c r="ED9" s="10">
        <f t="shared" si="100"/>
        <v>18.499084740057622</v>
      </c>
      <c r="EE9" s="539">
        <f t="shared" si="101"/>
        <v>1339.5187260275723</v>
      </c>
      <c r="EF9" s="19">
        <f t="shared" si="102"/>
        <v>27.748627110086431</v>
      </c>
      <c r="EG9" s="10">
        <f t="shared" si="103"/>
        <v>0.38321539994595266</v>
      </c>
      <c r="EH9" s="10">
        <f t="shared" si="104"/>
        <v>18.882300140003576</v>
      </c>
      <c r="EI9" s="539">
        <f t="shared" si="105"/>
        <v>1367.2673531376588</v>
      </c>
      <c r="EJ9" s="19">
        <f t="shared" si="106"/>
        <v>28.323450210005362</v>
      </c>
      <c r="EK9" s="10">
        <f t="shared" si="107"/>
        <v>0.39115384905407213</v>
      </c>
      <c r="EL9" s="10">
        <f t="shared" si="108"/>
        <v>19.273453989057646</v>
      </c>
      <c r="EM9" s="539">
        <f t="shared" si="109"/>
        <v>1395.5908033476642</v>
      </c>
      <c r="EN9" s="19">
        <f t="shared" si="110"/>
        <v>28.910180983586471</v>
      </c>
      <c r="EO9" s="10">
        <f t="shared" si="111"/>
        <v>0.39925674607908401</v>
      </c>
      <c r="EP9" s="10">
        <f t="shared" si="112"/>
        <v>19.672710735136729</v>
      </c>
      <c r="EQ9" s="539">
        <f t="shared" si="113"/>
        <v>1424.5009843312505</v>
      </c>
      <c r="ER9" s="19">
        <f t="shared" si="114"/>
        <v>29.509066102705091</v>
      </c>
      <c r="ES9" s="10">
        <f t="shared" si="115"/>
        <v>0.40752749762056473</v>
      </c>
      <c r="ET9" s="10">
        <f t="shared" si="116"/>
        <v>20.080238232757292</v>
      </c>
      <c r="EU9" s="539">
        <f t="shared" si="117"/>
        <v>1454.0100504339555</v>
      </c>
      <c r="EV9" s="19">
        <f t="shared" si="118"/>
        <v>30.120357349135936</v>
      </c>
      <c r="EW9" s="10">
        <f t="shared" si="119"/>
        <v>0.41596958084706448</v>
      </c>
      <c r="EX9" s="10">
        <f t="shared" si="120"/>
        <v>20.496207813604357</v>
      </c>
      <c r="EY9" s="539">
        <f t="shared" si="121"/>
        <v>1484.1304077830914</v>
      </c>
      <c r="EZ9" s="19">
        <f t="shared" si="122"/>
        <v>30.744311720406536</v>
      </c>
      <c r="FA9" s="10">
        <f t="shared" si="123"/>
        <v>0.42458654495796905</v>
      </c>
      <c r="FB9" s="10">
        <f t="shared" si="124"/>
        <v>20.920794358562325</v>
      </c>
      <c r="FC9" s="539">
        <f t="shared" si="125"/>
        <v>1514.874719503498</v>
      </c>
      <c r="FD9" s="19">
        <f t="shared" si="126"/>
        <v>31.381191537843488</v>
      </c>
      <c r="FE9" s="10">
        <f t="shared" si="127"/>
        <v>0.43338201267564547</v>
      </c>
      <c r="FF9" s="10">
        <f t="shared" si="128"/>
        <v>21.354176371237973</v>
      </c>
      <c r="FG9" s="539">
        <f t="shared" si="129"/>
        <v>1546.2559110413415</v>
      </c>
      <c r="FH9" s="19">
        <f t="shared" si="130"/>
        <v>32.031264556856961</v>
      </c>
      <c r="FI9" s="10">
        <f t="shared" si="131"/>
        <v>0.44235968176849833</v>
      </c>
      <c r="FJ9" s="10">
        <f t="shared" si="132"/>
        <v>21.79653605300647</v>
      </c>
      <c r="FK9" s="539">
        <f t="shared" si="133"/>
        <v>1578.2871755981985</v>
      </c>
      <c r="FL9" s="19">
        <f t="shared" si="134"/>
        <v>32.694804079509709</v>
      </c>
      <c r="FM9" s="10">
        <f t="shared" si="135"/>
        <v>0.45152332660557531</v>
      </c>
      <c r="FN9" s="10">
        <f t="shared" si="136"/>
        <v>22.248059379612044</v>
      </c>
      <c r="FO9" s="539">
        <f t="shared" si="137"/>
        <v>1610.9819796777081</v>
      </c>
      <c r="FP9" s="19">
        <f t="shared" si="138"/>
        <v>33.372089069418067</v>
      </c>
      <c r="FQ9" s="10">
        <f t="shared" si="139"/>
        <v>0.46087679974337892</v>
      </c>
      <c r="FR9" s="10">
        <f t="shared" si="140"/>
        <v>22.708936179355423</v>
      </c>
      <c r="FS9" s="539">
        <f t="shared" si="141"/>
        <v>1644.3540687471261</v>
      </c>
      <c r="FT9" s="19">
        <f t="shared" si="142"/>
        <v>34.063404269033136</v>
      </c>
      <c r="FU9" s="10">
        <f t="shared" si="143"/>
        <v>0.47042403354554807</v>
      </c>
      <c r="FV9" s="10">
        <f t="shared" si="144"/>
        <v>23.179360212900971</v>
      </c>
      <c r="FW9" s="539">
        <f t="shared" si="145"/>
        <v>1678.4174730161592</v>
      </c>
      <c r="FX9" s="19">
        <f t="shared" si="146"/>
        <v>34.769040319351454</v>
      </c>
      <c r="FY9" s="10">
        <f t="shared" si="147"/>
        <v>0.48016904183609249</v>
      </c>
      <c r="FZ9" s="10">
        <f t="shared" si="148"/>
        <v>23.659529254737063</v>
      </c>
      <c r="GA9" s="539">
        <f t="shared" si="149"/>
        <v>1713.1865133355107</v>
      </c>
      <c r="GB9" s="19">
        <f t="shared" si="150"/>
        <v>35.489293882105592</v>
      </c>
      <c r="GC9" s="10">
        <f t="shared" si="151"/>
        <v>0.49011592158687467</v>
      </c>
      <c r="GD9" s="10">
        <f t="shared" si="152"/>
        <v>24.149645176323936</v>
      </c>
      <c r="GE9" s="539">
        <f t="shared" si="153"/>
        <v>1748.6758072176162</v>
      </c>
      <c r="GF9" s="19">
        <f t="shared" si="154"/>
        <v>36.224467764485908</v>
      </c>
      <c r="GG9" s="10">
        <f t="shared" si="155"/>
        <v>0.50026885464004844</v>
      </c>
      <c r="GH9" s="10">
        <f t="shared" si="156"/>
        <v>24.649914030963984</v>
      </c>
      <c r="GI9" s="539">
        <f t="shared" si="157"/>
        <v>1784.900274982102</v>
      </c>
      <c r="GJ9" s="19">
        <f t="shared" si="158"/>
        <v>36.974871046445976</v>
      </c>
      <c r="GK9" s="10">
        <f t="shared" si="159"/>
        <v>0.51063210946617843</v>
      </c>
      <c r="GL9" s="10">
        <f t="shared" si="160"/>
        <v>25.160546140430164</v>
      </c>
      <c r="GM9" s="539">
        <f t="shared" si="161"/>
        <v>1821.875146028548</v>
      </c>
      <c r="GN9" s="19">
        <f t="shared" si="162"/>
        <v>37.740819210645242</v>
      </c>
      <c r="GO9" s="10">
        <f t="shared" si="163"/>
        <v>0.52121004295877982</v>
      </c>
      <c r="GP9" s="10">
        <f t="shared" si="164"/>
        <v>25.681756183388945</v>
      </c>
      <c r="GQ9" s="539">
        <f t="shared" si="165"/>
        <v>1859.6159652391934</v>
      </c>
      <c r="GR9" s="19">
        <f t="shared" si="166"/>
        <v>38.522634275083419</v>
      </c>
      <c r="GS9" s="10">
        <f t="shared" si="167"/>
        <v>0.53200710226603265</v>
      </c>
      <c r="GT9" s="10">
        <f t="shared" si="168"/>
        <v>26.213763285654977</v>
      </c>
      <c r="GU9" s="539">
        <f t="shared" si="169"/>
        <v>1898.1385995142768</v>
      </c>
      <c r="GV9" s="19">
        <f t="shared" si="170"/>
        <v>39.320644928482466</v>
      </c>
      <c r="GW9" s="10">
        <f t="shared" si="171"/>
        <v>0.54302782666044014</v>
      </c>
      <c r="GX9" s="10">
        <f t="shared" si="172"/>
        <v>26.756791112315419</v>
      </c>
      <c r="GY9" s="539">
        <f t="shared" si="173"/>
        <v>1937.4592444427594</v>
      </c>
      <c r="GZ9" s="19">
        <f t="shared" si="174"/>
        <v>40.135186668473125</v>
      </c>
      <c r="HA9" s="10">
        <f t="shared" si="175"/>
        <v>0.554276849447219</v>
      </c>
      <c r="HB9" s="10">
        <f t="shared" si="176"/>
        <v>27.311067961762639</v>
      </c>
      <c r="HC9" s="539">
        <f t="shared" si="177"/>
        <v>1977.5944311112326</v>
      </c>
      <c r="HD9" s="19">
        <f t="shared" si="178"/>
        <v>40.966601942643962</v>
      </c>
      <c r="HE9" s="10">
        <f t="shared" si="179"/>
        <v>0.56575889991222161</v>
      </c>
      <c r="HF9" s="10">
        <f t="shared" si="180"/>
        <v>27.876826861674861</v>
      </c>
      <c r="HG9" s="539">
        <f t="shared" si="181"/>
        <v>2018.5610330538766</v>
      </c>
      <c r="HH9" s="19">
        <f t="shared" si="182"/>
        <v>41.815240292512293</v>
      </c>
      <c r="HI9" s="10">
        <f t="shared" si="183"/>
        <v>0.5774788053102099</v>
      </c>
      <c r="HJ9" s="10">
        <f t="shared" si="184"/>
        <v>28.454305666985071</v>
      </c>
      <c r="HK9" s="539">
        <f t="shared" si="185"/>
        <v>2060.3762733463891</v>
      </c>
      <c r="HL9" s="19">
        <f t="shared" si="186"/>
        <v>42.681458500477603</v>
      </c>
      <c r="HM9" s="10">
        <f t="shared" si="187"/>
        <v>0.58944149289431857</v>
      </c>
      <c r="HN9" s="10">
        <f t="shared" si="188"/>
        <v>29.043747159879391</v>
      </c>
      <c r="HO9" s="539">
        <f t="shared" si="189"/>
        <v>2103.0577318468668</v>
      </c>
      <c r="HP9" s="19">
        <f t="shared" si="190"/>
        <v>43.565620739819089</v>
      </c>
      <c r="HQ9" s="10">
        <f t="shared" si="191"/>
        <v>0.60165199198755825</v>
      </c>
      <c r="HR9" s="10">
        <f t="shared" si="192"/>
        <v>29.64539915186695</v>
      </c>
      <c r="HS9" s="539">
        <f t="shared" si="193"/>
        <v>2146.623352586686</v>
      </c>
      <c r="HT9" s="19">
        <f t="shared" si="194"/>
        <v>44.468098727800424</v>
      </c>
      <c r="HU9" s="10">
        <f t="shared" si="195"/>
        <v>0.61411543609723007</v>
      </c>
      <c r="HV9" s="10">
        <f t="shared" si="196"/>
        <v>30.25951458796418</v>
      </c>
      <c r="HW9" s="539">
        <f t="shared" si="197"/>
        <v>2191.0914513144862</v>
      </c>
      <c r="HX9" s="19">
        <f t="shared" si="198"/>
        <v>45.389271881946271</v>
      </c>
      <c r="HY9" s="10">
        <f t="shared" si="199"/>
        <v>0.62683706507314285</v>
      </c>
      <c r="HZ9" s="10">
        <f t="shared" si="200"/>
        <v>30.886351653037323</v>
      </c>
      <c r="IA9" s="539">
        <f t="shared" si="201"/>
        <v>2236.4807231964323</v>
      </c>
      <c r="IB9" s="19">
        <f t="shared" si="202"/>
        <v>46.329527479555985</v>
      </c>
      <c r="IF9" s="661">
        <v>8.0399999999999991</v>
      </c>
      <c r="IG9" s="1300">
        <f>IF9</f>
        <v>8.0399999999999991</v>
      </c>
      <c r="IH9" s="1300">
        <v>176.46</v>
      </c>
      <c r="II9" s="1380">
        <v>24.79</v>
      </c>
      <c r="IJ9" s="1371">
        <v>2.6499999999999999E-2</v>
      </c>
      <c r="IK9" s="1302">
        <v>49.13</v>
      </c>
      <c r="IL9" s="1300">
        <f>Q38</f>
        <v>0.37916666666666665</v>
      </c>
      <c r="IM9" s="1300">
        <f>Q38</f>
        <v>0.37916666666666665</v>
      </c>
      <c r="IN9" s="1373">
        <v>34338182.149999999</v>
      </c>
      <c r="IO9" s="702">
        <f>14714.9*1000000</f>
        <v>14714900000</v>
      </c>
      <c r="IP9" s="493">
        <f>IF9</f>
        <v>8.0399999999999991</v>
      </c>
      <c r="IY9"/>
    </row>
    <row r="10" spans="1:263">
      <c r="A10" s="14"/>
      <c r="B10" s="20"/>
      <c r="C10" s="826" t="s">
        <v>2343</v>
      </c>
      <c r="D10" s="47" t="s">
        <v>617</v>
      </c>
      <c r="E10" s="396">
        <f t="shared" si="0"/>
        <v>9.057500000000001</v>
      </c>
      <c r="F10" s="242">
        <v>2.0575000000000001</v>
      </c>
      <c r="G10" s="48">
        <f>'Update Stock Prices'!S10</f>
        <v>36516216.829212971</v>
      </c>
      <c r="H10" s="991">
        <f t="shared" si="27"/>
        <v>5.6344829192546591E-8</v>
      </c>
      <c r="I10" s="49">
        <f>'Update Stock Prices'!D10</f>
        <v>44.09</v>
      </c>
      <c r="J10" s="49">
        <f t="shared" si="1"/>
        <v>90.715175000000016</v>
      </c>
      <c r="K10" s="30">
        <v>71.87</v>
      </c>
      <c r="L10" s="49">
        <f t="shared" si="28"/>
        <v>18.845175000000012</v>
      </c>
      <c r="M10" s="50">
        <f t="shared" si="29"/>
        <v>0.26221197996382373</v>
      </c>
      <c r="N10" s="49">
        <f t="shared" si="30"/>
        <v>34.930741190765495</v>
      </c>
      <c r="O10" s="48">
        <f t="shared" si="2"/>
        <v>7</v>
      </c>
      <c r="P10" s="49">
        <f t="shared" si="3"/>
        <v>12.379999999999995</v>
      </c>
      <c r="Q10" s="30">
        <f>0.242*4</f>
        <v>0.96799999999999997</v>
      </c>
      <c r="R10" s="49">
        <f>S10/365.25</f>
        <v>5.4528678986995212E-3</v>
      </c>
      <c r="S10" s="49">
        <f t="shared" si="4"/>
        <v>1.99166</v>
      </c>
      <c r="T10" s="49">
        <f>S10/12</f>
        <v>0.16597166666666666</v>
      </c>
      <c r="U10" s="49" t="s">
        <v>54</v>
      </c>
      <c r="V10" s="50">
        <f t="shared" si="6"/>
        <v>2.1955091857564071E-2</v>
      </c>
      <c r="W10" s="50">
        <f t="shared" si="7"/>
        <v>2.7711979963823567E-2</v>
      </c>
      <c r="X10" s="49">
        <f>12*((E10*Q10)/12-T10)</f>
        <v>6.7760000000000016</v>
      </c>
      <c r="Y10" s="49">
        <f t="shared" si="32"/>
        <v>0.497915</v>
      </c>
      <c r="Z10" s="860">
        <f t="shared" si="9"/>
        <v>0</v>
      </c>
      <c r="AA10" s="860">
        <f t="shared" si="10"/>
        <v>180.13258264462812</v>
      </c>
      <c r="AB10" s="49">
        <f t="shared" si="11"/>
        <v>7942.0455688016546</v>
      </c>
      <c r="AC10" s="48">
        <v>1</v>
      </c>
      <c r="AD10" s="47" t="str">
        <f t="shared" si="12"/>
        <v>AWR</v>
      </c>
      <c r="AE10" s="49">
        <f t="shared" si="13"/>
        <v>90.715175000000016</v>
      </c>
      <c r="AF10" s="50" t="e">
        <f t="shared" si="14"/>
        <v>#REF!</v>
      </c>
      <c r="AG10" s="890" t="e">
        <f t="shared" si="15"/>
        <v>#REF!</v>
      </c>
      <c r="AH10" s="207" t="s">
        <v>453</v>
      </c>
      <c r="AI10" s="240">
        <f t="shared" si="16"/>
        <v>1.868134830494185E-2</v>
      </c>
      <c r="AJ10" s="11">
        <f t="shared" si="33"/>
        <v>3</v>
      </c>
      <c r="AK10" s="11"/>
      <c r="AL10" s="11">
        <v>1</v>
      </c>
      <c r="AM10" s="11"/>
      <c r="AN10" s="11"/>
      <c r="AO10" s="11"/>
      <c r="AP10" s="11"/>
      <c r="AQ10" s="11" t="str">
        <f>'Update Stock Prices'!Q10</f>
        <v>small</v>
      </c>
      <c r="AR10" s="11"/>
      <c r="AS10" s="11"/>
      <c r="AT10" s="176" t="s">
        <v>447</v>
      </c>
      <c r="AU10" s="420"/>
      <c r="AV10" s="420"/>
      <c r="AW10" s="420"/>
      <c r="AY10" s="376" t="s">
        <v>1457</v>
      </c>
      <c r="AZ10" s="601">
        <v>0.28999999999999998</v>
      </c>
      <c r="BA10" s="20"/>
      <c r="BB10" s="7" t="s">
        <v>2408</v>
      </c>
      <c r="BC10" s="420"/>
      <c r="BD10" s="932"/>
      <c r="BE10" s="593">
        <f t="shared" si="17"/>
        <v>0</v>
      </c>
      <c r="BF10" s="725">
        <f t="shared" si="221"/>
        <v>264663.24017152307</v>
      </c>
      <c r="BG10" s="420" t="str">
        <f t="shared" ca="1" si="18"/>
        <v/>
      </c>
      <c r="BH10" s="593">
        <f t="shared" ca="1" si="34"/>
        <v>11</v>
      </c>
      <c r="BI10" s="420">
        <f t="shared" ca="1" si="35"/>
        <v>45</v>
      </c>
      <c r="BJ10" s="420">
        <f t="shared" ca="1" si="35"/>
        <v>51</v>
      </c>
      <c r="BK10" s="420">
        <f t="shared" ca="1" si="36"/>
        <v>2025</v>
      </c>
      <c r="BL10" s="420" t="s">
        <v>1017</v>
      </c>
      <c r="BM10" s="19">
        <f t="shared" si="19"/>
        <v>356551.09058740037</v>
      </c>
      <c r="BN10" s="19">
        <f>DC149</f>
        <v>91887.850415877299</v>
      </c>
      <c r="BO10" s="20">
        <f>DD149</f>
        <v>4126.2456796695615</v>
      </c>
      <c r="BP10" s="183">
        <f t="shared" si="20"/>
        <v>4.4905236774987041E-2</v>
      </c>
      <c r="BQ10" s="19">
        <f t="shared" si="21"/>
        <v>343.85380663913014</v>
      </c>
      <c r="BS10" s="420" t="str">
        <f t="shared" si="37"/>
        <v>AWR</v>
      </c>
      <c r="BT10" s="425">
        <f t="shared" si="38"/>
        <v>2.0575000000000001</v>
      </c>
      <c r="BU10" s="19">
        <f t="shared" si="39"/>
        <v>44.09</v>
      </c>
      <c r="BV10" s="19">
        <f t="shared" si="40"/>
        <v>90.715175000000016</v>
      </c>
      <c r="BW10" s="539">
        <f t="shared" si="41"/>
        <v>0.96799999999999997</v>
      </c>
      <c r="BX10" s="19">
        <f t="shared" si="42"/>
        <v>1.99166</v>
      </c>
      <c r="BY10" s="10">
        <f t="shared" si="43"/>
        <v>4.5172601496938081E-2</v>
      </c>
      <c r="BZ10" s="10">
        <f t="shared" si="44"/>
        <v>2.1026726014969381</v>
      </c>
      <c r="CA10" s="539">
        <f t="shared" si="45"/>
        <v>92.706835000000012</v>
      </c>
      <c r="CB10" s="19">
        <f t="shared" si="46"/>
        <v>2.0353870782490362</v>
      </c>
      <c r="CC10" s="10">
        <f t="shared" si="47"/>
        <v>4.6164370112248491E-2</v>
      </c>
      <c r="CD10" s="10">
        <f t="shared" si="48"/>
        <v>2.1488369716091866</v>
      </c>
      <c r="CE10" s="539">
        <f t="shared" si="49"/>
        <v>94.742222078249043</v>
      </c>
      <c r="CF10" s="19">
        <f t="shared" si="50"/>
        <v>2.0800741885176928</v>
      </c>
      <c r="CG10" s="10">
        <f t="shared" si="51"/>
        <v>4.7177913098609497E-2</v>
      </c>
      <c r="CH10" s="10">
        <f t="shared" si="52"/>
        <v>2.1960148847077963</v>
      </c>
      <c r="CI10" s="539">
        <f t="shared" si="53"/>
        <v>96.822296266766742</v>
      </c>
      <c r="CJ10" s="19">
        <f t="shared" si="54"/>
        <v>2.1257424083971466</v>
      </c>
      <c r="CK10" s="10">
        <f t="shared" si="55"/>
        <v>4.8213708514337636E-2</v>
      </c>
      <c r="CL10" s="10">
        <f t="shared" si="56"/>
        <v>2.2442285932221337</v>
      </c>
      <c r="CM10" s="539">
        <f t="shared" si="57"/>
        <v>98.948038675163886</v>
      </c>
      <c r="CN10" s="19">
        <f t="shared" si="58"/>
        <v>2.1724132782390253</v>
      </c>
      <c r="CO10" s="10">
        <f t="shared" si="59"/>
        <v>4.9272244913563738E-2</v>
      </c>
      <c r="CP10" s="10">
        <f t="shared" si="60"/>
        <v>2.2935008381356976</v>
      </c>
      <c r="CQ10" s="539">
        <f t="shared" si="61"/>
        <v>101.12045195340292</v>
      </c>
      <c r="CR10" s="19">
        <f t="shared" si="62"/>
        <v>2.2201088113153551</v>
      </c>
      <c r="CS10" s="10">
        <f t="shared" si="63"/>
        <v>5.0354021576669426E-2</v>
      </c>
      <c r="CT10" s="10">
        <f t="shared" si="64"/>
        <v>2.343854859712367</v>
      </c>
      <c r="CU10" s="539">
        <f t="shared" si="65"/>
        <v>103.34056076471826</v>
      </c>
      <c r="CV10" s="19">
        <f t="shared" si="66"/>
        <v>2.2688515042015713</v>
      </c>
      <c r="CW10" s="10">
        <f t="shared" si="67"/>
        <v>5.1459548745782971E-2</v>
      </c>
      <c r="CX10" s="10">
        <f t="shared" si="68"/>
        <v>2.3953144084581499</v>
      </c>
      <c r="CY10" s="539">
        <f t="shared" si="69"/>
        <v>105.60941226891984</v>
      </c>
      <c r="CZ10" s="19">
        <f t="shared" si="70"/>
        <v>2.3186643473874891</v>
      </c>
      <c r="DA10" s="10">
        <f t="shared" si="71"/>
        <v>5.2589347865445425E-2</v>
      </c>
      <c r="DB10" s="10">
        <f t="shared" si="72"/>
        <v>2.4479037563235955</v>
      </c>
      <c r="DC10" s="539">
        <f t="shared" si="73"/>
        <v>107.92807661630734</v>
      </c>
      <c r="DD10" s="19">
        <f t="shared" si="74"/>
        <v>2.3695708361212402</v>
      </c>
      <c r="DE10" s="10">
        <f t="shared" si="75"/>
        <v>5.374395182856067E-2</v>
      </c>
      <c r="DF10" s="10">
        <f t="shared" si="76"/>
        <v>2.5016477081521562</v>
      </c>
      <c r="DG10" s="539">
        <f t="shared" si="77"/>
        <v>110.29764745242858</v>
      </c>
      <c r="DH10" s="19">
        <f t="shared" si="78"/>
        <v>2.4215949814912872</v>
      </c>
      <c r="DI10" s="10">
        <f t="shared" si="79"/>
        <v>5.4923905227745227E-2</v>
      </c>
      <c r="DJ10" s="10">
        <f t="shared" si="80"/>
        <v>2.5565716133799015</v>
      </c>
      <c r="DK10" s="539">
        <f t="shared" si="81"/>
        <v>112.71924243391986</v>
      </c>
      <c r="DL10" s="19">
        <f t="shared" si="82"/>
        <v>2.4747613217517443</v>
      </c>
      <c r="DM10" s="10">
        <f t="shared" si="83"/>
        <v>5.6129764612196507E-2</v>
      </c>
      <c r="DN10" s="10">
        <f t="shared" si="84"/>
        <v>2.612701377992098</v>
      </c>
      <c r="DO10" s="539">
        <f t="shared" si="85"/>
        <v>115.19400375567162</v>
      </c>
      <c r="DP10" s="19">
        <f t="shared" si="86"/>
        <v>2.5290949338963506</v>
      </c>
      <c r="DQ10" s="10">
        <f t="shared" si="87"/>
        <v>5.7362098750200735E-2</v>
      </c>
      <c r="DR10" s="10">
        <f t="shared" si="88"/>
        <v>2.6700634767422988</v>
      </c>
      <c r="DS10" s="539">
        <f t="shared" si="89"/>
        <v>117.72309868956796</v>
      </c>
      <c r="DT10" s="19">
        <f t="shared" si="90"/>
        <v>2.5846214454865453</v>
      </c>
      <c r="DU10" s="10">
        <f t="shared" si="91"/>
        <v>5.862148889740406E-2</v>
      </c>
      <c r="DV10" s="10">
        <f t="shared" si="92"/>
        <v>2.7286849656397028</v>
      </c>
      <c r="DW10" s="539">
        <f t="shared" si="93"/>
        <v>120.30772013505451</v>
      </c>
      <c r="DX10" s="19">
        <f t="shared" si="94"/>
        <v>2.6413670467392323</v>
      </c>
      <c r="DY10" s="10">
        <f t="shared" si="95"/>
        <v>5.9908529070973736E-2</v>
      </c>
      <c r="DZ10" s="10">
        <f t="shared" si="96"/>
        <v>2.7885934947106765</v>
      </c>
      <c r="EA10" s="539">
        <f t="shared" si="97"/>
        <v>122.94908718179374</v>
      </c>
      <c r="EB10" s="19">
        <f t="shared" si="98"/>
        <v>2.6993585028799347</v>
      </c>
      <c r="EC10" s="10">
        <f t="shared" si="99"/>
        <v>6.1223826329778512E-2</v>
      </c>
      <c r="ED10" s="10">
        <f t="shared" si="100"/>
        <v>2.8498173210404549</v>
      </c>
      <c r="EE10" s="539">
        <f t="shared" si="101"/>
        <v>125.64844568467366</v>
      </c>
      <c r="EF10" s="19">
        <f t="shared" si="102"/>
        <v>2.7586231667671601</v>
      </c>
      <c r="EG10" s="10">
        <f t="shared" si="103"/>
        <v>6.2568001060720344E-2</v>
      </c>
      <c r="EH10" s="10">
        <f t="shared" si="104"/>
        <v>2.9123853221011751</v>
      </c>
      <c r="EI10" s="539">
        <f t="shared" si="105"/>
        <v>128.40706885144081</v>
      </c>
      <c r="EJ10" s="19">
        <f t="shared" si="106"/>
        <v>2.8191889917939372</v>
      </c>
      <c r="EK10" s="10">
        <f t="shared" si="107"/>
        <v>6.3941687271352618E-2</v>
      </c>
      <c r="EL10" s="10">
        <f t="shared" si="108"/>
        <v>2.9763270093725276</v>
      </c>
      <c r="EM10" s="539">
        <f t="shared" si="109"/>
        <v>131.22625784323475</v>
      </c>
      <c r="EN10" s="19">
        <f t="shared" si="110"/>
        <v>2.8810845450726066</v>
      </c>
      <c r="EO10" s="10">
        <f t="shared" si="111"/>
        <v>6.5345532888922808E-2</v>
      </c>
      <c r="EP10" s="10">
        <f t="shared" si="112"/>
        <v>3.0416725422614506</v>
      </c>
      <c r="EQ10" s="539">
        <f t="shared" si="113"/>
        <v>134.10734238830736</v>
      </c>
      <c r="ER10" s="19">
        <f t="shared" si="114"/>
        <v>2.9443390209090841</v>
      </c>
      <c r="ES10" s="10">
        <f t="shared" si="115"/>
        <v>6.678020006598058E-2</v>
      </c>
      <c r="ET10" s="10">
        <f t="shared" si="116"/>
        <v>3.1084527423274313</v>
      </c>
      <c r="EU10" s="539">
        <f t="shared" si="117"/>
        <v>137.05168140921646</v>
      </c>
      <c r="EV10" s="19">
        <f t="shared" si="118"/>
        <v>3.0089822545729534</v>
      </c>
      <c r="EW10" s="10">
        <f t="shared" si="119"/>
        <v>6.8246365492695693E-2</v>
      </c>
      <c r="EX10" s="10">
        <f t="shared" si="120"/>
        <v>3.1766991078201272</v>
      </c>
      <c r="EY10" s="539">
        <f t="shared" si="121"/>
        <v>140.06066366378943</v>
      </c>
      <c r="EZ10" s="19">
        <f t="shared" si="122"/>
        <v>3.075044736369883</v>
      </c>
      <c r="FA10" s="10">
        <f t="shared" si="123"/>
        <v>6.9744720716032715E-2</v>
      </c>
      <c r="FB10" s="10">
        <f t="shared" si="124"/>
        <v>3.2464438285361599</v>
      </c>
      <c r="FC10" s="539">
        <f t="shared" si="125"/>
        <v>143.1357084001593</v>
      </c>
      <c r="FD10" s="19">
        <f t="shared" si="126"/>
        <v>3.1425576260230028</v>
      </c>
      <c r="FE10" s="10">
        <f t="shared" si="127"/>
        <v>7.1275972465933382E-2</v>
      </c>
      <c r="FF10" s="10">
        <f t="shared" si="128"/>
        <v>3.3177198010020934</v>
      </c>
      <c r="FG10" s="539">
        <f t="shared" si="129"/>
        <v>146.27826602618231</v>
      </c>
      <c r="FH10" s="19">
        <f t="shared" si="130"/>
        <v>3.2115527673700264</v>
      </c>
      <c r="FI10" s="10">
        <f t="shared" si="131"/>
        <v>7.2840842988660157E-2</v>
      </c>
      <c r="FJ10" s="10">
        <f t="shared" si="132"/>
        <v>3.3905606439907534</v>
      </c>
      <c r="FK10" s="539">
        <f t="shared" si="133"/>
        <v>149.48981879355233</v>
      </c>
      <c r="FL10" s="19">
        <f t="shared" si="134"/>
        <v>3.2820627033830494</v>
      </c>
      <c r="FM10" s="10">
        <f t="shared" si="135"/>
        <v>7.444007038745859E-2</v>
      </c>
      <c r="FN10" s="10">
        <f t="shared" si="136"/>
        <v>3.465000714378212</v>
      </c>
      <c r="FO10" s="539">
        <f t="shared" si="137"/>
        <v>152.77188149693538</v>
      </c>
      <c r="FP10" s="19">
        <f t="shared" si="138"/>
        <v>3.354120691518109</v>
      </c>
      <c r="FQ10" s="10">
        <f t="shared" si="139"/>
        <v>7.6074408970698768E-2</v>
      </c>
      <c r="FR10" s="10">
        <f t="shared" si="140"/>
        <v>3.5410751233489108</v>
      </c>
      <c r="FS10" s="539">
        <f t="shared" si="141"/>
        <v>156.1260021884535</v>
      </c>
      <c r="FT10" s="19">
        <f t="shared" si="142"/>
        <v>3.4277607194017454</v>
      </c>
      <c r="FU10" s="10">
        <f t="shared" si="143"/>
        <v>7.7744629607660362E-2</v>
      </c>
      <c r="FV10" s="10">
        <f t="shared" si="144"/>
        <v>3.6188197529565711</v>
      </c>
      <c r="FW10" s="539">
        <f t="shared" si="145"/>
        <v>159.55376290785523</v>
      </c>
      <c r="FX10" s="19">
        <f t="shared" si="146"/>
        <v>3.5030175208619609</v>
      </c>
      <c r="FY10" s="10">
        <f t="shared" si="147"/>
        <v>7.9451520092128844E-2</v>
      </c>
      <c r="FZ10" s="10">
        <f t="shared" si="148"/>
        <v>3.6982712730486997</v>
      </c>
      <c r="GA10" s="539">
        <f t="shared" si="149"/>
        <v>163.05678042871719</v>
      </c>
      <c r="GB10" s="19">
        <f t="shared" si="150"/>
        <v>3.5799265923111414</v>
      </c>
      <c r="GC10" s="10">
        <f t="shared" si="151"/>
        <v>8.1195885513974622E-2</v>
      </c>
      <c r="GD10" s="10">
        <f t="shared" si="152"/>
        <v>3.7794671585626745</v>
      </c>
      <c r="GE10" s="539">
        <f t="shared" si="153"/>
        <v>166.63670702102834</v>
      </c>
      <c r="GF10" s="19">
        <f t="shared" si="154"/>
        <v>3.658524209488669</v>
      </c>
      <c r="GG10" s="10">
        <f t="shared" si="155"/>
        <v>8.297854863889019E-2</v>
      </c>
      <c r="GH10" s="10">
        <f t="shared" si="156"/>
        <v>3.8624457072015645</v>
      </c>
      <c r="GI10" s="539">
        <f t="shared" si="157"/>
        <v>170.295231230517</v>
      </c>
      <c r="GJ10" s="19">
        <f t="shared" si="158"/>
        <v>3.7388474445711144</v>
      </c>
      <c r="GK10" s="10">
        <f t="shared" si="159"/>
        <v>8.4800350296464377E-2</v>
      </c>
      <c r="GL10" s="10">
        <f t="shared" si="160"/>
        <v>3.9472460574980288</v>
      </c>
      <c r="GM10" s="539">
        <f t="shared" si="161"/>
        <v>174.0340786750881</v>
      </c>
      <c r="GN10" s="19">
        <f t="shared" si="162"/>
        <v>3.8209341836580917</v>
      </c>
      <c r="GO10" s="10">
        <f t="shared" si="163"/>
        <v>8.6662149776776845E-2</v>
      </c>
      <c r="GP10" s="10">
        <f t="shared" si="164"/>
        <v>4.0339082072748056</v>
      </c>
      <c r="GQ10" s="539">
        <f t="shared" si="165"/>
        <v>177.85501285874619</v>
      </c>
      <c r="GR10" s="19">
        <f t="shared" si="166"/>
        <v>3.9048231446420116</v>
      </c>
      <c r="GS10" s="10">
        <f t="shared" si="167"/>
        <v>8.8564825235699959E-2</v>
      </c>
      <c r="GT10" s="10">
        <f t="shared" si="168"/>
        <v>4.1224730325105057</v>
      </c>
      <c r="GU10" s="539">
        <f t="shared" si="169"/>
        <v>181.75983600338822</v>
      </c>
      <c r="GV10" s="19">
        <f t="shared" si="170"/>
        <v>3.9905538954701694</v>
      </c>
      <c r="GW10" s="10">
        <f t="shared" si="171"/>
        <v>9.0509274109098869E-2</v>
      </c>
      <c r="GX10" s="10">
        <f t="shared" si="172"/>
        <v>4.2129823066196046</v>
      </c>
      <c r="GY10" s="539">
        <f t="shared" si="173"/>
        <v>185.75038989885837</v>
      </c>
      <c r="GZ10" s="19">
        <f t="shared" si="174"/>
        <v>4.0781668728077776</v>
      </c>
      <c r="HA10" s="10">
        <f t="shared" si="175"/>
        <v>9.2496413536125588E-2</v>
      </c>
      <c r="HB10" s="10">
        <f t="shared" si="176"/>
        <v>4.3054787201557305</v>
      </c>
      <c r="HC10" s="539">
        <f t="shared" si="177"/>
        <v>189.82855677166617</v>
      </c>
      <c r="HD10" s="19">
        <f t="shared" si="178"/>
        <v>4.1677034011107468</v>
      </c>
      <c r="HE10" s="10">
        <f t="shared" si="179"/>
        <v>9.4527180791806456E-2</v>
      </c>
      <c r="HF10" s="10">
        <f t="shared" si="180"/>
        <v>4.4000059009475372</v>
      </c>
      <c r="HG10" s="539">
        <f t="shared" si="181"/>
        <v>193.99626017277694</v>
      </c>
      <c r="HH10" s="19">
        <f t="shared" si="182"/>
        <v>4.2592057121172155</v>
      </c>
      <c r="HI10" s="10">
        <f t="shared" si="183"/>
        <v>9.6602533729127138E-2</v>
      </c>
      <c r="HJ10" s="10">
        <f t="shared" si="184"/>
        <v>4.4966084346766646</v>
      </c>
      <c r="HK10" s="539">
        <f t="shared" si="185"/>
        <v>198.25546588489416</v>
      </c>
      <c r="HL10" s="19">
        <f t="shared" si="186"/>
        <v>4.3527169647670112</v>
      </c>
      <c r="HM10" s="10">
        <f t="shared" si="187"/>
        <v>9.8723451230823558E-2</v>
      </c>
      <c r="HN10" s="10">
        <f t="shared" si="188"/>
        <v>4.5953318859074885</v>
      </c>
      <c r="HO10" s="539">
        <f t="shared" si="189"/>
        <v>202.60818284966118</v>
      </c>
      <c r="HP10" s="19">
        <f t="shared" si="190"/>
        <v>4.4482812655584487</v>
      </c>
      <c r="HQ10" s="10">
        <f t="shared" si="191"/>
        <v>0.10089093367109205</v>
      </c>
      <c r="HR10" s="10">
        <f t="shared" si="192"/>
        <v>4.6962228195785807</v>
      </c>
      <c r="HS10" s="539">
        <f t="shared" si="193"/>
        <v>207.05646411521963</v>
      </c>
      <c r="HT10" s="19">
        <f t="shared" si="194"/>
        <v>4.5459436893520664</v>
      </c>
      <c r="HU10" s="10">
        <f t="shared" si="195"/>
        <v>0.10310600338743629</v>
      </c>
      <c r="HV10" s="10">
        <f t="shared" si="196"/>
        <v>4.7993288229660171</v>
      </c>
      <c r="HW10" s="539">
        <f t="shared" si="197"/>
        <v>211.60240780457173</v>
      </c>
      <c r="HX10" s="19">
        <f t="shared" si="198"/>
        <v>4.6457503006311045</v>
      </c>
      <c r="HY10" s="10">
        <f t="shared" si="199"/>
        <v>0.10536970516287376</v>
      </c>
      <c r="HZ10" s="10">
        <f t="shared" si="200"/>
        <v>4.9046985281288906</v>
      </c>
      <c r="IA10" s="539">
        <f t="shared" si="201"/>
        <v>216.2481581052028</v>
      </c>
      <c r="IB10" s="19">
        <f t="shared" si="202"/>
        <v>4.7477481752287662</v>
      </c>
      <c r="IC10" s="11"/>
      <c r="IF10" s="660"/>
      <c r="IG10" s="540"/>
      <c r="IH10" s="540"/>
      <c r="II10" s="540"/>
      <c r="IJ10" s="540"/>
      <c r="IK10" s="540"/>
      <c r="IL10" s="540"/>
      <c r="IM10" s="540"/>
      <c r="IN10" s="540"/>
      <c r="IO10" s="665"/>
      <c r="IP10" s="236"/>
      <c r="IY10"/>
    </row>
    <row r="11" spans="1:263" s="11" customFormat="1">
      <c r="A11" s="10" t="s">
        <v>51</v>
      </c>
      <c r="B11" s="20">
        <f>B8+B9</f>
        <v>321.01</v>
      </c>
      <c r="C11" s="826" t="s">
        <v>2342</v>
      </c>
      <c r="D11" s="47" t="s">
        <v>98</v>
      </c>
      <c r="E11" s="396">
        <f t="shared" si="0"/>
        <v>16.0519</v>
      </c>
      <c r="F11" s="242">
        <v>3.0518999999999998</v>
      </c>
      <c r="G11" s="48">
        <f>'Update Stock Prices'!S11</f>
        <v>10304851867.754402</v>
      </c>
      <c r="H11" s="991">
        <f t="shared" si="27"/>
        <v>2.9616146249999994E-10</v>
      </c>
      <c r="I11" s="49">
        <f>'Update Stock Prices'!D11</f>
        <v>23.29</v>
      </c>
      <c r="J11" s="49">
        <f t="shared" si="1"/>
        <v>71.078750999999997</v>
      </c>
      <c r="K11" s="30">
        <v>43.4</v>
      </c>
      <c r="L11" s="49">
        <f t="shared" si="28"/>
        <v>27.678750999999998</v>
      </c>
      <c r="M11" s="50">
        <f t="shared" si="29"/>
        <v>0.63775923963133641</v>
      </c>
      <c r="N11" s="49">
        <f t="shared" si="30"/>
        <v>14.220649431501688</v>
      </c>
      <c r="O11" s="48">
        <f t="shared" si="2"/>
        <v>13</v>
      </c>
      <c r="P11" s="49">
        <f>IF(($B$11-$B$12)-(O11*I11)&lt;0,0,($B$11-$B$12)-(O11*I11))</f>
        <v>18.240000000000009</v>
      </c>
      <c r="Q11" s="30">
        <f>0.075*4</f>
        <v>0.3</v>
      </c>
      <c r="R11" s="49">
        <f>S11/365.25</f>
        <v>2.5066940451745376E-3</v>
      </c>
      <c r="S11" s="49">
        <f t="shared" si="4"/>
        <v>0.91556999999999988</v>
      </c>
      <c r="T11" s="49">
        <f>S11/12</f>
        <v>7.629749999999999E-2</v>
      </c>
      <c r="U11" s="49" t="s">
        <v>54</v>
      </c>
      <c r="V11" s="50">
        <f t="shared" si="6"/>
        <v>1.2881064834693002E-2</v>
      </c>
      <c r="W11" s="50">
        <f t="shared" si="7"/>
        <v>2.1096082949308755E-2</v>
      </c>
      <c r="X11" s="49">
        <f t="shared" si="8"/>
        <v>3.9000000000000008</v>
      </c>
      <c r="Y11" s="49">
        <f t="shared" si="32"/>
        <v>0.22889249999999997</v>
      </c>
      <c r="Z11" s="860">
        <f t="shared" si="9"/>
        <v>0</v>
      </c>
      <c r="AA11" s="860">
        <f t="shared" si="10"/>
        <v>307.48143333333337</v>
      </c>
      <c r="AB11" s="49">
        <f t="shared" si="11"/>
        <v>7161.2425823333342</v>
      </c>
      <c r="AC11" s="48">
        <v>1</v>
      </c>
      <c r="AD11" s="47" t="str">
        <f t="shared" si="12"/>
        <v>BAC</v>
      </c>
      <c r="AE11" s="49">
        <f t="shared" si="13"/>
        <v>71.078750999999997</v>
      </c>
      <c r="AF11" s="50" t="e">
        <f t="shared" si="14"/>
        <v>#REF!</v>
      </c>
      <c r="AG11" s="890" t="e">
        <f t="shared" si="15"/>
        <v>#REF!</v>
      </c>
      <c r="AH11" s="207" t="s">
        <v>102</v>
      </c>
      <c r="AI11" s="240">
        <f t="shared" si="16"/>
        <v>1.1469062193859481E-2</v>
      </c>
      <c r="AJ11" s="11">
        <f t="shared" si="33"/>
        <v>3</v>
      </c>
      <c r="AQ11" s="11" t="str">
        <f>'Update Stock Prices'!Q11</f>
        <v>mega</v>
      </c>
      <c r="AR11" s="11">
        <v>1</v>
      </c>
      <c r="AT11" s="176" t="s">
        <v>154</v>
      </c>
      <c r="AU11" s="420"/>
      <c r="AW11" s="420"/>
      <c r="AX11" s="8"/>
      <c r="AY11" s="224" t="s">
        <v>1213</v>
      </c>
      <c r="AZ11" s="602">
        <f>AZ2/1000</f>
        <v>38.986190521200001</v>
      </c>
      <c r="BA11" s="19"/>
      <c r="BB11" s="20">
        <f ca="1">AZ8/BB112</f>
        <v>33.44331443300414</v>
      </c>
      <c r="BD11" s="932"/>
      <c r="BE11" s="593">
        <f t="shared" si="17"/>
        <v>0</v>
      </c>
      <c r="BF11" s="725">
        <f t="shared" si="221"/>
        <v>280914.87497495353</v>
      </c>
      <c r="BG11" s="420" t="str">
        <f t="shared" ca="1" si="18"/>
        <v/>
      </c>
      <c r="BH11" s="593">
        <f t="shared" ca="1" si="34"/>
        <v>12</v>
      </c>
      <c r="BI11" s="420">
        <f t="shared" ca="1" si="35"/>
        <v>46</v>
      </c>
      <c r="BJ11" s="420">
        <f t="shared" ca="1" si="35"/>
        <v>52</v>
      </c>
      <c r="BK11" s="420">
        <f t="shared" ca="1" si="36"/>
        <v>2026</v>
      </c>
      <c r="BL11" s="420" t="s">
        <v>1018</v>
      </c>
      <c r="BM11" s="19">
        <f t="shared" si="19"/>
        <v>376928.97107050044</v>
      </c>
      <c r="BN11" s="19">
        <f>DG149</f>
        <v>96014.096095546876</v>
      </c>
      <c r="BO11" s="19">
        <f>DH149</f>
        <v>4387.9422128903825</v>
      </c>
      <c r="BP11" s="183">
        <f t="shared" si="20"/>
        <v>4.5701020905553211E-2</v>
      </c>
      <c r="BQ11" s="19">
        <f t="shared" si="21"/>
        <v>365.66185107419852</v>
      </c>
      <c r="BR11" s="16"/>
      <c r="BS11" s="420" t="str">
        <f t="shared" si="37"/>
        <v>BAC</v>
      </c>
      <c r="BT11" s="425">
        <f t="shared" si="38"/>
        <v>3.0518999999999998</v>
      </c>
      <c r="BU11" s="19">
        <f t="shared" si="39"/>
        <v>23.29</v>
      </c>
      <c r="BV11" s="19">
        <f t="shared" si="40"/>
        <v>71.078750999999997</v>
      </c>
      <c r="BW11" s="539">
        <f t="shared" si="41"/>
        <v>0.3</v>
      </c>
      <c r="BX11" s="19">
        <f t="shared" si="42"/>
        <v>0.91556999999999988</v>
      </c>
      <c r="BY11" s="10">
        <f t="shared" si="43"/>
        <v>3.9311721768999566E-2</v>
      </c>
      <c r="BZ11" s="10">
        <f t="shared" si="44"/>
        <v>3.0912117217689996</v>
      </c>
      <c r="CA11" s="539">
        <f t="shared" si="45"/>
        <v>71.994320999999999</v>
      </c>
      <c r="CB11" s="19">
        <f t="shared" si="46"/>
        <v>0.92736351653069982</v>
      </c>
      <c r="CC11" s="10">
        <f t="shared" si="47"/>
        <v>3.9818098605869469E-2</v>
      </c>
      <c r="CD11" s="10">
        <f t="shared" si="48"/>
        <v>3.1310298203748692</v>
      </c>
      <c r="CE11" s="539">
        <f t="shared" si="49"/>
        <v>72.921684516530703</v>
      </c>
      <c r="CF11" s="19">
        <f t="shared" si="50"/>
        <v>0.93930894611246074</v>
      </c>
      <c r="CG11" s="10">
        <f t="shared" si="51"/>
        <v>4.0330998115605872E-2</v>
      </c>
      <c r="CH11" s="10">
        <f t="shared" si="52"/>
        <v>3.1713608184904749</v>
      </c>
      <c r="CI11" s="539">
        <f t="shared" si="53"/>
        <v>73.860993462643151</v>
      </c>
      <c r="CJ11" s="19">
        <f t="shared" si="54"/>
        <v>0.95140824554714243</v>
      </c>
      <c r="CK11" s="10">
        <f t="shared" si="55"/>
        <v>4.0850504317180868E-2</v>
      </c>
      <c r="CL11" s="10">
        <f t="shared" si="56"/>
        <v>3.2122113228076556</v>
      </c>
      <c r="CM11" s="539">
        <f t="shared" si="57"/>
        <v>74.812401708190293</v>
      </c>
      <c r="CN11" s="19">
        <f t="shared" si="58"/>
        <v>0.96366339684229663</v>
      </c>
      <c r="CO11" s="10">
        <f t="shared" si="59"/>
        <v>4.1376702311820383E-2</v>
      </c>
      <c r="CP11" s="10">
        <f t="shared" si="60"/>
        <v>3.253588025119476</v>
      </c>
      <c r="CQ11" s="539">
        <f t="shared" si="61"/>
        <v>75.776065105032586</v>
      </c>
      <c r="CR11" s="19">
        <f t="shared" si="62"/>
        <v>0.97607640753584279</v>
      </c>
      <c r="CS11" s="10">
        <f t="shared" si="63"/>
        <v>4.1909678296944732E-2</v>
      </c>
      <c r="CT11" s="10">
        <f t="shared" si="64"/>
        <v>3.2954977034164208</v>
      </c>
      <c r="CU11" s="539">
        <f t="shared" si="65"/>
        <v>76.752141512568443</v>
      </c>
      <c r="CV11" s="19">
        <f t="shared" si="66"/>
        <v>0.98864931102492615</v>
      </c>
      <c r="CW11" s="10">
        <f t="shared" si="67"/>
        <v>4.2449519580288801E-2</v>
      </c>
      <c r="CX11" s="10">
        <f t="shared" si="68"/>
        <v>3.3379472229967098</v>
      </c>
      <c r="CY11" s="539">
        <f t="shared" si="69"/>
        <v>77.740790823593372</v>
      </c>
      <c r="CZ11" s="19">
        <f t="shared" si="70"/>
        <v>1.0013841668990129</v>
      </c>
      <c r="DA11" s="10">
        <f t="shared" si="71"/>
        <v>4.2996314594204076E-2</v>
      </c>
      <c r="DB11" s="10">
        <f t="shared" si="72"/>
        <v>3.3809435375909138</v>
      </c>
      <c r="DC11" s="539">
        <f t="shared" si="73"/>
        <v>78.742174990492373</v>
      </c>
      <c r="DD11" s="19">
        <f t="shared" si="74"/>
        <v>1.0142830612772742</v>
      </c>
      <c r="DE11" s="10">
        <f t="shared" si="75"/>
        <v>4.3550152910144878E-2</v>
      </c>
      <c r="DF11" s="10">
        <f t="shared" si="76"/>
        <v>3.4244936905010586</v>
      </c>
      <c r="DG11" s="539">
        <f t="shared" si="77"/>
        <v>79.756458051769656</v>
      </c>
      <c r="DH11" s="19">
        <f t="shared" si="78"/>
        <v>1.0273481071503174</v>
      </c>
      <c r="DI11" s="10">
        <f t="shared" si="79"/>
        <v>4.4111125253341238E-2</v>
      </c>
      <c r="DJ11" s="10">
        <f t="shared" si="80"/>
        <v>3.4686048157543996</v>
      </c>
      <c r="DK11" s="539">
        <f t="shared" si="81"/>
        <v>80.783806158919958</v>
      </c>
      <c r="DL11" s="19">
        <f t="shared" si="82"/>
        <v>1.0405814447263197</v>
      </c>
      <c r="DM11" s="10">
        <f t="shared" si="83"/>
        <v>4.4679323517660789E-2</v>
      </c>
      <c r="DN11" s="10">
        <f t="shared" si="84"/>
        <v>3.5132841392720602</v>
      </c>
      <c r="DO11" s="539">
        <f t="shared" si="85"/>
        <v>81.824387603646272</v>
      </c>
      <c r="DP11" s="19">
        <f t="shared" si="86"/>
        <v>1.053985241781618</v>
      </c>
      <c r="DQ11" s="10">
        <f t="shared" si="87"/>
        <v>4.5254840780662005E-2</v>
      </c>
      <c r="DR11" s="10">
        <f t="shared" si="88"/>
        <v>3.5585389800527221</v>
      </c>
      <c r="DS11" s="539">
        <f t="shared" si="89"/>
        <v>82.87837284542789</v>
      </c>
      <c r="DT11" s="19">
        <f t="shared" si="90"/>
        <v>1.0675616940158166</v>
      </c>
      <c r="DU11" s="10">
        <f t="shared" si="91"/>
        <v>4.5837771318841418E-2</v>
      </c>
      <c r="DV11" s="10">
        <f t="shared" si="92"/>
        <v>3.6043767513715634</v>
      </c>
      <c r="DW11" s="539">
        <f t="shared" si="93"/>
        <v>83.945934539443712</v>
      </c>
      <c r="DX11" s="19">
        <f t="shared" si="94"/>
        <v>1.0813130254114689</v>
      </c>
      <c r="DY11" s="10">
        <f t="shared" si="95"/>
        <v>4.642821062307724E-2</v>
      </c>
      <c r="DZ11" s="10">
        <f t="shared" si="96"/>
        <v>3.6508049619946408</v>
      </c>
      <c r="EA11" s="539">
        <f t="shared" si="97"/>
        <v>85.027247564855188</v>
      </c>
      <c r="EB11" s="19">
        <f t="shared" si="98"/>
        <v>1.0952414885983921</v>
      </c>
      <c r="EC11" s="10">
        <f t="shared" si="99"/>
        <v>4.7026255414271884E-2</v>
      </c>
      <c r="ED11" s="10">
        <f t="shared" si="100"/>
        <v>3.6978312174089125</v>
      </c>
      <c r="EE11" s="539">
        <f t="shared" si="101"/>
        <v>86.122489053453563</v>
      </c>
      <c r="EF11" s="19">
        <f t="shared" si="102"/>
        <v>1.1093493652226738</v>
      </c>
      <c r="EG11" s="10">
        <f t="shared" si="103"/>
        <v>4.7632003659195954E-2</v>
      </c>
      <c r="EH11" s="10">
        <f t="shared" si="104"/>
        <v>3.7454632210681087</v>
      </c>
      <c r="EI11" s="539">
        <f t="shared" si="105"/>
        <v>87.231838418676247</v>
      </c>
      <c r="EJ11" s="19">
        <f t="shared" si="106"/>
        <v>1.1236389663204325</v>
      </c>
      <c r="EK11" s="10">
        <f t="shared" si="107"/>
        <v>4.8245554586536392E-2</v>
      </c>
      <c r="EL11" s="10">
        <f t="shared" si="108"/>
        <v>3.793708775654645</v>
      </c>
      <c r="EM11" s="539">
        <f t="shared" si="109"/>
        <v>88.355477384996675</v>
      </c>
      <c r="EN11" s="19">
        <f t="shared" si="110"/>
        <v>1.1381126326963935</v>
      </c>
      <c r="EO11" s="10">
        <f t="shared" si="111"/>
        <v>4.8867008703151291E-2</v>
      </c>
      <c r="EP11" s="10">
        <f t="shared" si="112"/>
        <v>3.8425757843577961</v>
      </c>
      <c r="EQ11" s="539">
        <f t="shared" si="113"/>
        <v>89.493590017693066</v>
      </c>
      <c r="ER11" s="19">
        <f t="shared" si="114"/>
        <v>1.1527727353073387</v>
      </c>
      <c r="ES11" s="10">
        <f t="shared" si="115"/>
        <v>4.949646781053408E-2</v>
      </c>
      <c r="ET11" s="10">
        <f t="shared" si="116"/>
        <v>3.8920722521683304</v>
      </c>
      <c r="EU11" s="539">
        <f t="shared" si="117"/>
        <v>90.646362753000417</v>
      </c>
      <c r="EV11" s="19">
        <f t="shared" si="118"/>
        <v>1.1676216756504991</v>
      </c>
      <c r="EW11" s="10">
        <f t="shared" si="119"/>
        <v>5.0134035021489873E-2</v>
      </c>
      <c r="EX11" s="10">
        <f t="shared" si="120"/>
        <v>3.9422062871898205</v>
      </c>
      <c r="EY11" s="539">
        <f t="shared" si="121"/>
        <v>91.813984428650912</v>
      </c>
      <c r="EZ11" s="19">
        <f t="shared" si="122"/>
        <v>1.182661886156946</v>
      </c>
      <c r="FA11" s="10">
        <f t="shared" si="123"/>
        <v>5.077981477702645E-2</v>
      </c>
      <c r="FB11" s="10">
        <f t="shared" si="124"/>
        <v>3.9929861019668471</v>
      </c>
      <c r="FC11" s="539">
        <f t="shared" si="125"/>
        <v>92.996646314807862</v>
      </c>
      <c r="FD11" s="19">
        <f t="shared" si="126"/>
        <v>1.197895830590054</v>
      </c>
      <c r="FE11" s="10">
        <f t="shared" si="127"/>
        <v>5.1433912863463035E-2</v>
      </c>
      <c r="FF11" s="10">
        <f t="shared" si="128"/>
        <v>4.04442001483031</v>
      </c>
      <c r="FG11" s="539">
        <f t="shared" si="129"/>
        <v>94.194542145397918</v>
      </c>
      <c r="FH11" s="19">
        <f t="shared" si="130"/>
        <v>1.213326004449093</v>
      </c>
      <c r="FI11" s="10">
        <f t="shared" si="131"/>
        <v>5.2096436429759252E-2</v>
      </c>
      <c r="FJ11" s="10">
        <f t="shared" si="132"/>
        <v>4.0965164512600696</v>
      </c>
      <c r="FK11" s="539">
        <f t="shared" si="133"/>
        <v>95.407868149847019</v>
      </c>
      <c r="FL11" s="19">
        <f t="shared" si="134"/>
        <v>1.2289549353780209</v>
      </c>
      <c r="FM11" s="10">
        <f t="shared" si="135"/>
        <v>5.2767494005067452E-2</v>
      </c>
      <c r="FN11" s="10">
        <f t="shared" si="136"/>
        <v>4.1492839452651369</v>
      </c>
      <c r="FO11" s="539">
        <f t="shared" si="137"/>
        <v>96.636823085225032</v>
      </c>
      <c r="FP11" s="19">
        <f t="shared" si="138"/>
        <v>1.2447851835795409</v>
      </c>
      <c r="FQ11" s="10">
        <f t="shared" si="139"/>
        <v>5.344719551651099E-2</v>
      </c>
      <c r="FR11" s="10">
        <f t="shared" si="140"/>
        <v>4.2027311407816477</v>
      </c>
      <c r="FS11" s="539">
        <f t="shared" si="141"/>
        <v>97.88160826880457</v>
      </c>
      <c r="FT11" s="19">
        <f t="shared" si="142"/>
        <v>1.2608193422344942</v>
      </c>
      <c r="FU11" s="10">
        <f t="shared" si="143"/>
        <v>5.4135652307191681E-2</v>
      </c>
      <c r="FV11" s="10">
        <f t="shared" si="144"/>
        <v>4.2568667930888395</v>
      </c>
      <c r="FW11" s="539">
        <f t="shared" si="145"/>
        <v>99.142427611039068</v>
      </c>
      <c r="FX11" s="19">
        <f t="shared" si="146"/>
        <v>1.2770600379266519</v>
      </c>
      <c r="FY11" s="10">
        <f t="shared" si="147"/>
        <v>5.4832977154429023E-2</v>
      </c>
      <c r="FZ11" s="10">
        <f t="shared" si="148"/>
        <v>4.3116997702432682</v>
      </c>
      <c r="GA11" s="539">
        <f t="shared" si="149"/>
        <v>100.41948764896571</v>
      </c>
      <c r="GB11" s="19">
        <f t="shared" si="150"/>
        <v>1.2935099310729805</v>
      </c>
      <c r="GC11" s="10">
        <f t="shared" si="151"/>
        <v>5.5539284288234458E-2</v>
      </c>
      <c r="GD11" s="10">
        <f t="shared" si="152"/>
        <v>4.3672390545315025</v>
      </c>
      <c r="GE11" s="539">
        <f t="shared" si="153"/>
        <v>101.71299758003869</v>
      </c>
      <c r="GF11" s="19">
        <f t="shared" si="154"/>
        <v>1.3101717163594506</v>
      </c>
      <c r="GG11" s="10">
        <f t="shared" si="155"/>
        <v>5.6254689410023644E-2</v>
      </c>
      <c r="GH11" s="10">
        <f t="shared" si="156"/>
        <v>4.4234937439415258</v>
      </c>
      <c r="GI11" s="539">
        <f t="shared" si="157"/>
        <v>103.02316929639814</v>
      </c>
      <c r="GJ11" s="19">
        <f t="shared" si="158"/>
        <v>1.3270481231824578</v>
      </c>
      <c r="GK11" s="10">
        <f t="shared" si="159"/>
        <v>5.6979309711569677E-2</v>
      </c>
      <c r="GL11" s="10">
        <f t="shared" si="160"/>
        <v>4.4804730536530952</v>
      </c>
      <c r="GM11" s="539">
        <f t="shared" si="161"/>
        <v>104.35021741958059</v>
      </c>
      <c r="GN11" s="19">
        <f t="shared" si="162"/>
        <v>1.3441419160959285</v>
      </c>
      <c r="GO11" s="10">
        <f t="shared" si="163"/>
        <v>5.7713263894200451E-2</v>
      </c>
      <c r="GP11" s="10">
        <f t="shared" si="164"/>
        <v>4.5381863175472956</v>
      </c>
      <c r="GQ11" s="539">
        <f t="shared" si="165"/>
        <v>105.69435933567651</v>
      </c>
      <c r="GR11" s="19">
        <f t="shared" si="166"/>
        <v>1.3614558952641886</v>
      </c>
      <c r="GS11" s="10">
        <f t="shared" si="167"/>
        <v>5.8456672188243394E-2</v>
      </c>
      <c r="GT11" s="10">
        <f t="shared" si="168"/>
        <v>4.596642989735539</v>
      </c>
      <c r="GU11" s="539">
        <f t="shared" si="169"/>
        <v>107.05581523094069</v>
      </c>
      <c r="GV11" s="19">
        <f t="shared" si="170"/>
        <v>1.3789928969206617</v>
      </c>
      <c r="GW11" s="10">
        <f t="shared" si="171"/>
        <v>5.9209656372720555E-2</v>
      </c>
      <c r="GX11" s="10">
        <f t="shared" si="172"/>
        <v>4.6558526461082597</v>
      </c>
      <c r="GY11" s="539">
        <f t="shared" si="173"/>
        <v>108.43480812786136</v>
      </c>
      <c r="GZ11" s="19">
        <f t="shared" si="174"/>
        <v>1.3967557938324779</v>
      </c>
      <c r="HA11" s="10">
        <f t="shared" si="175"/>
        <v>5.9972339795297466E-2</v>
      </c>
      <c r="HB11" s="10">
        <f t="shared" si="176"/>
        <v>4.7158249859035575</v>
      </c>
      <c r="HC11" s="539">
        <f t="shared" si="177"/>
        <v>109.83156392169386</v>
      </c>
      <c r="HD11" s="19">
        <f t="shared" si="178"/>
        <v>1.4147474957710673</v>
      </c>
      <c r="HE11" s="10">
        <f t="shared" si="179"/>
        <v>6.0744847392488935E-2</v>
      </c>
      <c r="HF11" s="10">
        <f t="shared" si="180"/>
        <v>4.7765698332960467</v>
      </c>
      <c r="HG11" s="539">
        <f t="shared" si="181"/>
        <v>111.24631141746492</v>
      </c>
      <c r="HH11" s="19">
        <f t="shared" si="182"/>
        <v>1.4329709499888139</v>
      </c>
      <c r="HI11" s="10">
        <f t="shared" si="183"/>
        <v>6.1527305710125116E-2</v>
      </c>
      <c r="HJ11" s="10">
        <f t="shared" si="184"/>
        <v>4.8380971390061722</v>
      </c>
      <c r="HK11" s="539">
        <f t="shared" si="185"/>
        <v>112.67928236745375</v>
      </c>
      <c r="HL11" s="19">
        <f t="shared" si="186"/>
        <v>1.4514291417018517</v>
      </c>
      <c r="HM11" s="10">
        <f t="shared" si="187"/>
        <v>6.2319842924081222E-2</v>
      </c>
      <c r="HN11" s="10">
        <f t="shared" si="188"/>
        <v>4.9004169819302534</v>
      </c>
      <c r="HO11" s="539">
        <f t="shared" si="189"/>
        <v>114.1307115091556</v>
      </c>
      <c r="HP11" s="19">
        <f t="shared" si="190"/>
        <v>1.470125094579076</v>
      </c>
      <c r="HQ11" s="10">
        <f t="shared" si="191"/>
        <v>6.3122588861274198E-2</v>
      </c>
      <c r="HR11" s="10">
        <f t="shared" si="192"/>
        <v>4.9635395707915277</v>
      </c>
      <c r="HS11" s="539">
        <f t="shared" si="193"/>
        <v>115.60083660373468</v>
      </c>
      <c r="HT11" s="19">
        <f t="shared" si="194"/>
        <v>1.4890618712374584</v>
      </c>
      <c r="HU11" s="10">
        <f t="shared" si="195"/>
        <v>6.393567502092995E-2</v>
      </c>
      <c r="HV11" s="10">
        <f t="shared" si="196"/>
        <v>5.0274752458124574</v>
      </c>
      <c r="HW11" s="539">
        <f t="shared" si="197"/>
        <v>117.08989847497213</v>
      </c>
      <c r="HX11" s="19">
        <f t="shared" si="198"/>
        <v>1.5082425737437373</v>
      </c>
      <c r="HY11" s="10">
        <f t="shared" si="199"/>
        <v>6.4759234596124399E-2</v>
      </c>
      <c r="HZ11" s="10">
        <f t="shared" si="200"/>
        <v>5.0922344804085817</v>
      </c>
      <c r="IA11" s="539">
        <f t="shared" si="201"/>
        <v>118.59814104871586</v>
      </c>
      <c r="IB11" s="19">
        <f t="shared" si="202"/>
        <v>1.5276703441225745</v>
      </c>
      <c r="IC11" s="420"/>
      <c r="IF11" s="660" t="s">
        <v>1513</v>
      </c>
      <c r="IG11" s="540" t="s">
        <v>1513</v>
      </c>
      <c r="IH11" s="1301" t="s">
        <v>1314</v>
      </c>
      <c r="II11" s="1301" t="s">
        <v>1317</v>
      </c>
      <c r="IJ11" s="1301" t="s">
        <v>1321</v>
      </c>
      <c r="IK11" s="1301" t="s">
        <v>1324</v>
      </c>
      <c r="IL11" s="540" t="s">
        <v>1326</v>
      </c>
      <c r="IM11" s="540" t="s">
        <v>1401</v>
      </c>
      <c r="IN11" s="540" t="s">
        <v>2697</v>
      </c>
      <c r="IO11" s="666" t="s">
        <v>1400</v>
      </c>
      <c r="IP11" s="236" t="s">
        <v>1331</v>
      </c>
      <c r="IU11" s="420"/>
      <c r="IY11"/>
      <c r="JC11" s="7"/>
    </row>
    <row r="12" spans="1:263" ht="13.5" thickBot="1">
      <c r="A12" s="9" t="s">
        <v>62</v>
      </c>
      <c r="B12" s="30">
        <v>0</v>
      </c>
      <c r="C12" s="826" t="s">
        <v>2344</v>
      </c>
      <c r="D12" s="47" t="s">
        <v>82</v>
      </c>
      <c r="E12" s="396">
        <f t="shared" si="0"/>
        <v>48.8551</v>
      </c>
      <c r="F12" s="242">
        <v>39.8551</v>
      </c>
      <c r="G12" s="48">
        <f>'Update Stock Prices'!S12</f>
        <v>150101419.87829617</v>
      </c>
      <c r="H12" s="991">
        <f t="shared" si="27"/>
        <v>2.6552113918918916E-7</v>
      </c>
      <c r="I12" s="49">
        <f>'Update Stock Prices'!D12</f>
        <v>34.51</v>
      </c>
      <c r="J12" s="49">
        <f t="shared" si="1"/>
        <v>1375.3995009999999</v>
      </c>
      <c r="K12" s="30">
        <v>537</v>
      </c>
      <c r="L12" s="49">
        <f t="shared" si="28"/>
        <v>838.39950099999987</v>
      </c>
      <c r="M12" s="50">
        <f t="shared" si="29"/>
        <v>1.5612653649906887</v>
      </c>
      <c r="N12" s="49">
        <f t="shared" si="30"/>
        <v>13.473808872641143</v>
      </c>
      <c r="O12" s="48">
        <f t="shared" si="2"/>
        <v>9</v>
      </c>
      <c r="P12" s="49">
        <f>IF(($B$11-$B$12)-(O12*I12)&lt;0,0,($B$11-$B$12)-(O12*I12))</f>
        <v>10.420000000000016</v>
      </c>
      <c r="Q12" s="30">
        <f>0.17*4</f>
        <v>0.68</v>
      </c>
      <c r="R12" s="49">
        <f t="shared" si="242"/>
        <v>7.4199775496235451E-2</v>
      </c>
      <c r="S12" s="49">
        <f t="shared" si="4"/>
        <v>27.101468000000001</v>
      </c>
      <c r="T12" s="49">
        <f t="shared" si="31"/>
        <v>2.2584556666666669</v>
      </c>
      <c r="U12" s="49" t="s">
        <v>54</v>
      </c>
      <c r="V12" s="50">
        <f t="shared" si="6"/>
        <v>1.970443349753695E-2</v>
      </c>
      <c r="W12" s="50">
        <f t="shared" si="7"/>
        <v>5.0468283054003728E-2</v>
      </c>
      <c r="X12" s="49">
        <f>12*((E12*Q12)/12-T12)</f>
        <v>6.1199999999999974</v>
      </c>
      <c r="Y12" s="49">
        <f t="shared" si="32"/>
        <v>6.775367000000001</v>
      </c>
      <c r="Z12" s="860">
        <f t="shared" si="9"/>
        <v>0</v>
      </c>
      <c r="AA12" s="860">
        <f t="shared" si="10"/>
        <v>163.14489999999998</v>
      </c>
      <c r="AB12" s="49">
        <f t="shared" si="11"/>
        <v>5630.130498999999</v>
      </c>
      <c r="AC12" s="48">
        <v>1</v>
      </c>
      <c r="AD12" s="47" t="str">
        <f t="shared" si="12"/>
        <v>BAH</v>
      </c>
      <c r="AE12" s="49">
        <f t="shared" si="13"/>
        <v>1375.3995009999999</v>
      </c>
      <c r="AF12" s="50" t="e">
        <f t="shared" si="14"/>
        <v>#REF!</v>
      </c>
      <c r="AG12" s="890" t="e">
        <f t="shared" si="15"/>
        <v>#REF!</v>
      </c>
      <c r="AH12" s="207" t="s">
        <v>539</v>
      </c>
      <c r="AI12" s="240">
        <f t="shared" si="16"/>
        <v>4.2944352323056227</v>
      </c>
      <c r="AJ12" s="11">
        <f t="shared" si="33"/>
        <v>3</v>
      </c>
      <c r="AK12" s="11"/>
      <c r="AL12" s="11"/>
      <c r="AM12" s="11">
        <v>1</v>
      </c>
      <c r="AN12" s="11"/>
      <c r="AO12" s="11"/>
      <c r="AP12" s="11">
        <v>1</v>
      </c>
      <c r="AQ12" s="11" t="str">
        <f>'Update Stock Prices'!Q12</f>
        <v>mid</v>
      </c>
      <c r="AR12" s="11"/>
      <c r="AS12" s="11"/>
      <c r="AT12" s="176" t="s">
        <v>1789</v>
      </c>
      <c r="AU12" s="11"/>
      <c r="AV12" s="420"/>
      <c r="AW12" s="420"/>
      <c r="AX12" s="25"/>
      <c r="AY12" s="441" t="s">
        <v>1214</v>
      </c>
      <c r="AZ12" s="600">
        <f>AZ11*AZ10</f>
        <v>11.305995251148</v>
      </c>
      <c r="BA12" s="27"/>
      <c r="BB12" s="19"/>
      <c r="BC12" s="420"/>
      <c r="BD12" s="932"/>
      <c r="BE12" s="593">
        <f t="shared" si="17"/>
        <v>0</v>
      </c>
      <c r="BF12" s="725">
        <f t="shared" si="221"/>
        <v>297491.54247445264</v>
      </c>
      <c r="BG12" s="420" t="str">
        <f t="shared" ca="1" si="18"/>
        <v/>
      </c>
      <c r="BH12" s="593">
        <f t="shared" ca="1" si="34"/>
        <v>13</v>
      </c>
      <c r="BI12" s="420">
        <f t="shared" ca="1" si="35"/>
        <v>47</v>
      </c>
      <c r="BJ12" s="420">
        <f t="shared" ca="1" si="35"/>
        <v>53</v>
      </c>
      <c r="BK12" s="420">
        <f t="shared" ca="1" si="36"/>
        <v>2027</v>
      </c>
      <c r="BL12" s="420" t="s">
        <v>1019</v>
      </c>
      <c r="BM12" s="19">
        <f t="shared" si="19"/>
        <v>397893.58078288991</v>
      </c>
      <c r="BN12" s="19">
        <f>DK149</f>
        <v>100402.03830843729</v>
      </c>
      <c r="BO12" s="19">
        <f>DL149</f>
        <v>4669.6256123494541</v>
      </c>
      <c r="BP12" s="183">
        <f t="shared" si="20"/>
        <v>4.6509271036951072E-2</v>
      </c>
      <c r="BQ12" s="19">
        <f t="shared" si="21"/>
        <v>389.13546769578784</v>
      </c>
      <c r="BS12" s="420" t="str">
        <f t="shared" si="37"/>
        <v>BAH</v>
      </c>
      <c r="BT12" s="425">
        <f t="shared" si="38"/>
        <v>39.8551</v>
      </c>
      <c r="BU12" s="19">
        <f t="shared" si="39"/>
        <v>34.51</v>
      </c>
      <c r="BV12" s="19">
        <f t="shared" si="40"/>
        <v>1375.3995009999999</v>
      </c>
      <c r="BW12" s="539">
        <f t="shared" si="41"/>
        <v>0.68</v>
      </c>
      <c r="BX12" s="19">
        <f t="shared" si="42"/>
        <v>27.101468000000001</v>
      </c>
      <c r="BY12" s="10">
        <f t="shared" si="43"/>
        <v>0.7853221674876848</v>
      </c>
      <c r="BZ12" s="10">
        <f t="shared" si="44"/>
        <v>40.640422167487685</v>
      </c>
      <c r="CA12" s="539">
        <f t="shared" si="45"/>
        <v>1402.5009689999999</v>
      </c>
      <c r="CB12" s="19">
        <f t="shared" si="46"/>
        <v>27.635487073891628</v>
      </c>
      <c r="CC12" s="10">
        <f t="shared" si="47"/>
        <v>0.80079649591108748</v>
      </c>
      <c r="CD12" s="10">
        <f t="shared" si="48"/>
        <v>41.441218663398772</v>
      </c>
      <c r="CE12" s="539">
        <f t="shared" si="49"/>
        <v>1430.1364560738916</v>
      </c>
      <c r="CF12" s="19">
        <f t="shared" si="50"/>
        <v>28.180028691111168</v>
      </c>
      <c r="CG12" s="10">
        <f t="shared" si="51"/>
        <v>0.81657573720982812</v>
      </c>
      <c r="CH12" s="10">
        <f t="shared" si="52"/>
        <v>42.257794400608603</v>
      </c>
      <c r="CI12" s="539">
        <f t="shared" si="53"/>
        <v>1458.3164847650028</v>
      </c>
      <c r="CJ12" s="19">
        <f t="shared" si="54"/>
        <v>28.735300192413852</v>
      </c>
      <c r="CK12" s="10">
        <f t="shared" si="55"/>
        <v>0.83266589951938141</v>
      </c>
      <c r="CL12" s="10">
        <f t="shared" si="56"/>
        <v>43.090460300127987</v>
      </c>
      <c r="CM12" s="539">
        <f t="shared" si="57"/>
        <v>1487.0517849574167</v>
      </c>
      <c r="CN12" s="19">
        <f t="shared" si="58"/>
        <v>29.301513004087035</v>
      </c>
      <c r="CO12" s="10">
        <f t="shared" si="59"/>
        <v>0.84907310936212799</v>
      </c>
      <c r="CP12" s="10">
        <f t="shared" si="60"/>
        <v>43.939533409490117</v>
      </c>
      <c r="CQ12" s="539">
        <f t="shared" si="61"/>
        <v>1516.3532979615038</v>
      </c>
      <c r="CR12" s="19">
        <f t="shared" si="62"/>
        <v>29.878882718453283</v>
      </c>
      <c r="CS12" s="10">
        <f t="shared" si="63"/>
        <v>0.86580361398010097</v>
      </c>
      <c r="CT12" s="10">
        <f t="shared" si="64"/>
        <v>44.805337023470216</v>
      </c>
      <c r="CU12" s="539">
        <f t="shared" si="65"/>
        <v>1546.2321806799571</v>
      </c>
      <c r="CV12" s="19">
        <f t="shared" si="66"/>
        <v>30.46762917595975</v>
      </c>
      <c r="CW12" s="10">
        <f t="shared" si="67"/>
        <v>0.882863783713699</v>
      </c>
      <c r="CX12" s="10">
        <f t="shared" si="68"/>
        <v>45.688200807183918</v>
      </c>
      <c r="CY12" s="539">
        <f t="shared" si="69"/>
        <v>1576.699809855917</v>
      </c>
      <c r="CZ12" s="19">
        <f t="shared" si="70"/>
        <v>31.067976548885067</v>
      </c>
      <c r="DA12" s="10">
        <f t="shared" si="71"/>
        <v>0.9002601144272695</v>
      </c>
      <c r="DB12" s="10">
        <f t="shared" si="72"/>
        <v>46.588460921611187</v>
      </c>
      <c r="DC12" s="539">
        <f t="shared" si="73"/>
        <v>1607.7677864048019</v>
      </c>
      <c r="DD12" s="19">
        <f t="shared" si="74"/>
        <v>31.680153426695611</v>
      </c>
      <c r="DE12" s="10">
        <f t="shared" si="75"/>
        <v>0.91799922998248662</v>
      </c>
      <c r="DF12" s="10">
        <f t="shared" si="76"/>
        <v>47.506460151593672</v>
      </c>
      <c r="DG12" s="539">
        <f t="shared" si="77"/>
        <v>1639.4479398314975</v>
      </c>
      <c r="DH12" s="19">
        <f t="shared" si="78"/>
        <v>32.304392903083702</v>
      </c>
      <c r="DI12" s="10">
        <f t="shared" si="79"/>
        <v>0.93608788476046667</v>
      </c>
      <c r="DJ12" s="10">
        <f t="shared" si="80"/>
        <v>48.44254803635414</v>
      </c>
      <c r="DK12" s="539">
        <f t="shared" si="81"/>
        <v>1671.7523327345812</v>
      </c>
      <c r="DL12" s="19">
        <f t="shared" si="82"/>
        <v>32.940932664720819</v>
      </c>
      <c r="DM12" s="10">
        <f t="shared" si="83"/>
        <v>0.95453296623357931</v>
      </c>
      <c r="DN12" s="10">
        <f t="shared" si="84"/>
        <v>49.397081002587719</v>
      </c>
      <c r="DO12" s="539">
        <f t="shared" si="85"/>
        <v>1704.6932653993022</v>
      </c>
      <c r="DP12" s="19">
        <f t="shared" si="86"/>
        <v>33.590015081759653</v>
      </c>
      <c r="DQ12" s="10">
        <f t="shared" si="87"/>
        <v>0.97334149758793553</v>
      </c>
      <c r="DR12" s="10">
        <f t="shared" si="88"/>
        <v>50.370422500175657</v>
      </c>
      <c r="DS12" s="539">
        <f t="shared" si="89"/>
        <v>1738.2832804810619</v>
      </c>
      <c r="DT12" s="19">
        <f t="shared" si="90"/>
        <v>34.251887300119449</v>
      </c>
      <c r="DU12" s="10">
        <f t="shared" si="91"/>
        <v>0.99252064039755006</v>
      </c>
      <c r="DV12" s="10">
        <f t="shared" si="92"/>
        <v>51.362943140573208</v>
      </c>
      <c r="DW12" s="539">
        <f t="shared" si="93"/>
        <v>1772.5351677811814</v>
      </c>
      <c r="DX12" s="19">
        <f t="shared" si="94"/>
        <v>34.926801335589786</v>
      </c>
      <c r="DY12" s="10">
        <f t="shared" si="95"/>
        <v>1.0120776973511965</v>
      </c>
      <c r="DZ12" s="10">
        <f t="shared" si="96"/>
        <v>52.375020837924403</v>
      </c>
      <c r="EA12" s="539">
        <f t="shared" si="97"/>
        <v>1807.4619691167711</v>
      </c>
      <c r="EB12" s="19">
        <f t="shared" si="98"/>
        <v>35.615014169788594</v>
      </c>
      <c r="EC12" s="10">
        <f t="shared" si="99"/>
        <v>1.0320201150329933</v>
      </c>
      <c r="ED12" s="10">
        <f t="shared" si="100"/>
        <v>53.407040952957395</v>
      </c>
      <c r="EE12" s="539">
        <f t="shared" si="101"/>
        <v>1843.0769832865597</v>
      </c>
      <c r="EF12" s="19">
        <f t="shared" si="102"/>
        <v>36.316787848011032</v>
      </c>
      <c r="EG12" s="10">
        <f t="shared" si="103"/>
        <v>1.0523554867577813</v>
      </c>
      <c r="EH12" s="10">
        <f t="shared" si="104"/>
        <v>54.459396439715178</v>
      </c>
      <c r="EI12" s="539">
        <f t="shared" si="105"/>
        <v>1879.3937711345707</v>
      </c>
      <c r="EJ12" s="19">
        <f t="shared" si="106"/>
        <v>37.03238957900632</v>
      </c>
      <c r="EK12" s="10">
        <f t="shared" si="107"/>
        <v>1.0730915554623681</v>
      </c>
      <c r="EL12" s="10">
        <f t="shared" si="108"/>
        <v>55.532487995177547</v>
      </c>
      <c r="EM12" s="539">
        <f t="shared" si="109"/>
        <v>1916.426160713577</v>
      </c>
      <c r="EN12" s="19">
        <f t="shared" si="110"/>
        <v>37.762091836720735</v>
      </c>
      <c r="EO12" s="10">
        <f t="shared" si="111"/>
        <v>1.0942362166537449</v>
      </c>
      <c r="EP12" s="10">
        <f t="shared" si="112"/>
        <v>56.626724211831295</v>
      </c>
      <c r="EQ12" s="539">
        <f t="shared" si="113"/>
        <v>1954.1882525502979</v>
      </c>
      <c r="ER12" s="19">
        <f t="shared" si="114"/>
        <v>38.506172464045285</v>
      </c>
      <c r="ES12" s="10">
        <f t="shared" si="115"/>
        <v>1.1157975214153952</v>
      </c>
      <c r="ET12" s="10">
        <f t="shared" si="116"/>
        <v>57.74252173324669</v>
      </c>
      <c r="EU12" s="539">
        <f t="shared" si="117"/>
        <v>1992.6944250143431</v>
      </c>
      <c r="EV12" s="19">
        <f t="shared" si="118"/>
        <v>39.264914778607753</v>
      </c>
      <c r="EW12" s="10">
        <f t="shared" si="119"/>
        <v>1.1377836794728413</v>
      </c>
      <c r="EX12" s="10">
        <f t="shared" si="120"/>
        <v>58.88030541271953</v>
      </c>
      <c r="EY12" s="539">
        <f t="shared" si="121"/>
        <v>2031.9593397929509</v>
      </c>
      <c r="EZ12" s="19">
        <f t="shared" si="122"/>
        <v>40.038607680649285</v>
      </c>
      <c r="FA12" s="10">
        <f t="shared" si="123"/>
        <v>1.1602030623195969</v>
      </c>
      <c r="FB12" s="10">
        <f t="shared" si="124"/>
        <v>60.040508475039125</v>
      </c>
      <c r="FC12" s="539">
        <f t="shared" si="125"/>
        <v>2071.9979474736001</v>
      </c>
      <c r="FD12" s="19">
        <f t="shared" si="126"/>
        <v>40.827545763026606</v>
      </c>
      <c r="FE12" s="10">
        <f t="shared" si="127"/>
        <v>1.1830642064047119</v>
      </c>
      <c r="FF12" s="10">
        <f t="shared" si="128"/>
        <v>61.223572681443841</v>
      </c>
      <c r="FG12" s="539">
        <f t="shared" si="129"/>
        <v>2112.8254932366267</v>
      </c>
      <c r="FH12" s="19">
        <f t="shared" si="130"/>
        <v>41.632029423381816</v>
      </c>
      <c r="FI12" s="10">
        <f t="shared" si="131"/>
        <v>1.20637581638313</v>
      </c>
      <c r="FJ12" s="10">
        <f t="shared" si="132"/>
        <v>62.42994849782697</v>
      </c>
      <c r="FK12" s="539">
        <f t="shared" si="133"/>
        <v>2154.4575226600086</v>
      </c>
      <c r="FL12" s="19">
        <f t="shared" si="134"/>
        <v>42.45236497852234</v>
      </c>
      <c r="FM12" s="10">
        <f t="shared" si="135"/>
        <v>1.2301467684300882</v>
      </c>
      <c r="FN12" s="10">
        <f t="shared" si="136"/>
        <v>63.660095266257059</v>
      </c>
      <c r="FO12" s="539">
        <f t="shared" si="137"/>
        <v>2196.909887638531</v>
      </c>
      <c r="FP12" s="19">
        <f t="shared" si="138"/>
        <v>43.288864781054805</v>
      </c>
      <c r="FQ12" s="10">
        <f t="shared" si="139"/>
        <v>1.254386113620829</v>
      </c>
      <c r="FR12" s="10">
        <f t="shared" si="140"/>
        <v>64.914481379877884</v>
      </c>
      <c r="FS12" s="539">
        <f t="shared" si="141"/>
        <v>2240.1987524195856</v>
      </c>
      <c r="FT12" s="19">
        <f t="shared" si="142"/>
        <v>44.141847338316964</v>
      </c>
      <c r="FU12" s="10">
        <f t="shared" si="143"/>
        <v>1.2791030813769042</v>
      </c>
      <c r="FV12" s="10">
        <f t="shared" si="144"/>
        <v>66.193584461254787</v>
      </c>
      <c r="FW12" s="539">
        <f t="shared" si="145"/>
        <v>2284.3405997579025</v>
      </c>
      <c r="FX12" s="19">
        <f t="shared" si="146"/>
        <v>45.011637433653256</v>
      </c>
      <c r="FY12" s="10">
        <f t="shared" si="147"/>
        <v>1.30430708298039</v>
      </c>
      <c r="FZ12" s="10">
        <f t="shared" si="148"/>
        <v>67.497891544235173</v>
      </c>
      <c r="GA12" s="539">
        <f t="shared" si="149"/>
        <v>2329.3522371915556</v>
      </c>
      <c r="GB12" s="19">
        <f t="shared" si="150"/>
        <v>45.898566250079924</v>
      </c>
      <c r="GC12" s="10">
        <f t="shared" si="151"/>
        <v>1.3300077151573435</v>
      </c>
      <c r="GD12" s="10">
        <f t="shared" si="152"/>
        <v>68.827899259392524</v>
      </c>
      <c r="GE12" s="539">
        <f t="shared" si="153"/>
        <v>2375.250803441636</v>
      </c>
      <c r="GF12" s="19">
        <f t="shared" si="154"/>
        <v>46.802971496386917</v>
      </c>
      <c r="GG12" s="10">
        <f t="shared" si="155"/>
        <v>1.3562147637318724</v>
      </c>
      <c r="GH12" s="10">
        <f t="shared" si="156"/>
        <v>70.184114023124394</v>
      </c>
      <c r="GI12" s="539">
        <f t="shared" si="157"/>
        <v>2422.0537749380228</v>
      </c>
      <c r="GJ12" s="19">
        <f t="shared" si="158"/>
        <v>47.72519753572459</v>
      </c>
      <c r="GK12" s="10">
        <f t="shared" si="159"/>
        <v>1.382938207352205</v>
      </c>
      <c r="GL12" s="10">
        <f t="shared" si="160"/>
        <v>71.567052230476605</v>
      </c>
      <c r="GM12" s="539">
        <f t="shared" si="161"/>
        <v>2469.7789724737477</v>
      </c>
      <c r="GN12" s="19">
        <f t="shared" si="162"/>
        <v>48.665595516724096</v>
      </c>
      <c r="GO12" s="10">
        <f t="shared" si="163"/>
        <v>1.4101882212901797</v>
      </c>
      <c r="GP12" s="10">
        <f t="shared" si="164"/>
        <v>72.977240451766789</v>
      </c>
      <c r="GQ12" s="539">
        <f t="shared" si="165"/>
        <v>2518.4445679904716</v>
      </c>
      <c r="GR12" s="19">
        <f t="shared" si="166"/>
        <v>49.624523507201424</v>
      </c>
      <c r="GS12" s="10">
        <f t="shared" si="167"/>
        <v>1.4379751813156021</v>
      </c>
      <c r="GT12" s="10">
        <f t="shared" si="168"/>
        <v>74.415215633082397</v>
      </c>
      <c r="GU12" s="539">
        <f t="shared" si="169"/>
        <v>2568.0690914976735</v>
      </c>
      <c r="GV12" s="19">
        <f t="shared" si="170"/>
        <v>50.602346630496037</v>
      </c>
      <c r="GW12" s="10">
        <f t="shared" si="171"/>
        <v>1.466309667646944</v>
      </c>
      <c r="GX12" s="10">
        <f t="shared" si="172"/>
        <v>75.881525300729336</v>
      </c>
      <c r="GY12" s="539">
        <f t="shared" si="173"/>
        <v>2618.671438128169</v>
      </c>
      <c r="GZ12" s="19">
        <f t="shared" si="174"/>
        <v>51.599437204495949</v>
      </c>
      <c r="HA12" s="10">
        <f t="shared" si="175"/>
        <v>1.4952024689798884</v>
      </c>
      <c r="HB12" s="10">
        <f t="shared" si="176"/>
        <v>77.37672776970922</v>
      </c>
      <c r="HC12" s="539">
        <f t="shared" si="177"/>
        <v>2670.2708753326651</v>
      </c>
      <c r="HD12" s="19">
        <f t="shared" si="178"/>
        <v>52.616174883402273</v>
      </c>
      <c r="HE12" s="10">
        <f t="shared" si="179"/>
        <v>1.5246645865952557</v>
      </c>
      <c r="HF12" s="10">
        <f t="shared" si="180"/>
        <v>78.90139235630447</v>
      </c>
      <c r="HG12" s="539">
        <f t="shared" si="181"/>
        <v>2722.8870502160671</v>
      </c>
      <c r="HH12" s="19">
        <f t="shared" si="182"/>
        <v>53.65294680228704</v>
      </c>
      <c r="HI12" s="10">
        <f t="shared" si="183"/>
        <v>1.5547072385478715</v>
      </c>
      <c r="HJ12" s="10">
        <f t="shared" si="184"/>
        <v>80.456099594852347</v>
      </c>
      <c r="HK12" s="539">
        <f t="shared" si="185"/>
        <v>2776.5399970183544</v>
      </c>
      <c r="HL12" s="19">
        <f t="shared" si="186"/>
        <v>54.710147724499599</v>
      </c>
      <c r="HM12" s="10">
        <f t="shared" si="187"/>
        <v>1.5853418639379775</v>
      </c>
      <c r="HN12" s="10">
        <f t="shared" si="188"/>
        <v>82.041441458790331</v>
      </c>
      <c r="HO12" s="539">
        <f t="shared" si="189"/>
        <v>2831.250144742854</v>
      </c>
      <c r="HP12" s="19">
        <f t="shared" si="190"/>
        <v>55.788180191977432</v>
      </c>
      <c r="HQ12" s="10">
        <f t="shared" si="191"/>
        <v>1.6165801272668048</v>
      </c>
      <c r="HR12" s="10">
        <f t="shared" si="192"/>
        <v>83.658021586057131</v>
      </c>
      <c r="HS12" s="539">
        <f t="shared" si="193"/>
        <v>2887.0383249348315</v>
      </c>
      <c r="HT12" s="19">
        <f t="shared" si="194"/>
        <v>56.88745467851885</v>
      </c>
      <c r="HU12" s="10">
        <f t="shared" si="195"/>
        <v>1.6484339228779732</v>
      </c>
      <c r="HV12" s="10">
        <f t="shared" si="196"/>
        <v>85.306455508935102</v>
      </c>
      <c r="HW12" s="539">
        <f t="shared" si="197"/>
        <v>2943.9257796133502</v>
      </c>
      <c r="HX12" s="19">
        <f t="shared" si="198"/>
        <v>58.008389746075871</v>
      </c>
      <c r="HY12" s="10">
        <f t="shared" si="199"/>
        <v>1.680915379486406</v>
      </c>
      <c r="HZ12" s="10">
        <f t="shared" si="200"/>
        <v>86.987370888421509</v>
      </c>
      <c r="IA12" s="539">
        <f t="shared" si="201"/>
        <v>3001.9341693594261</v>
      </c>
      <c r="IB12" s="19">
        <f t="shared" si="202"/>
        <v>59.151412204126629</v>
      </c>
      <c r="IF12" s="840">
        <v>0.1</v>
      </c>
      <c r="IG12" s="1371">
        <v>0.1</v>
      </c>
      <c r="IH12" s="1300">
        <f>IF9</f>
        <v>8.0399999999999991</v>
      </c>
      <c r="II12" s="1380">
        <v>24.79</v>
      </c>
      <c r="IJ12" s="1371">
        <v>2.4500000000000001E-2</v>
      </c>
      <c r="IK12" s="1302">
        <v>49.13</v>
      </c>
      <c r="IL12" s="1381">
        <v>0.1</v>
      </c>
      <c r="IM12" s="1371">
        <f>Treasuries!K94</f>
        <v>2.47E-2</v>
      </c>
      <c r="IN12" s="1371">
        <v>1.12E-2</v>
      </c>
      <c r="IO12" s="701">
        <f>G38</f>
        <v>83291745.683201924</v>
      </c>
      <c r="IP12" s="658">
        <v>0.1</v>
      </c>
      <c r="IY12"/>
    </row>
    <row r="13" spans="1:263">
      <c r="A13" s="10" t="s">
        <v>63</v>
      </c>
      <c r="B13" s="19">
        <f>B11-B12</f>
        <v>321.01</v>
      </c>
      <c r="C13" s="826" t="s">
        <v>2342</v>
      </c>
      <c r="D13" s="47" t="s">
        <v>85</v>
      </c>
      <c r="E13" s="396">
        <f t="shared" si="0"/>
        <v>90.96690000000001</v>
      </c>
      <c r="F13" s="242">
        <v>59.966900000000003</v>
      </c>
      <c r="G13" s="48">
        <f>'Update Stock Prices'!S13</f>
        <v>5671905697.4459724</v>
      </c>
      <c r="H13" s="991">
        <f t="shared" si="27"/>
        <v>1.0572619362660201E-8</v>
      </c>
      <c r="I13" s="49">
        <f>'Update Stock Prices'!D13</f>
        <v>10.18</v>
      </c>
      <c r="J13" s="49">
        <f t="shared" si="1"/>
        <v>610.46304199999997</v>
      </c>
      <c r="K13" s="30">
        <v>616.86</v>
      </c>
      <c r="L13" s="49">
        <f t="shared" si="28"/>
        <v>-6.3969580000000406</v>
      </c>
      <c r="M13" s="50">
        <f t="shared" si="29"/>
        <v>-1.0370194209383069E-2</v>
      </c>
      <c r="N13" s="49">
        <f t="shared" si="30"/>
        <v>10.286674815606609</v>
      </c>
      <c r="O13" s="48">
        <f t="shared" si="2"/>
        <v>31</v>
      </c>
      <c r="P13" s="49">
        <f t="shared" si="3"/>
        <v>5.4300000000000068</v>
      </c>
      <c r="Q13" s="30">
        <f>0.066*12</f>
        <v>0.79200000000000004</v>
      </c>
      <c r="R13" s="49">
        <f>S13/365.25</f>
        <v>0.13003089609856264</v>
      </c>
      <c r="S13" s="49">
        <f t="shared" si="4"/>
        <v>47.493784800000007</v>
      </c>
      <c r="T13" s="49">
        <f>S13/12</f>
        <v>3.9578154000000008</v>
      </c>
      <c r="U13" s="49" t="s">
        <v>56</v>
      </c>
      <c r="V13" s="50">
        <f t="shared" si="6"/>
        <v>7.7799607072691554E-2</v>
      </c>
      <c r="W13" s="50">
        <f t="shared" si="7"/>
        <v>7.6992810037934067E-2</v>
      </c>
      <c r="X13" s="49">
        <f t="shared" si="8"/>
        <v>24.552</v>
      </c>
      <c r="Y13" s="49">
        <f t="shared" si="32"/>
        <v>3.9578154000000008</v>
      </c>
      <c r="Z13" s="860">
        <f t="shared" si="9"/>
        <v>0</v>
      </c>
      <c r="AA13" s="860">
        <f t="shared" si="10"/>
        <v>94.275524242424211</v>
      </c>
      <c r="AB13" s="49">
        <f t="shared" si="11"/>
        <v>959.72483678787842</v>
      </c>
      <c r="AC13" s="48">
        <v>1</v>
      </c>
      <c r="AD13" s="47" t="str">
        <f t="shared" si="12"/>
        <v>BBD</v>
      </c>
      <c r="AE13" s="49">
        <f t="shared" si="13"/>
        <v>610.46304199999997</v>
      </c>
      <c r="AF13" s="50" t="e">
        <f t="shared" si="14"/>
        <v>#REF!</v>
      </c>
      <c r="AG13" s="890" t="e">
        <f t="shared" si="15"/>
        <v>#REF!</v>
      </c>
      <c r="AH13" s="207" t="s">
        <v>86</v>
      </c>
      <c r="AI13" s="240">
        <f t="shared" si="16"/>
        <v>0.84599361499540748</v>
      </c>
      <c r="AJ13" s="11">
        <f t="shared" si="33"/>
        <v>3</v>
      </c>
      <c r="AK13" s="11"/>
      <c r="AL13" s="11"/>
      <c r="AM13" s="11"/>
      <c r="AN13" s="11"/>
      <c r="AO13" s="11"/>
      <c r="AP13" s="11"/>
      <c r="AQ13" s="11" t="str">
        <f>'Update Stock Prices'!Q13</f>
        <v>big</v>
      </c>
      <c r="AR13" s="11"/>
      <c r="AS13" s="11"/>
      <c r="AT13" s="176" t="s">
        <v>382</v>
      </c>
      <c r="AU13" s="420"/>
      <c r="AV13" s="420"/>
      <c r="AW13" s="420"/>
      <c r="AX13" s="444"/>
      <c r="AY13" s="376" t="s">
        <v>1458</v>
      </c>
      <c r="AZ13" s="601">
        <v>0.28999999999999998</v>
      </c>
      <c r="BA13" s="27"/>
      <c r="BB13" s="7" t="s">
        <v>2734</v>
      </c>
      <c r="BC13" s="19"/>
      <c r="BD13" s="932"/>
      <c r="BE13" s="593">
        <f t="shared" si="17"/>
        <v>0</v>
      </c>
      <c r="BF13" s="725">
        <f t="shared" si="221"/>
        <v>314399.74332394172</v>
      </c>
      <c r="BG13" s="420" t="str">
        <f t="shared" ca="1" si="18"/>
        <v/>
      </c>
      <c r="BH13" s="593">
        <f t="shared" ca="1" si="34"/>
        <v>14</v>
      </c>
      <c r="BI13" s="420">
        <f t="shared" ca="1" si="35"/>
        <v>48</v>
      </c>
      <c r="BJ13" s="420">
        <f t="shared" ca="1" si="35"/>
        <v>54</v>
      </c>
      <c r="BK13" s="420">
        <f t="shared" ca="1" si="36"/>
        <v>2028</v>
      </c>
      <c r="BL13" s="420" t="s">
        <v>1020</v>
      </c>
      <c r="BM13" s="19">
        <f t="shared" si="19"/>
        <v>419471.40724472841</v>
      </c>
      <c r="BN13" s="19">
        <f>DO149</f>
        <v>105071.66392078668</v>
      </c>
      <c r="BO13" s="19">
        <f>DP149</f>
        <v>4973.0576346276184</v>
      </c>
      <c r="BP13" s="183">
        <f t="shared" si="20"/>
        <v>4.7330150195173427E-2</v>
      </c>
      <c r="BQ13" s="19">
        <f t="shared" si="21"/>
        <v>414.42146955230152</v>
      </c>
      <c r="BS13" s="420" t="str">
        <f t="shared" si="37"/>
        <v>BBD</v>
      </c>
      <c r="BT13" s="425">
        <f t="shared" si="38"/>
        <v>59.966900000000003</v>
      </c>
      <c r="BU13" s="19">
        <f t="shared" si="39"/>
        <v>10.18</v>
      </c>
      <c r="BV13" s="19">
        <f t="shared" si="40"/>
        <v>610.46304199999997</v>
      </c>
      <c r="BW13" s="539">
        <f t="shared" si="41"/>
        <v>0.79200000000000004</v>
      </c>
      <c r="BX13" s="19">
        <f t="shared" si="42"/>
        <v>47.493784800000007</v>
      </c>
      <c r="BY13" s="10">
        <f t="shared" si="43"/>
        <v>4.665401257367388</v>
      </c>
      <c r="BZ13" s="10">
        <f t="shared" si="44"/>
        <v>64.632301257367388</v>
      </c>
      <c r="CA13" s="539">
        <f t="shared" si="45"/>
        <v>657.95682680000004</v>
      </c>
      <c r="CB13" s="19">
        <f t="shared" si="46"/>
        <v>51.188782595834972</v>
      </c>
      <c r="CC13" s="10">
        <f t="shared" si="47"/>
        <v>5.0283676420270114</v>
      </c>
      <c r="CD13" s="10">
        <f t="shared" si="48"/>
        <v>69.660668899394395</v>
      </c>
      <c r="CE13" s="539">
        <f t="shared" si="49"/>
        <v>709.14560939583487</v>
      </c>
      <c r="CF13" s="19">
        <f t="shared" si="50"/>
        <v>55.171249768320365</v>
      </c>
      <c r="CG13" s="10">
        <f t="shared" si="51"/>
        <v>5.4195726687937489</v>
      </c>
      <c r="CH13" s="10">
        <f t="shared" si="52"/>
        <v>75.080241568188143</v>
      </c>
      <c r="CI13" s="539">
        <f t="shared" si="53"/>
        <v>764.31685916415529</v>
      </c>
      <c r="CJ13" s="19">
        <f t="shared" si="54"/>
        <v>59.46355132200501</v>
      </c>
      <c r="CK13" s="10">
        <f t="shared" si="55"/>
        <v>5.8412132929278009</v>
      </c>
      <c r="CL13" s="10">
        <f t="shared" si="56"/>
        <v>80.921454861115947</v>
      </c>
      <c r="CM13" s="539">
        <f t="shared" si="57"/>
        <v>823.78041048616035</v>
      </c>
      <c r="CN13" s="19">
        <f t="shared" si="58"/>
        <v>64.089792250003839</v>
      </c>
      <c r="CO13" s="10">
        <f t="shared" si="59"/>
        <v>6.2956573919453671</v>
      </c>
      <c r="CP13" s="10">
        <f t="shared" si="60"/>
        <v>87.217112253061316</v>
      </c>
      <c r="CQ13" s="539">
        <f t="shared" si="61"/>
        <v>887.87020273616417</v>
      </c>
      <c r="CR13" s="19">
        <f t="shared" si="62"/>
        <v>69.075952904424568</v>
      </c>
      <c r="CS13" s="10">
        <f t="shared" si="63"/>
        <v>6.7854570633030029</v>
      </c>
      <c r="CT13" s="10">
        <f t="shared" si="64"/>
        <v>94.002569316364315</v>
      </c>
      <c r="CU13" s="539">
        <f t="shared" si="65"/>
        <v>956.9461556405887</v>
      </c>
      <c r="CV13" s="19">
        <f t="shared" si="66"/>
        <v>74.450034898560546</v>
      </c>
      <c r="CW13" s="10">
        <f t="shared" si="67"/>
        <v>7.3133629566365963</v>
      </c>
      <c r="CX13" s="10">
        <f t="shared" si="68"/>
        <v>101.31593227300091</v>
      </c>
      <c r="CY13" s="539">
        <f t="shared" si="69"/>
        <v>1031.3961905391493</v>
      </c>
      <c r="CZ13" s="19">
        <f t="shared" si="70"/>
        <v>80.242218360216725</v>
      </c>
      <c r="DA13" s="10">
        <f t="shared" si="71"/>
        <v>7.8823397210429009</v>
      </c>
      <c r="DB13" s="10">
        <f t="shared" si="72"/>
        <v>109.19827199404381</v>
      </c>
      <c r="DC13" s="539">
        <f t="shared" si="73"/>
        <v>1111.6384088993659</v>
      </c>
      <c r="DD13" s="19">
        <f t="shared" si="74"/>
        <v>86.485031419282706</v>
      </c>
      <c r="DE13" s="10">
        <f t="shared" si="75"/>
        <v>8.4955826541535071</v>
      </c>
      <c r="DF13" s="10">
        <f t="shared" si="76"/>
        <v>117.69385464819732</v>
      </c>
      <c r="DG13" s="539">
        <f t="shared" si="77"/>
        <v>1198.1234403186486</v>
      </c>
      <c r="DH13" s="19">
        <f t="shared" si="78"/>
        <v>93.213532881372274</v>
      </c>
      <c r="DI13" s="10">
        <f t="shared" si="79"/>
        <v>9.1565356465002239</v>
      </c>
      <c r="DJ13" s="10">
        <f t="shared" si="80"/>
        <v>126.85039029469755</v>
      </c>
      <c r="DK13" s="539">
        <f t="shared" si="81"/>
        <v>1291.336973200021</v>
      </c>
      <c r="DL13" s="19">
        <f t="shared" si="82"/>
        <v>100.46550911340046</v>
      </c>
      <c r="DM13" s="10">
        <f t="shared" si="83"/>
        <v>9.8689105219450362</v>
      </c>
      <c r="DN13" s="10">
        <f t="shared" si="84"/>
        <v>136.71930081664257</v>
      </c>
      <c r="DO13" s="539">
        <f t="shared" si="85"/>
        <v>1391.8024823134213</v>
      </c>
      <c r="DP13" s="19">
        <f t="shared" si="86"/>
        <v>108.28168624678092</v>
      </c>
      <c r="DQ13" s="10">
        <f t="shared" si="87"/>
        <v>10.63670788278791</v>
      </c>
      <c r="DR13" s="10">
        <f t="shared" si="88"/>
        <v>147.35600869943048</v>
      </c>
      <c r="DS13" s="539">
        <f t="shared" si="89"/>
        <v>1500.0841685602022</v>
      </c>
      <c r="DT13" s="19">
        <f t="shared" si="90"/>
        <v>116.70595888994895</v>
      </c>
      <c r="DU13" s="10">
        <f t="shared" si="91"/>
        <v>11.46423957661581</v>
      </c>
      <c r="DV13" s="10">
        <f t="shared" si="92"/>
        <v>158.8202482760463</v>
      </c>
      <c r="DW13" s="539">
        <f t="shared" si="93"/>
        <v>1616.7901274501512</v>
      </c>
      <c r="DX13" s="19">
        <f t="shared" si="94"/>
        <v>125.78563663462867</v>
      </c>
      <c r="DY13" s="10">
        <f t="shared" si="95"/>
        <v>12.35615291106372</v>
      </c>
      <c r="DZ13" s="10">
        <f t="shared" si="96"/>
        <v>171.17640118711003</v>
      </c>
      <c r="EA13" s="539">
        <f t="shared" si="97"/>
        <v>1742.5757640847801</v>
      </c>
      <c r="EB13" s="19">
        <f t="shared" si="98"/>
        <v>135.57170974019115</v>
      </c>
      <c r="EC13" s="10">
        <f t="shared" si="99"/>
        <v>13.317456752474573</v>
      </c>
      <c r="ED13" s="10">
        <f t="shared" si="100"/>
        <v>184.49385793958461</v>
      </c>
      <c r="EE13" s="539">
        <f t="shared" si="101"/>
        <v>1878.1474738249713</v>
      </c>
      <c r="EF13" s="19">
        <f t="shared" si="102"/>
        <v>146.11913548815102</v>
      </c>
      <c r="EG13" s="10">
        <f t="shared" si="103"/>
        <v>14.353549655024658</v>
      </c>
      <c r="EH13" s="10">
        <f t="shared" si="104"/>
        <v>198.84740759460928</v>
      </c>
      <c r="EI13" s="539">
        <f t="shared" si="105"/>
        <v>2024.2666093131224</v>
      </c>
      <c r="EJ13" s="19">
        <f t="shared" si="106"/>
        <v>157.48714681493055</v>
      </c>
      <c r="EK13" s="10">
        <f t="shared" si="107"/>
        <v>15.470250178283944</v>
      </c>
      <c r="EL13" s="10">
        <f t="shared" si="108"/>
        <v>214.31765777289323</v>
      </c>
      <c r="EM13" s="539">
        <f t="shared" si="109"/>
        <v>2181.7537561280528</v>
      </c>
      <c r="EN13" s="19">
        <f t="shared" si="110"/>
        <v>169.73958495613144</v>
      </c>
      <c r="EO13" s="10">
        <f t="shared" si="111"/>
        <v>16.673829563470672</v>
      </c>
      <c r="EP13" s="10">
        <f t="shared" si="112"/>
        <v>230.99148733636389</v>
      </c>
      <c r="EQ13" s="539">
        <f t="shared" si="113"/>
        <v>2351.4933410841845</v>
      </c>
      <c r="ER13" s="19">
        <f t="shared" si="114"/>
        <v>182.94525797040021</v>
      </c>
      <c r="ES13" s="10">
        <f t="shared" si="115"/>
        <v>17.97104695190572</v>
      </c>
      <c r="ET13" s="10">
        <f t="shared" si="116"/>
        <v>248.96253428826961</v>
      </c>
      <c r="EU13" s="539">
        <f t="shared" si="117"/>
        <v>2534.4385990545848</v>
      </c>
      <c r="EV13" s="19">
        <f t="shared" si="118"/>
        <v>197.17832715630954</v>
      </c>
      <c r="EW13" s="10">
        <f t="shared" si="119"/>
        <v>19.369187343448875</v>
      </c>
      <c r="EX13" s="10">
        <f t="shared" si="120"/>
        <v>268.33172163171849</v>
      </c>
      <c r="EY13" s="539">
        <f t="shared" si="121"/>
        <v>2731.6169262108942</v>
      </c>
      <c r="EZ13" s="19">
        <f t="shared" si="122"/>
        <v>212.51872353232105</v>
      </c>
      <c r="FA13" s="10">
        <f t="shared" si="123"/>
        <v>20.876102508086547</v>
      </c>
      <c r="FB13" s="10">
        <f t="shared" si="124"/>
        <v>289.20782413980504</v>
      </c>
      <c r="FC13" s="539">
        <f t="shared" si="125"/>
        <v>2944.1356497432153</v>
      </c>
      <c r="FD13" s="19">
        <f t="shared" si="126"/>
        <v>229.0525967187256</v>
      </c>
      <c r="FE13" s="10">
        <f t="shared" si="127"/>
        <v>22.50025508042491</v>
      </c>
      <c r="FF13" s="10">
        <f t="shared" si="128"/>
        <v>311.70807922022993</v>
      </c>
      <c r="FG13" s="539">
        <f t="shared" si="129"/>
        <v>3173.1882464619407</v>
      </c>
      <c r="FH13" s="19">
        <f t="shared" si="130"/>
        <v>246.87279874242211</v>
      </c>
      <c r="FI13" s="10">
        <f t="shared" si="131"/>
        <v>24.250766084717299</v>
      </c>
      <c r="FJ13" s="10">
        <f t="shared" si="132"/>
        <v>335.9588453049472</v>
      </c>
      <c r="FK13" s="539">
        <f t="shared" si="133"/>
        <v>3420.0610452043625</v>
      </c>
      <c r="FL13" s="19">
        <f t="shared" si="134"/>
        <v>266.07940548151822</v>
      </c>
      <c r="FM13" s="10">
        <f t="shared" si="135"/>
        <v>26.137466157320063</v>
      </c>
      <c r="FN13" s="10">
        <f t="shared" si="136"/>
        <v>362.09631146226729</v>
      </c>
      <c r="FO13" s="539">
        <f t="shared" si="137"/>
        <v>3686.1404506858808</v>
      </c>
      <c r="FP13" s="19">
        <f t="shared" si="138"/>
        <v>286.78027867811574</v>
      </c>
      <c r="FQ13" s="10">
        <f t="shared" si="139"/>
        <v>28.170950754235339</v>
      </c>
      <c r="FR13" s="10">
        <f t="shared" si="140"/>
        <v>390.26726221650262</v>
      </c>
      <c r="FS13" s="539">
        <f t="shared" si="141"/>
        <v>3972.9207293639965</v>
      </c>
      <c r="FT13" s="19">
        <f t="shared" si="142"/>
        <v>309.09167167547008</v>
      </c>
      <c r="FU13" s="10">
        <f t="shared" si="143"/>
        <v>30.362639653778988</v>
      </c>
      <c r="FV13" s="10">
        <f t="shared" si="144"/>
        <v>420.62990187028163</v>
      </c>
      <c r="FW13" s="539">
        <f t="shared" si="145"/>
        <v>4282.0124010394666</v>
      </c>
      <c r="FX13" s="19">
        <f t="shared" si="146"/>
        <v>333.13888228126308</v>
      </c>
      <c r="FY13" s="10">
        <f t="shared" si="147"/>
        <v>32.72484108853272</v>
      </c>
      <c r="FZ13" s="10">
        <f t="shared" si="148"/>
        <v>453.35474295881437</v>
      </c>
      <c r="GA13" s="539">
        <f t="shared" si="149"/>
        <v>4615.1512833207298</v>
      </c>
      <c r="GB13" s="19">
        <f t="shared" si="150"/>
        <v>359.056956423381</v>
      </c>
      <c r="GC13" s="10">
        <f t="shared" si="151"/>
        <v>35.270820866736841</v>
      </c>
      <c r="GD13" s="10">
        <f t="shared" si="152"/>
        <v>488.62556382555124</v>
      </c>
      <c r="GE13" s="539">
        <f t="shared" si="153"/>
        <v>4974.2082397441118</v>
      </c>
      <c r="GF13" s="19">
        <f t="shared" si="154"/>
        <v>386.99144654983661</v>
      </c>
      <c r="GG13" s="10">
        <f t="shared" si="155"/>
        <v>38.01487687130026</v>
      </c>
      <c r="GH13" s="10">
        <f t="shared" si="156"/>
        <v>526.64044069685156</v>
      </c>
      <c r="GI13" s="539">
        <f t="shared" si="157"/>
        <v>5361.1996862939486</v>
      </c>
      <c r="GJ13" s="19">
        <f t="shared" si="158"/>
        <v>417.09922903190648</v>
      </c>
      <c r="GK13" s="10">
        <f t="shared" si="159"/>
        <v>40.972419354804174</v>
      </c>
      <c r="GL13" s="10">
        <f t="shared" si="160"/>
        <v>567.61286005165573</v>
      </c>
      <c r="GM13" s="539">
        <f t="shared" si="161"/>
        <v>5778.298915325855</v>
      </c>
      <c r="GN13" s="19">
        <f t="shared" si="162"/>
        <v>449.54938516091136</v>
      </c>
      <c r="GO13" s="10">
        <f t="shared" si="163"/>
        <v>44.160057481425476</v>
      </c>
      <c r="GP13" s="10">
        <f t="shared" si="164"/>
        <v>611.77291753308123</v>
      </c>
      <c r="GQ13" s="539">
        <f t="shared" si="165"/>
        <v>6227.8483004867667</v>
      </c>
      <c r="GR13" s="19">
        <f t="shared" si="166"/>
        <v>484.52415068620036</v>
      </c>
      <c r="GS13" s="10">
        <f t="shared" si="167"/>
        <v>47.595692601787853</v>
      </c>
      <c r="GT13" s="10">
        <f t="shared" si="168"/>
        <v>659.36861013486907</v>
      </c>
      <c r="GU13" s="539">
        <f t="shared" si="169"/>
        <v>6712.372451172967</v>
      </c>
      <c r="GV13" s="19">
        <f t="shared" si="170"/>
        <v>522.21993922681634</v>
      </c>
      <c r="GW13" s="10">
        <f t="shared" si="171"/>
        <v>51.298618784559565</v>
      </c>
      <c r="GX13" s="10">
        <f t="shared" si="172"/>
        <v>710.66722891942868</v>
      </c>
      <c r="GY13" s="539">
        <f t="shared" si="173"/>
        <v>7234.5923903997837</v>
      </c>
      <c r="GZ13" s="19">
        <f t="shared" si="174"/>
        <v>562.84844530418752</v>
      </c>
      <c r="HA13" s="10">
        <f t="shared" si="175"/>
        <v>55.289631169370089</v>
      </c>
      <c r="HB13" s="10">
        <f t="shared" si="176"/>
        <v>765.95686008879875</v>
      </c>
      <c r="HC13" s="539">
        <f t="shared" si="177"/>
        <v>7797.4408357039711</v>
      </c>
      <c r="HD13" s="19">
        <f t="shared" si="178"/>
        <v>606.63783319032859</v>
      </c>
      <c r="HE13" s="10">
        <f t="shared" si="179"/>
        <v>59.59114274954112</v>
      </c>
      <c r="HF13" s="10">
        <f t="shared" si="180"/>
        <v>825.54800283833993</v>
      </c>
      <c r="HG13" s="539">
        <f t="shared" si="181"/>
        <v>8404.0786688943008</v>
      </c>
      <c r="HH13" s="19">
        <f t="shared" si="182"/>
        <v>653.83401824796522</v>
      </c>
      <c r="HI13" s="10">
        <f t="shared" si="183"/>
        <v>64.2273102404681</v>
      </c>
      <c r="HJ13" s="10">
        <f t="shared" si="184"/>
        <v>889.77531307880804</v>
      </c>
      <c r="HK13" s="539">
        <f t="shared" si="185"/>
        <v>9057.912687142265</v>
      </c>
      <c r="HL13" s="19">
        <f t="shared" si="186"/>
        <v>704.70204795841596</v>
      </c>
      <c r="HM13" s="10">
        <f t="shared" si="187"/>
        <v>69.22416974051238</v>
      </c>
      <c r="HN13" s="10">
        <f t="shared" si="188"/>
        <v>958.99948281932041</v>
      </c>
      <c r="HO13" s="539">
        <f t="shared" si="189"/>
        <v>9762.6147351006821</v>
      </c>
      <c r="HP13" s="19">
        <f t="shared" si="190"/>
        <v>759.52759039290174</v>
      </c>
      <c r="HQ13" s="10">
        <f t="shared" si="191"/>
        <v>74.609782946257539</v>
      </c>
      <c r="HR13" s="10">
        <f t="shared" si="192"/>
        <v>1033.6092657655779</v>
      </c>
      <c r="HS13" s="539">
        <f t="shared" si="193"/>
        <v>10522.142325493583</v>
      </c>
      <c r="HT13" s="19">
        <f t="shared" si="194"/>
        <v>818.61853848633768</v>
      </c>
      <c r="HU13" s="10">
        <f t="shared" si="195"/>
        <v>80.414394743255173</v>
      </c>
      <c r="HV13" s="10">
        <f t="shared" si="196"/>
        <v>1114.023660508833</v>
      </c>
      <c r="HW13" s="539">
        <f t="shared" si="197"/>
        <v>11340.76086397992</v>
      </c>
      <c r="HX13" s="19">
        <f t="shared" si="198"/>
        <v>882.30673912299574</v>
      </c>
      <c r="HY13" s="10">
        <f t="shared" si="199"/>
        <v>86.670603057268735</v>
      </c>
      <c r="HZ13" s="10">
        <f t="shared" si="200"/>
        <v>1200.6942635661017</v>
      </c>
      <c r="IA13" s="539">
        <f t="shared" si="201"/>
        <v>12223.067603102914</v>
      </c>
      <c r="IB13" s="19">
        <f t="shared" si="202"/>
        <v>950.94985674435259</v>
      </c>
      <c r="IF13" s="660"/>
      <c r="IG13" s="540"/>
      <c r="IH13" s="540"/>
      <c r="II13" s="540"/>
      <c r="IJ13" s="540"/>
      <c r="IK13" s="540"/>
      <c r="IL13" s="540"/>
      <c r="IM13" s="540"/>
      <c r="IN13" s="540"/>
      <c r="IO13" s="665"/>
      <c r="IP13" s="236"/>
      <c r="IY13"/>
    </row>
    <row r="14" spans="1:263">
      <c r="B14" s="19"/>
      <c r="C14" s="826" t="s">
        <v>2341</v>
      </c>
      <c r="D14" s="47" t="s">
        <v>877</v>
      </c>
      <c r="E14" s="396">
        <f t="shared" si="0"/>
        <v>10.0311</v>
      </c>
      <c r="F14" s="242">
        <v>1.0310999999999999</v>
      </c>
      <c r="G14" s="48">
        <f>'Update Stock Prices'!S14</f>
        <v>2807505012.8902898</v>
      </c>
      <c r="H14" s="991">
        <f t="shared" si="27"/>
        <v>3.6726559534741341E-10</v>
      </c>
      <c r="I14" s="49">
        <f>'Update Stock Prices'!D14</f>
        <v>34.909999999999997</v>
      </c>
      <c r="J14" s="49">
        <f t="shared" si="1"/>
        <v>35.99570099999999</v>
      </c>
      <c r="K14" s="30">
        <v>43.99</v>
      </c>
      <c r="L14" s="49">
        <f t="shared" si="28"/>
        <v>-7.9942990000000123</v>
      </c>
      <c r="M14" s="50">
        <f t="shared" si="29"/>
        <v>-0.18172991588997525</v>
      </c>
      <c r="N14" s="49">
        <f t="shared" si="30"/>
        <v>42.6631752497333</v>
      </c>
      <c r="O14" s="48">
        <f t="shared" si="2"/>
        <v>9</v>
      </c>
      <c r="P14" s="49">
        <f t="shared" si="3"/>
        <v>6.82000000000005</v>
      </c>
      <c r="Q14" s="30">
        <f>1.24*2</f>
        <v>2.48</v>
      </c>
      <c r="R14" s="49">
        <f>S14/365.25</f>
        <v>7.0010349075975351E-3</v>
      </c>
      <c r="S14" s="49">
        <f t="shared" si="4"/>
        <v>2.5571279999999996</v>
      </c>
      <c r="T14" s="49">
        <f>S14/12</f>
        <v>0.21309399999999998</v>
      </c>
      <c r="U14" s="49" t="s">
        <v>882</v>
      </c>
      <c r="V14" s="50">
        <f t="shared" si="6"/>
        <v>7.1039816671440853E-2</v>
      </c>
      <c r="W14" s="50">
        <f t="shared" si="7"/>
        <v>5.812975676290065E-2</v>
      </c>
      <c r="X14" s="49">
        <f t="shared" si="8"/>
        <v>22.32</v>
      </c>
      <c r="Y14" s="49">
        <f t="shared" si="32"/>
        <v>1.2785639999999998</v>
      </c>
      <c r="Z14" s="860">
        <f t="shared" si="9"/>
        <v>0</v>
      </c>
      <c r="AA14" s="860">
        <f t="shared" si="10"/>
        <v>27.122125806451614</v>
      </c>
      <c r="AB14" s="49">
        <f t="shared" si="11"/>
        <v>946.83341190322574</v>
      </c>
      <c r="AC14" s="48">
        <v>1</v>
      </c>
      <c r="AD14" s="47" t="str">
        <f t="shared" si="12"/>
        <v>BBL</v>
      </c>
      <c r="AE14" s="49">
        <f t="shared" si="13"/>
        <v>35.99570099999999</v>
      </c>
      <c r="AF14" s="50" t="e">
        <f t="shared" si="14"/>
        <v>#REF!</v>
      </c>
      <c r="AG14" s="890" t="e">
        <f t="shared" si="15"/>
        <v>#REF!</v>
      </c>
      <c r="AH14" s="207" t="s">
        <v>881</v>
      </c>
      <c r="AI14" s="240">
        <f t="shared" si="16"/>
        <v>2.9413696278980691E-3</v>
      </c>
      <c r="AJ14" s="11">
        <f t="shared" si="33"/>
        <v>3</v>
      </c>
      <c r="AK14" s="11"/>
      <c r="AL14" s="11"/>
      <c r="AM14" s="11"/>
      <c r="AN14" s="11"/>
      <c r="AO14" s="11"/>
      <c r="AP14" s="11"/>
      <c r="AQ14" s="11" t="str">
        <f>'Update Stock Prices'!Q14</f>
        <v>big</v>
      </c>
      <c r="AR14" s="11"/>
      <c r="AS14" s="11">
        <v>1</v>
      </c>
      <c r="AT14" s="176" t="s">
        <v>383</v>
      </c>
      <c r="AU14" s="420"/>
      <c r="AV14" s="420"/>
      <c r="AW14" s="11"/>
      <c r="AX14" s="8"/>
      <c r="AY14" s="224" t="s">
        <v>1215</v>
      </c>
      <c r="AZ14" s="602">
        <f>AZ3/1000</f>
        <v>33.335683091999996</v>
      </c>
      <c r="BA14" s="27"/>
      <c r="BB14" s="19">
        <f ca="1">AZ8/BC112</f>
        <v>12215.170596654762</v>
      </c>
      <c r="BC14" s="19"/>
      <c r="BD14" s="932"/>
      <c r="BE14" s="593">
        <f t="shared" si="17"/>
        <v>0</v>
      </c>
      <c r="BF14" s="725">
        <f t="shared" si="221"/>
        <v>331646.10819042055</v>
      </c>
      <c r="BG14" s="420" t="str">
        <f t="shared" ca="1" si="18"/>
        <v/>
      </c>
      <c r="BH14" s="593">
        <f t="shared" ca="1" si="34"/>
        <v>15</v>
      </c>
      <c r="BI14" s="420">
        <f t="shared" ca="1" si="35"/>
        <v>49</v>
      </c>
      <c r="BJ14" s="420">
        <f t="shared" ca="1" si="35"/>
        <v>55</v>
      </c>
      <c r="BK14" s="420">
        <f t="shared" ca="1" si="36"/>
        <v>2029</v>
      </c>
      <c r="BL14" s="420" t="s">
        <v>1021</v>
      </c>
      <c r="BM14" s="19">
        <f t="shared" si="19"/>
        <v>441690.82974583487</v>
      </c>
      <c r="BN14" s="19">
        <f>DS149</f>
        <v>110044.72155541433</v>
      </c>
      <c r="BO14" s="19">
        <f>DT149</f>
        <v>5300.173053049004</v>
      </c>
      <c r="BP14" s="183">
        <f t="shared" si="20"/>
        <v>4.816380993231046E-2</v>
      </c>
      <c r="BQ14" s="19">
        <f t="shared" si="21"/>
        <v>441.68108775408365</v>
      </c>
      <c r="BS14" s="420" t="str">
        <f t="shared" si="37"/>
        <v>BBL</v>
      </c>
      <c r="BT14" s="425">
        <f t="shared" si="38"/>
        <v>1.0310999999999999</v>
      </c>
      <c r="BU14" s="19">
        <f t="shared" si="39"/>
        <v>34.909999999999997</v>
      </c>
      <c r="BV14" s="19">
        <f t="shared" si="40"/>
        <v>35.99570099999999</v>
      </c>
      <c r="BW14" s="539">
        <f t="shared" si="41"/>
        <v>2.48</v>
      </c>
      <c r="BX14" s="19">
        <f t="shared" si="42"/>
        <v>2.5571279999999996</v>
      </c>
      <c r="BY14" s="10">
        <f t="shared" si="43"/>
        <v>7.3249154969922653E-2</v>
      </c>
      <c r="BZ14" s="10">
        <f t="shared" si="44"/>
        <v>1.1043491549699225</v>
      </c>
      <c r="CA14" s="539">
        <f t="shared" si="45"/>
        <v>38.552828999999988</v>
      </c>
      <c r="CB14" s="19">
        <f t="shared" si="46"/>
        <v>2.7387859043254079</v>
      </c>
      <c r="CC14" s="10">
        <f t="shared" si="47"/>
        <v>7.8452761510323918E-2</v>
      </c>
      <c r="CD14" s="10">
        <f t="shared" si="48"/>
        <v>1.1828019164802464</v>
      </c>
      <c r="CE14" s="539">
        <f t="shared" si="49"/>
        <v>41.291614904325399</v>
      </c>
      <c r="CF14" s="19">
        <f t="shared" si="50"/>
        <v>2.9333487528710109</v>
      </c>
      <c r="CG14" s="10">
        <f t="shared" si="51"/>
        <v>8.4026031305385593E-2</v>
      </c>
      <c r="CH14" s="10">
        <f t="shared" si="52"/>
        <v>1.2668279477856319</v>
      </c>
      <c r="CI14" s="539">
        <f t="shared" si="53"/>
        <v>44.224963657196405</v>
      </c>
      <c r="CJ14" s="19">
        <f t="shared" si="54"/>
        <v>3.1417333105083669</v>
      </c>
      <c r="CK14" s="10">
        <f t="shared" si="55"/>
        <v>8.9995225164948928E-2</v>
      </c>
      <c r="CL14" s="10">
        <f t="shared" si="56"/>
        <v>1.3568231729505809</v>
      </c>
      <c r="CM14" s="539">
        <f t="shared" si="57"/>
        <v>47.366696967704776</v>
      </c>
      <c r="CN14" s="19">
        <f t="shared" si="58"/>
        <v>3.3649214689174407</v>
      </c>
      <c r="CO14" s="10">
        <f t="shared" si="59"/>
        <v>9.6388469461971951E-2</v>
      </c>
      <c r="CP14" s="10">
        <f t="shared" si="60"/>
        <v>1.4532116424125527</v>
      </c>
      <c r="CQ14" s="539">
        <f t="shared" si="61"/>
        <v>50.731618436622213</v>
      </c>
      <c r="CR14" s="19">
        <f t="shared" si="62"/>
        <v>3.6039648731831306</v>
      </c>
      <c r="CS14" s="10">
        <f t="shared" si="63"/>
        <v>0.1032358886617912</v>
      </c>
      <c r="CT14" s="10">
        <f t="shared" si="64"/>
        <v>1.556447531074344</v>
      </c>
      <c r="CU14" s="539">
        <f t="shared" si="65"/>
        <v>54.335583309805344</v>
      </c>
      <c r="CV14" s="19">
        <f t="shared" si="66"/>
        <v>3.8599898770643728</v>
      </c>
      <c r="CW14" s="10">
        <f t="shared" si="67"/>
        <v>0.11056974726623812</v>
      </c>
      <c r="CX14" s="10">
        <f t="shared" si="68"/>
        <v>1.6670172783405821</v>
      </c>
      <c r="CY14" s="539">
        <f t="shared" si="69"/>
        <v>58.195573186869716</v>
      </c>
      <c r="CZ14" s="19">
        <f t="shared" si="70"/>
        <v>4.1342028502846437</v>
      </c>
      <c r="DA14" s="10">
        <f t="shared" si="71"/>
        <v>0.11842460184143924</v>
      </c>
      <c r="DB14" s="10">
        <f t="shared" si="72"/>
        <v>1.7854418801820213</v>
      </c>
      <c r="DC14" s="539">
        <f t="shared" si="73"/>
        <v>62.32977603715436</v>
      </c>
      <c r="DD14" s="19">
        <f t="shared" si="74"/>
        <v>4.4278958628514129</v>
      </c>
      <c r="DE14" s="10">
        <f t="shared" si="75"/>
        <v>0.12683746384564346</v>
      </c>
      <c r="DF14" s="10">
        <f t="shared" si="76"/>
        <v>1.9122793440276649</v>
      </c>
      <c r="DG14" s="539">
        <f t="shared" si="77"/>
        <v>66.757671900005775</v>
      </c>
      <c r="DH14" s="19">
        <f t="shared" si="78"/>
        <v>4.7424527731886092</v>
      </c>
      <c r="DI14" s="10">
        <f t="shared" si="79"/>
        <v>0.13584797402430851</v>
      </c>
      <c r="DJ14" s="10">
        <f t="shared" si="80"/>
        <v>2.0481273180519732</v>
      </c>
      <c r="DK14" s="539">
        <f t="shared" si="81"/>
        <v>71.500124673194378</v>
      </c>
      <c r="DL14" s="19">
        <f t="shared" si="82"/>
        <v>5.0793557487688936</v>
      </c>
      <c r="DM14" s="10">
        <f t="shared" si="83"/>
        <v>0.14549858919418202</v>
      </c>
      <c r="DN14" s="10">
        <f t="shared" si="84"/>
        <v>2.1936259072461555</v>
      </c>
      <c r="DO14" s="539">
        <f t="shared" si="85"/>
        <v>76.579480421963282</v>
      </c>
      <c r="DP14" s="19">
        <f t="shared" si="86"/>
        <v>5.4401922499704654</v>
      </c>
      <c r="DQ14" s="10">
        <f t="shared" si="87"/>
        <v>0.15583478229649</v>
      </c>
      <c r="DR14" s="10">
        <f t="shared" si="88"/>
        <v>2.3494606895426453</v>
      </c>
      <c r="DS14" s="539">
        <f t="shared" si="89"/>
        <v>82.019672671933733</v>
      </c>
      <c r="DT14" s="19">
        <f t="shared" si="90"/>
        <v>5.8266625100657601</v>
      </c>
      <c r="DU14" s="10">
        <f t="shared" si="91"/>
        <v>0.16690525666186654</v>
      </c>
      <c r="DV14" s="10">
        <f t="shared" si="92"/>
        <v>2.516365946204512</v>
      </c>
      <c r="DW14" s="539">
        <f t="shared" si="93"/>
        <v>87.846335181999507</v>
      </c>
      <c r="DX14" s="19">
        <f t="shared" si="94"/>
        <v>6.2405875465871894</v>
      </c>
      <c r="DY14" s="10">
        <f t="shared" si="95"/>
        <v>0.17876217549662532</v>
      </c>
      <c r="DZ14" s="10">
        <f t="shared" si="96"/>
        <v>2.6951281217011376</v>
      </c>
      <c r="EA14" s="539">
        <f t="shared" si="97"/>
        <v>94.0869227285867</v>
      </c>
      <c r="EB14" s="19">
        <f t="shared" si="98"/>
        <v>6.6839177418188216</v>
      </c>
      <c r="EC14" s="10">
        <f t="shared" si="99"/>
        <v>0.19146140767169356</v>
      </c>
      <c r="ED14" s="10">
        <f t="shared" si="100"/>
        <v>2.8865895293728312</v>
      </c>
      <c r="EE14" s="539">
        <f t="shared" si="101"/>
        <v>100.77084047040553</v>
      </c>
      <c r="EF14" s="19">
        <f t="shared" si="102"/>
        <v>7.1587420328446214</v>
      </c>
      <c r="EG14" s="10">
        <f t="shared" si="103"/>
        <v>0.20506279097234667</v>
      </c>
      <c r="EH14" s="10">
        <f t="shared" si="104"/>
        <v>3.0916523203451778</v>
      </c>
      <c r="EI14" s="539">
        <f t="shared" si="105"/>
        <v>107.92958250325015</v>
      </c>
      <c r="EJ14" s="19">
        <f t="shared" si="106"/>
        <v>7.6672977544560412</v>
      </c>
      <c r="EK14" s="10">
        <f t="shared" si="107"/>
        <v>0.21963041404915618</v>
      </c>
      <c r="EL14" s="10">
        <f t="shared" si="108"/>
        <v>3.3112827343943341</v>
      </c>
      <c r="EM14" s="539">
        <f t="shared" si="109"/>
        <v>115.59688025770619</v>
      </c>
      <c r="EN14" s="19">
        <f t="shared" si="110"/>
        <v>8.2119811812979489</v>
      </c>
      <c r="EO14" s="10">
        <f t="shared" si="111"/>
        <v>0.23523291839868088</v>
      </c>
      <c r="EP14" s="10">
        <f t="shared" si="112"/>
        <v>3.5465156527930151</v>
      </c>
      <c r="EQ14" s="539">
        <f t="shared" si="113"/>
        <v>123.80886143900415</v>
      </c>
      <c r="ER14" s="19">
        <f t="shared" si="114"/>
        <v>8.7953588189266778</v>
      </c>
      <c r="ES14" s="10">
        <f t="shared" si="115"/>
        <v>0.25194382179681118</v>
      </c>
      <c r="ET14" s="10">
        <f t="shared" si="116"/>
        <v>3.7984594745898264</v>
      </c>
      <c r="EU14" s="539">
        <f t="shared" si="117"/>
        <v>132.60422025793082</v>
      </c>
      <c r="EV14" s="19">
        <f t="shared" si="118"/>
        <v>9.4201794969827688</v>
      </c>
      <c r="EW14" s="10">
        <f t="shared" si="119"/>
        <v>0.26984186470875882</v>
      </c>
      <c r="EX14" s="10">
        <f t="shared" si="120"/>
        <v>4.0683013392985856</v>
      </c>
      <c r="EY14" s="539">
        <f t="shared" si="121"/>
        <v>142.02439975491362</v>
      </c>
      <c r="EZ14" s="19">
        <f t="shared" si="122"/>
        <v>10.089387321460492</v>
      </c>
      <c r="FA14" s="10">
        <f t="shared" si="123"/>
        <v>0.28901138130794884</v>
      </c>
      <c r="FB14" s="10">
        <f t="shared" si="124"/>
        <v>4.3573127206065347</v>
      </c>
      <c r="FC14" s="539">
        <f t="shared" si="125"/>
        <v>152.11378707637411</v>
      </c>
      <c r="FD14" s="19">
        <f t="shared" si="126"/>
        <v>10.806135547104207</v>
      </c>
      <c r="FE14" s="10">
        <f t="shared" si="127"/>
        <v>0.3095426968520254</v>
      </c>
      <c r="FF14" s="10">
        <f t="shared" si="128"/>
        <v>4.6668554174585601</v>
      </c>
      <c r="FG14" s="539">
        <f t="shared" si="129"/>
        <v>162.91992262347833</v>
      </c>
      <c r="FH14" s="19">
        <f t="shared" si="130"/>
        <v>11.573801435297229</v>
      </c>
      <c r="FI14" s="10">
        <f t="shared" si="131"/>
        <v>0.33153255328837666</v>
      </c>
      <c r="FJ14" s="10">
        <f t="shared" si="132"/>
        <v>4.9983879707469372</v>
      </c>
      <c r="FK14" s="539">
        <f t="shared" si="133"/>
        <v>174.49372405877557</v>
      </c>
      <c r="FL14" s="19">
        <f t="shared" si="134"/>
        <v>12.396002167452405</v>
      </c>
      <c r="FM14" s="10">
        <f t="shared" si="135"/>
        <v>0.35508456509459774</v>
      </c>
      <c r="FN14" s="10">
        <f t="shared" si="136"/>
        <v>5.3534725358415347</v>
      </c>
      <c r="FO14" s="539">
        <f t="shared" si="137"/>
        <v>186.88972622622796</v>
      </c>
      <c r="FP14" s="19">
        <f t="shared" si="138"/>
        <v>13.276611888887006</v>
      </c>
      <c r="FQ14" s="10">
        <f t="shared" si="139"/>
        <v>0.38030970750177617</v>
      </c>
      <c r="FR14" s="10">
        <f t="shared" si="140"/>
        <v>5.7337822433433105</v>
      </c>
      <c r="FS14" s="539">
        <f t="shared" si="141"/>
        <v>200.16633811511494</v>
      </c>
      <c r="FT14" s="19">
        <f t="shared" si="142"/>
        <v>14.21977996349141</v>
      </c>
      <c r="FU14" s="10">
        <f t="shared" si="143"/>
        <v>0.40732683940107167</v>
      </c>
      <c r="FV14" s="10">
        <f t="shared" si="144"/>
        <v>6.1411090827443822</v>
      </c>
      <c r="FW14" s="539">
        <f t="shared" si="145"/>
        <v>214.38611807860636</v>
      </c>
      <c r="FX14" s="19">
        <f t="shared" si="146"/>
        <v>15.229950525206068</v>
      </c>
      <c r="FY14" s="10">
        <f t="shared" si="147"/>
        <v>0.43626326339748123</v>
      </c>
      <c r="FZ14" s="10">
        <f t="shared" si="148"/>
        <v>6.5773723461418632</v>
      </c>
      <c r="GA14" s="539">
        <f t="shared" si="149"/>
        <v>229.61606860381241</v>
      </c>
      <c r="GB14" s="19">
        <f t="shared" si="150"/>
        <v>16.311883418431819</v>
      </c>
      <c r="GC14" s="10">
        <f t="shared" si="151"/>
        <v>0.46725532564972272</v>
      </c>
      <c r="GD14" s="10">
        <f t="shared" si="152"/>
        <v>7.0446276717915861</v>
      </c>
      <c r="GE14" s="539">
        <f t="shared" si="153"/>
        <v>245.92795202224426</v>
      </c>
      <c r="GF14" s="19">
        <f t="shared" si="154"/>
        <v>17.470676626043133</v>
      </c>
      <c r="GG14" s="10">
        <f t="shared" si="155"/>
        <v>0.50044905832263342</v>
      </c>
      <c r="GH14" s="10">
        <f t="shared" si="156"/>
        <v>7.5450767301142196</v>
      </c>
      <c r="GI14" s="539">
        <f t="shared" si="157"/>
        <v>263.3986286482874</v>
      </c>
      <c r="GJ14" s="19">
        <f t="shared" si="158"/>
        <v>18.711790290683265</v>
      </c>
      <c r="GK14" s="10">
        <f t="shared" si="159"/>
        <v>0.53600086767926858</v>
      </c>
      <c r="GL14" s="10">
        <f t="shared" si="160"/>
        <v>8.0810775977934881</v>
      </c>
      <c r="GM14" s="539">
        <f t="shared" si="161"/>
        <v>282.11041893897067</v>
      </c>
      <c r="GN14" s="19">
        <f t="shared" si="162"/>
        <v>20.041072442527849</v>
      </c>
      <c r="GO14" s="10">
        <f t="shared" si="163"/>
        <v>0.57407827105493703</v>
      </c>
      <c r="GP14" s="10">
        <f t="shared" si="164"/>
        <v>8.6551558688484249</v>
      </c>
      <c r="GQ14" s="539">
        <f t="shared" si="165"/>
        <v>302.15149138149849</v>
      </c>
      <c r="GR14" s="19">
        <f t="shared" si="166"/>
        <v>21.464786554744094</v>
      </c>
      <c r="GS14" s="10">
        <f t="shared" si="167"/>
        <v>0.61486068618573753</v>
      </c>
      <c r="GT14" s="10">
        <f t="shared" si="168"/>
        <v>9.2700165550341627</v>
      </c>
      <c r="GU14" s="539">
        <f t="shared" si="169"/>
        <v>323.61627793624257</v>
      </c>
      <c r="GV14" s="19">
        <f t="shared" si="170"/>
        <v>22.989641056484722</v>
      </c>
      <c r="GW14" s="10">
        <f t="shared" si="171"/>
        <v>0.65854027661084857</v>
      </c>
      <c r="GX14" s="10">
        <f t="shared" si="172"/>
        <v>9.928556831645011</v>
      </c>
      <c r="GY14" s="539">
        <f t="shared" si="173"/>
        <v>346.60591899272731</v>
      </c>
      <c r="GZ14" s="19">
        <f t="shared" si="174"/>
        <v>24.622820942479628</v>
      </c>
      <c r="HA14" s="10">
        <f t="shared" si="175"/>
        <v>0.70532285713204323</v>
      </c>
      <c r="HB14" s="10">
        <f t="shared" si="176"/>
        <v>10.633879688777053</v>
      </c>
      <c r="HC14" s="539">
        <f t="shared" si="177"/>
        <v>371.22873993520687</v>
      </c>
      <c r="HD14" s="19">
        <f t="shared" si="178"/>
        <v>26.372021628167094</v>
      </c>
      <c r="HE14" s="10">
        <f t="shared" si="179"/>
        <v>0.75542886359688044</v>
      </c>
      <c r="HF14" s="10">
        <f t="shared" si="180"/>
        <v>11.389308552373933</v>
      </c>
      <c r="HG14" s="539">
        <f t="shared" si="181"/>
        <v>397.60076156337396</v>
      </c>
      <c r="HH14" s="19">
        <f t="shared" si="182"/>
        <v>28.245485209887352</v>
      </c>
      <c r="HI14" s="10">
        <f t="shared" si="183"/>
        <v>0.80909439157511764</v>
      </c>
      <c r="HJ14" s="10">
        <f t="shared" si="184"/>
        <v>12.19840294394905</v>
      </c>
      <c r="HK14" s="539">
        <f t="shared" si="185"/>
        <v>425.84624677326133</v>
      </c>
      <c r="HL14" s="19">
        <f t="shared" si="186"/>
        <v>30.252039300993644</v>
      </c>
      <c r="HM14" s="10">
        <f t="shared" si="187"/>
        <v>0.86657230882250491</v>
      </c>
      <c r="HN14" s="10">
        <f t="shared" si="188"/>
        <v>13.064975252771555</v>
      </c>
      <c r="HO14" s="539">
        <f t="shared" si="189"/>
        <v>456.09828607425493</v>
      </c>
      <c r="HP14" s="19">
        <f t="shared" si="190"/>
        <v>32.401138626873454</v>
      </c>
      <c r="HQ14" s="10">
        <f t="shared" si="191"/>
        <v>0.92813344677380283</v>
      </c>
      <c r="HR14" s="10">
        <f t="shared" si="192"/>
        <v>13.993108699545358</v>
      </c>
      <c r="HS14" s="539">
        <f t="shared" si="193"/>
        <v>488.49942470112842</v>
      </c>
      <c r="HT14" s="19">
        <f t="shared" si="194"/>
        <v>34.702909574872486</v>
      </c>
      <c r="HU14" s="10">
        <f t="shared" si="195"/>
        <v>0.99406787667924634</v>
      </c>
      <c r="HV14" s="10">
        <f t="shared" si="196"/>
        <v>14.987176576224604</v>
      </c>
      <c r="HW14" s="539">
        <f t="shared" si="197"/>
        <v>523.2023342760009</v>
      </c>
      <c r="HX14" s="19">
        <f t="shared" si="198"/>
        <v>37.168197909037019</v>
      </c>
      <c r="HY14" s="10">
        <f t="shared" si="199"/>
        <v>1.0646862763975085</v>
      </c>
      <c r="HZ14" s="10">
        <f t="shared" si="200"/>
        <v>16.051862852622111</v>
      </c>
      <c r="IA14" s="539">
        <f t="shared" si="201"/>
        <v>560.37053218503786</v>
      </c>
      <c r="IB14" s="19">
        <f t="shared" si="202"/>
        <v>39.808619874502838</v>
      </c>
      <c r="IF14" s="762" t="s">
        <v>1328</v>
      </c>
      <c r="IG14" s="1384" t="s">
        <v>2512</v>
      </c>
      <c r="IH14" s="540" t="s">
        <v>1336</v>
      </c>
      <c r="II14" s="540" t="s">
        <v>1322</v>
      </c>
      <c r="IJ14" s="540" t="s">
        <v>1391</v>
      </c>
      <c r="IK14" s="540" t="s">
        <v>1325</v>
      </c>
      <c r="IL14" s="1301" t="s">
        <v>1327</v>
      </c>
      <c r="IM14" s="540" t="s">
        <v>1394</v>
      </c>
      <c r="IN14" s="540" t="s">
        <v>1397</v>
      </c>
      <c r="IO14" s="763" t="s">
        <v>1328</v>
      </c>
      <c r="IP14" s="236" t="s">
        <v>1333</v>
      </c>
      <c r="IY14"/>
    </row>
    <row r="15" spans="1:263" ht="13.5" thickBot="1">
      <c r="A15" s="25"/>
      <c r="B15" s="20"/>
      <c r="C15" s="826" t="s">
        <v>2344</v>
      </c>
      <c r="D15" s="47" t="s">
        <v>564</v>
      </c>
      <c r="E15" s="396">
        <f t="shared" si="0"/>
        <v>10.081900000000001</v>
      </c>
      <c r="F15" s="242">
        <v>3.0819000000000001</v>
      </c>
      <c r="G15" s="48">
        <f>'Update Stock Prices'!S15</f>
        <v>51247165.532879815</v>
      </c>
      <c r="H15" s="991">
        <f t="shared" si="27"/>
        <v>6.0137960176991153E-8</v>
      </c>
      <c r="I15" s="49">
        <f>'Update Stock Prices'!D15</f>
        <v>44.1</v>
      </c>
      <c r="J15" s="49">
        <f t="shared" si="1"/>
        <v>135.91179</v>
      </c>
      <c r="K15" s="30">
        <v>78.06</v>
      </c>
      <c r="L15" s="49">
        <f t="shared" si="28"/>
        <v>57.851789999999994</v>
      </c>
      <c r="M15" s="50">
        <f t="shared" si="29"/>
        <v>0.74111952344350485</v>
      </c>
      <c r="N15" s="49">
        <f t="shared" si="30"/>
        <v>25.328531100944222</v>
      </c>
      <c r="O15" s="48">
        <f t="shared" si="2"/>
        <v>7</v>
      </c>
      <c r="P15" s="49">
        <f t="shared" si="3"/>
        <v>12.310000000000002</v>
      </c>
      <c r="Q15" s="30">
        <f>0.1*4</f>
        <v>0.4</v>
      </c>
      <c r="R15" s="49">
        <f>S15/365.25</f>
        <v>3.3751129363449694E-3</v>
      </c>
      <c r="S15" s="49">
        <f t="shared" si="4"/>
        <v>1.2327600000000001</v>
      </c>
      <c r="T15" s="49">
        <f>S15/12</f>
        <v>0.10273</v>
      </c>
      <c r="U15" s="49" t="s">
        <v>54</v>
      </c>
      <c r="V15" s="50">
        <f t="shared" si="6"/>
        <v>9.0702947845804991E-3</v>
      </c>
      <c r="W15" s="50">
        <f t="shared" si="7"/>
        <v>1.5792467332820907E-2</v>
      </c>
      <c r="X15" s="49">
        <f t="shared" si="8"/>
        <v>2.8000000000000007</v>
      </c>
      <c r="Y15" s="49">
        <f t="shared" si="32"/>
        <v>0.30819000000000002</v>
      </c>
      <c r="Z15" s="860">
        <f t="shared" si="9"/>
        <v>0</v>
      </c>
      <c r="AA15" s="860">
        <f t="shared" si="10"/>
        <v>437.91809999999998</v>
      </c>
      <c r="AB15" s="49">
        <f t="shared" si="11"/>
        <v>19312.18821</v>
      </c>
      <c r="AC15" s="48">
        <v>1</v>
      </c>
      <c r="AD15" s="47" t="str">
        <f t="shared" si="12"/>
        <v>BCO</v>
      </c>
      <c r="AE15" s="49">
        <f t="shared" si="13"/>
        <v>135.91179</v>
      </c>
      <c r="AF15" s="50" t="e">
        <f t="shared" si="14"/>
        <v>#REF!</v>
      </c>
      <c r="AG15" s="890" t="e">
        <f t="shared" si="15"/>
        <v>#REF!</v>
      </c>
      <c r="AH15" s="207" t="s">
        <v>565</v>
      </c>
      <c r="AI15" s="240">
        <f t="shared" si="16"/>
        <v>4.1933643326947968E-2</v>
      </c>
      <c r="AJ15" s="11">
        <f t="shared" si="33"/>
        <v>3</v>
      </c>
      <c r="AK15" s="11"/>
      <c r="AL15" s="11"/>
      <c r="AM15" s="11">
        <v>1</v>
      </c>
      <c r="AN15" s="11"/>
      <c r="AO15" s="11"/>
      <c r="AP15" s="11"/>
      <c r="AQ15" s="11" t="str">
        <f>'Update Stock Prices'!Q15</f>
        <v>mid</v>
      </c>
      <c r="AR15" s="11"/>
      <c r="AS15" s="11"/>
      <c r="AT15" s="176" t="s">
        <v>1779</v>
      </c>
      <c r="AU15" s="420"/>
      <c r="AV15" s="420"/>
      <c r="AW15" s="11"/>
      <c r="AX15" s="25"/>
      <c r="AY15" s="441" t="s">
        <v>1216</v>
      </c>
      <c r="AZ15" s="600">
        <f>AZ14*AZ13</f>
        <v>9.6673480966799978</v>
      </c>
      <c r="BA15" s="11"/>
      <c r="BC15" s="19"/>
      <c r="BD15" s="932"/>
      <c r="BE15" s="593">
        <f t="shared" si="17"/>
        <v>0</v>
      </c>
      <c r="BF15" s="725">
        <f t="shared" si="221"/>
        <v>349237.40035422897</v>
      </c>
      <c r="BG15" s="420" t="str">
        <f t="shared" ca="1" si="18"/>
        <v/>
      </c>
      <c r="BH15" s="593">
        <f t="shared" ca="1" si="34"/>
        <v>16</v>
      </c>
      <c r="BI15" s="420">
        <f t="shared" ca="1" si="35"/>
        <v>50</v>
      </c>
      <c r="BJ15" s="420">
        <f t="shared" ca="1" si="35"/>
        <v>56</v>
      </c>
      <c r="BK15" s="420">
        <f t="shared" ca="1" si="36"/>
        <v>2030</v>
      </c>
      <c r="BL15" s="420" t="s">
        <v>1022</v>
      </c>
      <c r="BM15" s="19">
        <f t="shared" si="19"/>
        <v>464582.29496269231</v>
      </c>
      <c r="BN15" s="19">
        <f>DW149</f>
        <v>115344.89460846334</v>
      </c>
      <c r="BO15" s="19">
        <f>DX149</f>
        <v>5653.0980334012911</v>
      </c>
      <c r="BP15" s="183">
        <f t="shared" si="20"/>
        <v>4.9010387955103298E-2</v>
      </c>
      <c r="BQ15" s="19">
        <f t="shared" si="21"/>
        <v>471.09150278344094</v>
      </c>
      <c r="BS15" s="420" t="str">
        <f t="shared" si="37"/>
        <v>BCO</v>
      </c>
      <c r="BT15" s="425">
        <f t="shared" si="38"/>
        <v>3.0819000000000001</v>
      </c>
      <c r="BU15" s="19">
        <f t="shared" si="39"/>
        <v>44.1</v>
      </c>
      <c r="BV15" s="19">
        <f t="shared" si="40"/>
        <v>135.91179</v>
      </c>
      <c r="BW15" s="539">
        <f t="shared" si="41"/>
        <v>0.4</v>
      </c>
      <c r="BX15" s="19">
        <f t="shared" si="42"/>
        <v>1.2327600000000001</v>
      </c>
      <c r="BY15" s="10">
        <f t="shared" si="43"/>
        <v>2.7953741496598641E-2</v>
      </c>
      <c r="BZ15" s="10">
        <f t="shared" si="44"/>
        <v>3.1098537414965985</v>
      </c>
      <c r="CA15" s="539">
        <f t="shared" si="45"/>
        <v>137.14455000000001</v>
      </c>
      <c r="CB15" s="19">
        <f t="shared" si="46"/>
        <v>1.2439414965986395</v>
      </c>
      <c r="CC15" s="10">
        <f t="shared" si="47"/>
        <v>2.820729017230475E-2</v>
      </c>
      <c r="CD15" s="10">
        <f t="shared" si="48"/>
        <v>3.1380610316689035</v>
      </c>
      <c r="CE15" s="539">
        <f t="shared" si="49"/>
        <v>138.38849149659865</v>
      </c>
      <c r="CF15" s="19">
        <f t="shared" si="50"/>
        <v>1.2552244126675616</v>
      </c>
      <c r="CG15" s="10">
        <f t="shared" si="51"/>
        <v>2.8463138609241757E-2</v>
      </c>
      <c r="CH15" s="10">
        <f t="shared" si="52"/>
        <v>3.1665241702781453</v>
      </c>
      <c r="CI15" s="539">
        <f t="shared" si="53"/>
        <v>139.64371590926621</v>
      </c>
      <c r="CJ15" s="19">
        <f t="shared" si="54"/>
        <v>1.2666096681112582</v>
      </c>
      <c r="CK15" s="10">
        <f t="shared" si="55"/>
        <v>2.8721307666921953E-2</v>
      </c>
      <c r="CL15" s="10">
        <f t="shared" si="56"/>
        <v>3.1952454779450674</v>
      </c>
      <c r="CM15" s="539">
        <f t="shared" si="57"/>
        <v>140.91032557737748</v>
      </c>
      <c r="CN15" s="19">
        <f t="shared" si="58"/>
        <v>1.2780981911780271</v>
      </c>
      <c r="CO15" s="10">
        <f t="shared" si="59"/>
        <v>2.8981818394059573E-2</v>
      </c>
      <c r="CP15" s="10">
        <f t="shared" si="60"/>
        <v>3.224227296339127</v>
      </c>
      <c r="CQ15" s="539">
        <f t="shared" si="61"/>
        <v>142.18842376855551</v>
      </c>
      <c r="CR15" s="19">
        <f t="shared" si="62"/>
        <v>1.2896909185356509</v>
      </c>
      <c r="CS15" s="10">
        <f t="shared" si="63"/>
        <v>2.9244692030286866E-2</v>
      </c>
      <c r="CT15" s="10">
        <f t="shared" si="64"/>
        <v>3.2534719883694136</v>
      </c>
      <c r="CU15" s="539">
        <f t="shared" si="65"/>
        <v>143.47811468709114</v>
      </c>
      <c r="CV15" s="19">
        <f t="shared" si="66"/>
        <v>1.3013887953477656</v>
      </c>
      <c r="CW15" s="10">
        <f t="shared" si="67"/>
        <v>2.9509950007885841E-2</v>
      </c>
      <c r="CX15" s="10">
        <f t="shared" si="68"/>
        <v>3.2829819383772993</v>
      </c>
      <c r="CY15" s="539">
        <f t="shared" si="69"/>
        <v>144.77950348243891</v>
      </c>
      <c r="CZ15" s="19">
        <f t="shared" si="70"/>
        <v>1.3131927753509198</v>
      </c>
      <c r="DA15" s="10">
        <f t="shared" si="71"/>
        <v>2.9777613953535596E-2</v>
      </c>
      <c r="DB15" s="10">
        <f t="shared" si="72"/>
        <v>3.3127595523308351</v>
      </c>
      <c r="DC15" s="539">
        <f t="shared" si="73"/>
        <v>146.09269625778984</v>
      </c>
      <c r="DD15" s="19">
        <f t="shared" si="74"/>
        <v>1.325103820932334</v>
      </c>
      <c r="DE15" s="10">
        <f t="shared" si="75"/>
        <v>3.0047705690075602E-2</v>
      </c>
      <c r="DF15" s="10">
        <f t="shared" si="76"/>
        <v>3.3428072580209105</v>
      </c>
      <c r="DG15" s="539">
        <f t="shared" si="77"/>
        <v>147.41780007872217</v>
      </c>
      <c r="DH15" s="19">
        <f t="shared" si="78"/>
        <v>1.3371229032083642</v>
      </c>
      <c r="DI15" s="10">
        <f t="shared" si="79"/>
        <v>3.0320247238284904E-2</v>
      </c>
      <c r="DJ15" s="10">
        <f t="shared" si="80"/>
        <v>3.3731275052591956</v>
      </c>
      <c r="DK15" s="539">
        <f t="shared" si="81"/>
        <v>148.75492298193052</v>
      </c>
      <c r="DL15" s="19">
        <f t="shared" si="82"/>
        <v>1.3492510021036783</v>
      </c>
      <c r="DM15" s="10">
        <f t="shared" si="83"/>
        <v>3.059526081867751E-2</v>
      </c>
      <c r="DN15" s="10">
        <f t="shared" si="84"/>
        <v>3.4037227660778733</v>
      </c>
      <c r="DO15" s="539">
        <f t="shared" si="85"/>
        <v>150.10417398403422</v>
      </c>
      <c r="DP15" s="19">
        <f t="shared" si="86"/>
        <v>1.3614891064311494</v>
      </c>
      <c r="DQ15" s="10">
        <f t="shared" si="87"/>
        <v>3.0872768853314043E-2</v>
      </c>
      <c r="DR15" s="10">
        <f t="shared" si="88"/>
        <v>3.4345955349311872</v>
      </c>
      <c r="DS15" s="539">
        <f t="shared" si="89"/>
        <v>151.46566309046537</v>
      </c>
      <c r="DT15" s="19">
        <f t="shared" si="90"/>
        <v>1.373838213972475</v>
      </c>
      <c r="DU15" s="10">
        <f t="shared" si="91"/>
        <v>3.1152793967629818E-2</v>
      </c>
      <c r="DV15" s="10">
        <f t="shared" si="92"/>
        <v>3.4657483288988171</v>
      </c>
      <c r="DW15" s="539">
        <f t="shared" si="93"/>
        <v>152.83950130443785</v>
      </c>
      <c r="DX15" s="19">
        <f t="shared" si="94"/>
        <v>1.3862993315595269</v>
      </c>
      <c r="DY15" s="10">
        <f t="shared" si="95"/>
        <v>3.1435358992279519E-2</v>
      </c>
      <c r="DZ15" s="10">
        <f t="shared" si="96"/>
        <v>3.4971836878910967</v>
      </c>
      <c r="EA15" s="539">
        <f t="shared" si="97"/>
        <v>154.22580063599736</v>
      </c>
      <c r="EB15" s="19">
        <f t="shared" si="98"/>
        <v>1.3988734751564387</v>
      </c>
      <c r="EC15" s="10">
        <f t="shared" si="99"/>
        <v>3.1720486964998608E-2</v>
      </c>
      <c r="ED15" s="10">
        <f t="shared" si="100"/>
        <v>3.5289041748560952</v>
      </c>
      <c r="EE15" s="539">
        <f t="shared" si="101"/>
        <v>155.62467411115381</v>
      </c>
      <c r="EF15" s="19">
        <f t="shared" si="102"/>
        <v>1.4115616699424383</v>
      </c>
      <c r="EG15" s="10">
        <f t="shared" si="103"/>
        <v>3.2008201132481595E-2</v>
      </c>
      <c r="EH15" s="10">
        <f t="shared" si="104"/>
        <v>3.5609123759885768</v>
      </c>
      <c r="EI15" s="539">
        <f t="shared" si="105"/>
        <v>157.03623578109625</v>
      </c>
      <c r="EJ15" s="19">
        <f t="shared" si="106"/>
        <v>1.4243649503954308</v>
      </c>
      <c r="EK15" s="10">
        <f t="shared" si="107"/>
        <v>3.2298524952277342E-2</v>
      </c>
      <c r="EL15" s="10">
        <f t="shared" si="108"/>
        <v>3.5932109009408539</v>
      </c>
      <c r="EM15" s="539">
        <f t="shared" si="109"/>
        <v>158.46060073149167</v>
      </c>
      <c r="EN15" s="19">
        <f t="shared" si="110"/>
        <v>1.4372843603763417</v>
      </c>
      <c r="EO15" s="10">
        <f t="shared" si="111"/>
        <v>3.2591482094701626E-2</v>
      </c>
      <c r="EP15" s="10">
        <f t="shared" si="112"/>
        <v>3.6258023830355555</v>
      </c>
      <c r="EQ15" s="539">
        <f t="shared" si="113"/>
        <v>159.89788509186801</v>
      </c>
      <c r="ER15" s="19">
        <f t="shared" si="114"/>
        <v>1.4503209532142223</v>
      </c>
      <c r="ES15" s="10">
        <f t="shared" si="115"/>
        <v>3.2887096444766943E-2</v>
      </c>
      <c r="ET15" s="10">
        <f t="shared" si="116"/>
        <v>3.6586894794803224</v>
      </c>
      <c r="EU15" s="539">
        <f t="shared" si="117"/>
        <v>161.34820604508224</v>
      </c>
      <c r="EV15" s="19">
        <f t="shared" si="118"/>
        <v>1.4634757917921291</v>
      </c>
      <c r="EW15" s="10">
        <f t="shared" si="119"/>
        <v>3.3185392104129907E-2</v>
      </c>
      <c r="EX15" s="10">
        <f t="shared" si="120"/>
        <v>3.6918748715844525</v>
      </c>
      <c r="EY15" s="539">
        <f t="shared" si="121"/>
        <v>162.81168183687436</v>
      </c>
      <c r="EZ15" s="19">
        <f t="shared" si="122"/>
        <v>1.4767499486337812</v>
      </c>
      <c r="FA15" s="10">
        <f t="shared" si="123"/>
        <v>3.3486393393056264E-2</v>
      </c>
      <c r="FB15" s="10">
        <f t="shared" si="124"/>
        <v>3.7253612649775087</v>
      </c>
      <c r="FC15" s="539">
        <f t="shared" si="125"/>
        <v>164.28843178550815</v>
      </c>
      <c r="FD15" s="19">
        <f t="shared" si="126"/>
        <v>1.4901445059910037</v>
      </c>
      <c r="FE15" s="10">
        <f t="shared" si="127"/>
        <v>3.3790124852403708E-2</v>
      </c>
      <c r="FF15" s="10">
        <f t="shared" si="128"/>
        <v>3.7591513898299125</v>
      </c>
      <c r="FG15" s="539">
        <f t="shared" si="129"/>
        <v>165.77857629149915</v>
      </c>
      <c r="FH15" s="19">
        <f t="shared" si="130"/>
        <v>1.5036605559319651</v>
      </c>
      <c r="FI15" s="10">
        <f t="shared" si="131"/>
        <v>3.4096611245622792E-2</v>
      </c>
      <c r="FJ15" s="10">
        <f t="shared" si="132"/>
        <v>3.7932480010755354</v>
      </c>
      <c r="FK15" s="539">
        <f t="shared" si="133"/>
        <v>167.28223684743111</v>
      </c>
      <c r="FL15" s="19">
        <f t="shared" si="134"/>
        <v>1.5172992004302142</v>
      </c>
      <c r="FM15" s="10">
        <f t="shared" si="135"/>
        <v>3.440587756077583E-2</v>
      </c>
      <c r="FN15" s="10">
        <f t="shared" si="136"/>
        <v>3.827653878636311</v>
      </c>
      <c r="FO15" s="539">
        <f t="shared" si="137"/>
        <v>168.79953604786132</v>
      </c>
      <c r="FP15" s="19">
        <f t="shared" si="138"/>
        <v>1.5310615514545245</v>
      </c>
      <c r="FQ15" s="10">
        <f t="shared" si="139"/>
        <v>3.4717949012574252E-2</v>
      </c>
      <c r="FR15" s="10">
        <f t="shared" si="140"/>
        <v>3.8623718276488854</v>
      </c>
      <c r="FS15" s="539">
        <f t="shared" si="141"/>
        <v>170.33059759931587</v>
      </c>
      <c r="FT15" s="19">
        <f t="shared" si="142"/>
        <v>1.5449487310595542</v>
      </c>
      <c r="FU15" s="10">
        <f t="shared" si="143"/>
        <v>3.5032851044434335E-2</v>
      </c>
      <c r="FV15" s="10">
        <f t="shared" si="144"/>
        <v>3.8974046786933196</v>
      </c>
      <c r="FW15" s="539">
        <f t="shared" si="145"/>
        <v>171.87554633037541</v>
      </c>
      <c r="FX15" s="19">
        <f t="shared" si="146"/>
        <v>1.5589618714773279</v>
      </c>
      <c r="FY15" s="10">
        <f t="shared" si="147"/>
        <v>3.5350609330551654E-2</v>
      </c>
      <c r="FZ15" s="10">
        <f t="shared" si="148"/>
        <v>3.9327552880238712</v>
      </c>
      <c r="GA15" s="539">
        <f t="shared" si="149"/>
        <v>173.43450820185274</v>
      </c>
      <c r="GB15" s="19">
        <f t="shared" si="150"/>
        <v>1.5731021152095486</v>
      </c>
      <c r="GC15" s="10">
        <f t="shared" si="151"/>
        <v>3.5671249777994296E-2</v>
      </c>
      <c r="GD15" s="10">
        <f t="shared" si="152"/>
        <v>3.9684265378018653</v>
      </c>
      <c r="GE15" s="539">
        <f t="shared" si="153"/>
        <v>175.00761031706227</v>
      </c>
      <c r="GF15" s="19">
        <f t="shared" si="154"/>
        <v>1.5873706151207463</v>
      </c>
      <c r="GG15" s="10">
        <f t="shared" si="155"/>
        <v>3.5994798528815104E-2</v>
      </c>
      <c r="GH15" s="10">
        <f t="shared" si="156"/>
        <v>4.0044213363306804</v>
      </c>
      <c r="GI15" s="539">
        <f t="shared" si="157"/>
        <v>176.59498093218301</v>
      </c>
      <c r="GJ15" s="19">
        <f t="shared" si="158"/>
        <v>1.6017685345322723</v>
      </c>
      <c r="GK15" s="10">
        <f t="shared" si="159"/>
        <v>3.6321281962183045E-2</v>
      </c>
      <c r="GL15" s="10">
        <f t="shared" si="160"/>
        <v>4.0407426182928639</v>
      </c>
      <c r="GM15" s="539">
        <f t="shared" si="161"/>
        <v>178.19674946671529</v>
      </c>
      <c r="GN15" s="19">
        <f t="shared" si="162"/>
        <v>1.6162970473171456</v>
      </c>
      <c r="GO15" s="10">
        <f t="shared" si="163"/>
        <v>3.6650726696533915E-2</v>
      </c>
      <c r="GP15" s="10">
        <f t="shared" si="164"/>
        <v>4.0773933449893978</v>
      </c>
      <c r="GQ15" s="539">
        <f t="shared" si="165"/>
        <v>179.81304651403244</v>
      </c>
      <c r="GR15" s="19">
        <f t="shared" si="166"/>
        <v>1.6309573379957591</v>
      </c>
      <c r="GS15" s="10">
        <f t="shared" si="167"/>
        <v>3.6983159591740568E-2</v>
      </c>
      <c r="GT15" s="10">
        <f t="shared" si="168"/>
        <v>4.1143765045811387</v>
      </c>
      <c r="GU15" s="539">
        <f t="shared" si="169"/>
        <v>181.44400385202823</v>
      </c>
      <c r="GV15" s="19">
        <f t="shared" si="170"/>
        <v>1.6457506018324555</v>
      </c>
      <c r="GW15" s="10">
        <f t="shared" si="171"/>
        <v>3.7318607751302843E-2</v>
      </c>
      <c r="GX15" s="10">
        <f t="shared" si="172"/>
        <v>4.1516951123324413</v>
      </c>
      <c r="GY15" s="539">
        <f t="shared" si="173"/>
        <v>183.08975445386068</v>
      </c>
      <c r="GZ15" s="19">
        <f t="shared" si="174"/>
        <v>1.6606780449329765</v>
      </c>
      <c r="HA15" s="10">
        <f t="shared" si="175"/>
        <v>3.7657098524557293E-2</v>
      </c>
      <c r="HB15" s="10">
        <f t="shared" si="176"/>
        <v>4.1893522108569989</v>
      </c>
      <c r="HC15" s="539">
        <f t="shared" si="177"/>
        <v>184.75043249879366</v>
      </c>
      <c r="HD15" s="19">
        <f t="shared" si="178"/>
        <v>1.6757408843427997</v>
      </c>
      <c r="HE15" s="10">
        <f t="shared" si="179"/>
        <v>3.7998659508907018E-2</v>
      </c>
      <c r="HF15" s="10">
        <f t="shared" si="180"/>
        <v>4.227350870365906</v>
      </c>
      <c r="HG15" s="539">
        <f t="shared" si="181"/>
        <v>186.42617338313647</v>
      </c>
      <c r="HH15" s="19">
        <f t="shared" si="182"/>
        <v>1.6909403481463625</v>
      </c>
      <c r="HI15" s="10">
        <f t="shared" si="183"/>
        <v>3.8343318552071709E-2</v>
      </c>
      <c r="HJ15" s="10">
        <f t="shared" si="184"/>
        <v>4.265694188917978</v>
      </c>
      <c r="HK15" s="539">
        <f t="shared" si="185"/>
        <v>188.11711373128284</v>
      </c>
      <c r="HL15" s="19">
        <f t="shared" si="186"/>
        <v>1.7062776755671913</v>
      </c>
      <c r="HM15" s="10">
        <f t="shared" si="187"/>
        <v>3.869110375435808E-2</v>
      </c>
      <c r="HN15" s="10">
        <f t="shared" si="188"/>
        <v>4.304385292672336</v>
      </c>
      <c r="HO15" s="539">
        <f t="shared" si="189"/>
        <v>189.82339140685002</v>
      </c>
      <c r="HP15" s="19">
        <f t="shared" si="190"/>
        <v>1.7217541170689346</v>
      </c>
      <c r="HQ15" s="10">
        <f t="shared" si="191"/>
        <v>3.9042043470950895E-2</v>
      </c>
      <c r="HR15" s="10">
        <f t="shared" si="192"/>
        <v>4.3434273361432867</v>
      </c>
      <c r="HS15" s="539">
        <f t="shared" si="193"/>
        <v>191.54514552391896</v>
      </c>
      <c r="HT15" s="19">
        <f t="shared" si="194"/>
        <v>1.7373709344573147</v>
      </c>
      <c r="HU15" s="10">
        <f t="shared" si="195"/>
        <v>3.9396166314224823E-2</v>
      </c>
      <c r="HV15" s="10">
        <f t="shared" si="196"/>
        <v>4.3828235024575113</v>
      </c>
      <c r="HW15" s="539">
        <f t="shared" si="197"/>
        <v>193.28251645837625</v>
      </c>
      <c r="HX15" s="19">
        <f t="shared" si="198"/>
        <v>1.7531294009830045</v>
      </c>
      <c r="HY15" s="10">
        <f t="shared" si="199"/>
        <v>3.9753501156077196E-2</v>
      </c>
      <c r="HZ15" s="10">
        <f t="shared" si="200"/>
        <v>4.4225770036135881</v>
      </c>
      <c r="IA15" s="539">
        <f t="shared" si="201"/>
        <v>195.03564585935925</v>
      </c>
      <c r="IB15" s="19">
        <f t="shared" si="202"/>
        <v>1.7690308014454352</v>
      </c>
      <c r="IF15" s="761">
        <f>IF9*(8.5+2*IF12*100)</f>
        <v>229.14</v>
      </c>
      <c r="IG15" s="1371">
        <v>0.03</v>
      </c>
      <c r="IH15" s="1302">
        <v>1.5</v>
      </c>
      <c r="II15" s="1300">
        <f>IF9</f>
        <v>8.0399999999999991</v>
      </c>
      <c r="IJ15" s="1300">
        <f>Q38</f>
        <v>0.37916666666666665</v>
      </c>
      <c r="IK15" s="1300">
        <v>4.58</v>
      </c>
      <c r="IL15" s="1381">
        <v>7.0000000000000007E-2</v>
      </c>
      <c r="IM15" s="1371">
        <v>0.05</v>
      </c>
      <c r="IN15" s="1371">
        <v>0.02</v>
      </c>
      <c r="IO15" s="667">
        <f>IO9/IO12</f>
        <v>176.66696596764527</v>
      </c>
      <c r="IP15" s="658">
        <v>0.08</v>
      </c>
      <c r="IY15"/>
    </row>
    <row r="16" spans="1:263">
      <c r="A16" s="20"/>
      <c r="B16" s="20"/>
      <c r="C16" s="826" t="s">
        <v>2342</v>
      </c>
      <c r="D16" s="47" t="s">
        <v>47</v>
      </c>
      <c r="E16" s="396">
        <f t="shared" si="0"/>
        <v>33.207300000000004</v>
      </c>
      <c r="F16" s="242">
        <v>26.2073</v>
      </c>
      <c r="G16" s="48">
        <f>'Update Stock Prices'!S16</f>
        <v>105466092.08437286</v>
      </c>
      <c r="H16" s="991">
        <f t="shared" si="27"/>
        <v>2.4849029182795699E-7</v>
      </c>
      <c r="I16" s="49">
        <f>'Update Stock Prices'!D16</f>
        <v>44.09</v>
      </c>
      <c r="J16" s="49">
        <f t="shared" si="1"/>
        <v>1155.479857</v>
      </c>
      <c r="K16" s="30">
        <v>455.11</v>
      </c>
      <c r="L16" s="49">
        <f t="shared" si="28"/>
        <v>700.36985700000002</v>
      </c>
      <c r="M16" s="50">
        <f t="shared" si="29"/>
        <v>1.5389023686581267</v>
      </c>
      <c r="N16" s="49">
        <f t="shared" si="30"/>
        <v>17.365772132192177</v>
      </c>
      <c r="O16" s="48">
        <f t="shared" si="2"/>
        <v>7</v>
      </c>
      <c r="P16" s="49">
        <f>IF(($B$11-$B$12)-(O16*I16)&lt;0,0,($B$11-$B$12)-(O16*I16))</f>
        <v>12.379999999999995</v>
      </c>
      <c r="Q16" s="30">
        <f>4*0.25</f>
        <v>1</v>
      </c>
      <c r="R16" s="49">
        <f t="shared" si="242"/>
        <v>7.1751676933607123E-2</v>
      </c>
      <c r="S16" s="49">
        <f t="shared" si="4"/>
        <v>26.2073</v>
      </c>
      <c r="T16" s="49">
        <f t="shared" si="31"/>
        <v>2.1839416666666667</v>
      </c>
      <c r="U16" s="49" t="s">
        <v>54</v>
      </c>
      <c r="V16" s="50">
        <f t="shared" si="6"/>
        <v>2.2680880018144702E-2</v>
      </c>
      <c r="W16" s="50">
        <f t="shared" si="7"/>
        <v>5.7584540001318359E-2</v>
      </c>
      <c r="X16" s="49">
        <f t="shared" ref="X16:X26" si="246">12*((E16*Q16)/12-T16)</f>
        <v>7.0000000000000018</v>
      </c>
      <c r="Y16" s="49">
        <f t="shared" si="32"/>
        <v>6.551825</v>
      </c>
      <c r="Z16" s="860">
        <f t="shared" si="9"/>
        <v>0</v>
      </c>
      <c r="AA16" s="860">
        <f t="shared" si="10"/>
        <v>150.15270000000001</v>
      </c>
      <c r="AB16" s="49">
        <f t="shared" si="11"/>
        <v>6620.232543000001</v>
      </c>
      <c r="AC16" s="48">
        <v>1</v>
      </c>
      <c r="AD16" s="47" t="str">
        <f t="shared" si="12"/>
        <v>BPOP</v>
      </c>
      <c r="AE16" s="49">
        <f t="shared" si="13"/>
        <v>1155.479857</v>
      </c>
      <c r="AF16" s="50" t="e">
        <f t="shared" si="14"/>
        <v>#REF!</v>
      </c>
      <c r="AG16" s="890" t="e">
        <f t="shared" si="15"/>
        <v>#REF!</v>
      </c>
      <c r="AH16" s="207" t="s">
        <v>1524</v>
      </c>
      <c r="AI16" s="240">
        <f t="shared" si="16"/>
        <v>3.0309103470430321</v>
      </c>
      <c r="AJ16" s="11">
        <f t="shared" si="33"/>
        <v>4</v>
      </c>
      <c r="AK16" s="11">
        <v>1</v>
      </c>
      <c r="AL16" s="11"/>
      <c r="AM16" s="11"/>
      <c r="AN16" s="11"/>
      <c r="AO16" s="11"/>
      <c r="AP16" s="11"/>
      <c r="AQ16" s="11" t="str">
        <f>'Update Stock Prices'!Q16</f>
        <v>mid</v>
      </c>
      <c r="AR16" s="11"/>
      <c r="AS16" s="11"/>
      <c r="AT16" s="176" t="s">
        <v>460</v>
      </c>
      <c r="AU16" s="420"/>
      <c r="AV16" s="420"/>
      <c r="AW16" s="11"/>
      <c r="AX16" s="8"/>
      <c r="AY16" s="376" t="s">
        <v>1459</v>
      </c>
      <c r="AZ16" s="601">
        <v>0.28999999999999998</v>
      </c>
      <c r="BA16" s="20"/>
      <c r="BB16" s="19"/>
      <c r="BC16" s="19"/>
      <c r="BD16" s="932"/>
      <c r="BE16" s="593">
        <f t="shared" si="17"/>
        <v>0</v>
      </c>
      <c r="BF16" s="725">
        <f t="shared" si="221"/>
        <v>367180.51836131356</v>
      </c>
      <c r="BG16" s="420" t="str">
        <f t="shared" ca="1" si="18"/>
        <v/>
      </c>
      <c r="BH16" s="593">
        <f t="shared" ca="1" si="34"/>
        <v>17</v>
      </c>
      <c r="BI16" s="420">
        <f t="shared" ca="1" si="35"/>
        <v>51</v>
      </c>
      <c r="BJ16" s="420">
        <f t="shared" ca="1" si="35"/>
        <v>57</v>
      </c>
      <c r="BK16" s="420">
        <f t="shared" ca="1" si="36"/>
        <v>2031</v>
      </c>
      <c r="BL16" s="420" t="s">
        <v>1023</v>
      </c>
      <c r="BM16" s="19">
        <f t="shared" si="19"/>
        <v>488178.5110031782</v>
      </c>
      <c r="BN16" s="19">
        <f>EA149</f>
        <v>120997.99264186462</v>
      </c>
      <c r="BO16" s="19">
        <f>EB149</f>
        <v>6034.1705739323361</v>
      </c>
      <c r="BP16" s="183">
        <f t="shared" si="20"/>
        <v>4.9870005627221846E-2</v>
      </c>
      <c r="BQ16" s="19">
        <f t="shared" si="21"/>
        <v>502.84754782769465</v>
      </c>
      <c r="BS16" s="420" t="str">
        <f t="shared" si="37"/>
        <v>BPOP</v>
      </c>
      <c r="BT16" s="425">
        <f t="shared" si="38"/>
        <v>26.2073</v>
      </c>
      <c r="BU16" s="19">
        <f t="shared" si="39"/>
        <v>44.09</v>
      </c>
      <c r="BV16" s="19">
        <f t="shared" si="40"/>
        <v>1155.479857</v>
      </c>
      <c r="BW16" s="539">
        <f t="shared" si="41"/>
        <v>1</v>
      </c>
      <c r="BX16" s="19">
        <f t="shared" si="42"/>
        <v>26.2073</v>
      </c>
      <c r="BY16" s="10">
        <f t="shared" si="43"/>
        <v>0.59440462689952367</v>
      </c>
      <c r="BZ16" s="10">
        <f t="shared" si="44"/>
        <v>26.801704626899525</v>
      </c>
      <c r="CA16" s="539">
        <f t="shared" si="45"/>
        <v>1181.6871570000001</v>
      </c>
      <c r="CB16" s="19">
        <f t="shared" si="46"/>
        <v>26.801704626899525</v>
      </c>
      <c r="CC16" s="10">
        <f t="shared" si="47"/>
        <v>0.6078862469244618</v>
      </c>
      <c r="CD16" s="10">
        <f t="shared" si="48"/>
        <v>27.409590873823987</v>
      </c>
      <c r="CE16" s="539">
        <f t="shared" si="49"/>
        <v>1208.4888616268997</v>
      </c>
      <c r="CF16" s="19">
        <f t="shared" si="50"/>
        <v>27.409590873823987</v>
      </c>
      <c r="CG16" s="10">
        <f t="shared" si="51"/>
        <v>0.6216736419556359</v>
      </c>
      <c r="CH16" s="10">
        <f t="shared" si="52"/>
        <v>28.031264515779622</v>
      </c>
      <c r="CI16" s="539">
        <f t="shared" si="53"/>
        <v>1235.8984525007236</v>
      </c>
      <c r="CJ16" s="19">
        <f t="shared" si="54"/>
        <v>28.031264515779622</v>
      </c>
      <c r="CK16" s="10">
        <f t="shared" si="55"/>
        <v>0.63577374723927471</v>
      </c>
      <c r="CL16" s="10">
        <f t="shared" si="56"/>
        <v>28.667038263018895</v>
      </c>
      <c r="CM16" s="539">
        <f t="shared" si="57"/>
        <v>1263.9297170165032</v>
      </c>
      <c r="CN16" s="19">
        <f t="shared" si="58"/>
        <v>28.667038263018895</v>
      </c>
      <c r="CO16" s="10">
        <f t="shared" si="59"/>
        <v>0.6501936553190949</v>
      </c>
      <c r="CP16" s="10">
        <f t="shared" si="60"/>
        <v>29.317231918337992</v>
      </c>
      <c r="CQ16" s="539">
        <f t="shared" si="61"/>
        <v>1292.5967552795221</v>
      </c>
      <c r="CR16" s="19">
        <f t="shared" si="62"/>
        <v>29.317231918337992</v>
      </c>
      <c r="CS16" s="10">
        <f t="shared" si="63"/>
        <v>0.66494061960394624</v>
      </c>
      <c r="CT16" s="10">
        <f t="shared" si="64"/>
        <v>29.982172537941938</v>
      </c>
      <c r="CU16" s="539">
        <f t="shared" si="65"/>
        <v>1321.9139871978603</v>
      </c>
      <c r="CV16" s="19">
        <f t="shared" si="66"/>
        <v>29.982172537941938</v>
      </c>
      <c r="CW16" s="10">
        <f t="shared" si="67"/>
        <v>0.68002205801637416</v>
      </c>
      <c r="CX16" s="10">
        <f t="shared" si="68"/>
        <v>30.662194595958312</v>
      </c>
      <c r="CY16" s="539">
        <f t="shared" si="69"/>
        <v>1351.896159735802</v>
      </c>
      <c r="CZ16" s="19">
        <f t="shared" si="70"/>
        <v>30.662194595958312</v>
      </c>
      <c r="DA16" s="10">
        <f t="shared" si="71"/>
        <v>0.69544555672393538</v>
      </c>
      <c r="DB16" s="10">
        <f t="shared" si="72"/>
        <v>31.357640152682247</v>
      </c>
      <c r="DC16" s="539">
        <f t="shared" si="73"/>
        <v>1382.5583543317605</v>
      </c>
      <c r="DD16" s="19">
        <f t="shared" si="74"/>
        <v>31.357640152682247</v>
      </c>
      <c r="DE16" s="10">
        <f t="shared" si="75"/>
        <v>0.71121887395514283</v>
      </c>
      <c r="DF16" s="10">
        <f t="shared" si="76"/>
        <v>32.068859026637391</v>
      </c>
      <c r="DG16" s="539">
        <f t="shared" si="77"/>
        <v>1413.9159944844428</v>
      </c>
      <c r="DH16" s="19">
        <f t="shared" si="78"/>
        <v>32.068859026637391</v>
      </c>
      <c r="DI16" s="10">
        <f t="shared" si="79"/>
        <v>0.72734994390195939</v>
      </c>
      <c r="DJ16" s="10">
        <f t="shared" si="80"/>
        <v>32.796208970539347</v>
      </c>
      <c r="DK16" s="539">
        <f t="shared" si="81"/>
        <v>1445.98485351108</v>
      </c>
      <c r="DL16" s="19">
        <f t="shared" si="82"/>
        <v>32.796208970539347</v>
      </c>
      <c r="DM16" s="10">
        <f t="shared" si="83"/>
        <v>0.74384688071080396</v>
      </c>
      <c r="DN16" s="10">
        <f t="shared" si="84"/>
        <v>33.540055851250152</v>
      </c>
      <c r="DO16" s="539">
        <f t="shared" si="85"/>
        <v>1478.7810624816193</v>
      </c>
      <c r="DP16" s="19">
        <f t="shared" si="86"/>
        <v>33.540055851250152</v>
      </c>
      <c r="DQ16" s="10">
        <f t="shared" si="87"/>
        <v>0.76071798256407686</v>
      </c>
      <c r="DR16" s="10">
        <f t="shared" si="88"/>
        <v>34.300773833814226</v>
      </c>
      <c r="DS16" s="539">
        <f t="shared" si="89"/>
        <v>1512.3211183328694</v>
      </c>
      <c r="DT16" s="19">
        <f t="shared" si="90"/>
        <v>34.300773833814226</v>
      </c>
      <c r="DU16" s="10">
        <f t="shared" si="91"/>
        <v>0.77797173585425772</v>
      </c>
      <c r="DV16" s="10">
        <f t="shared" si="92"/>
        <v>35.078745569668484</v>
      </c>
      <c r="DW16" s="539">
        <f t="shared" si="93"/>
        <v>1546.6218921666837</v>
      </c>
      <c r="DX16" s="19">
        <f t="shared" si="94"/>
        <v>35.078745569668484</v>
      </c>
      <c r="DY16" s="10">
        <f t="shared" si="95"/>
        <v>0.79561681945267593</v>
      </c>
      <c r="DZ16" s="10">
        <f t="shared" si="96"/>
        <v>35.87436238912116</v>
      </c>
      <c r="EA16" s="539">
        <f t="shared" si="97"/>
        <v>1581.7006377363521</v>
      </c>
      <c r="EB16" s="19">
        <f t="shared" si="98"/>
        <v>35.87436238912116</v>
      </c>
      <c r="EC16" s="10">
        <f t="shared" si="99"/>
        <v>0.81366210907509995</v>
      </c>
      <c r="ED16" s="10">
        <f t="shared" si="100"/>
        <v>36.688024498196256</v>
      </c>
      <c r="EE16" s="539">
        <f t="shared" si="101"/>
        <v>1617.575000125473</v>
      </c>
      <c r="EF16" s="19">
        <f t="shared" si="102"/>
        <v>36.688024498196256</v>
      </c>
      <c r="EG16" s="10">
        <f t="shared" si="103"/>
        <v>0.83211668174634279</v>
      </c>
      <c r="EH16" s="10">
        <f t="shared" si="104"/>
        <v>37.520141179942598</v>
      </c>
      <c r="EI16" s="539">
        <f t="shared" si="105"/>
        <v>1654.2630246236693</v>
      </c>
      <c r="EJ16" s="19">
        <f t="shared" si="106"/>
        <v>37.520141179942598</v>
      </c>
      <c r="EK16" s="10">
        <f t="shared" si="107"/>
        <v>0.85098982036612825</v>
      </c>
      <c r="EL16" s="10">
        <f t="shared" si="108"/>
        <v>38.371131000308729</v>
      </c>
      <c r="EM16" s="539">
        <f t="shared" si="109"/>
        <v>1691.7831658036121</v>
      </c>
      <c r="EN16" s="19">
        <f t="shared" si="110"/>
        <v>38.371131000308729</v>
      </c>
      <c r="EO16" s="10">
        <f t="shared" si="111"/>
        <v>0.87029101837851497</v>
      </c>
      <c r="EP16" s="10">
        <f t="shared" si="112"/>
        <v>39.241422018687246</v>
      </c>
      <c r="EQ16" s="539">
        <f t="shared" si="113"/>
        <v>1730.1542968039207</v>
      </c>
      <c r="ER16" s="19">
        <f t="shared" si="114"/>
        <v>39.241422018687246</v>
      </c>
      <c r="ES16" s="10">
        <f t="shared" si="115"/>
        <v>0.89002998454722704</v>
      </c>
      <c r="ET16" s="10">
        <f t="shared" si="116"/>
        <v>40.131452003234472</v>
      </c>
      <c r="EU16" s="539">
        <f t="shared" si="117"/>
        <v>1769.3957188226079</v>
      </c>
      <c r="EV16" s="19">
        <f t="shared" si="118"/>
        <v>40.131452003234472</v>
      </c>
      <c r="EW16" s="10">
        <f t="shared" si="119"/>
        <v>0.9102166478392939</v>
      </c>
      <c r="EX16" s="10">
        <f t="shared" si="120"/>
        <v>41.041668651073763</v>
      </c>
      <c r="EY16" s="539">
        <f t="shared" si="121"/>
        <v>1809.5271708258424</v>
      </c>
      <c r="EZ16" s="19">
        <f t="shared" si="122"/>
        <v>41.041668651073763</v>
      </c>
      <c r="FA16" s="10">
        <f t="shared" si="123"/>
        <v>0.93086116241945471</v>
      </c>
      <c r="FB16" s="10">
        <f t="shared" si="124"/>
        <v>41.972529813493217</v>
      </c>
      <c r="FC16" s="539">
        <f t="shared" si="125"/>
        <v>1850.5688394769161</v>
      </c>
      <c r="FD16" s="19">
        <f t="shared" si="126"/>
        <v>41.972529813493217</v>
      </c>
      <c r="FE16" s="10">
        <f t="shared" si="127"/>
        <v>0.95197391275784116</v>
      </c>
      <c r="FF16" s="10">
        <f t="shared" si="128"/>
        <v>42.924503726251061</v>
      </c>
      <c r="FG16" s="539">
        <f t="shared" si="129"/>
        <v>1892.5413692904094</v>
      </c>
      <c r="FH16" s="19">
        <f t="shared" si="130"/>
        <v>42.924503726251061</v>
      </c>
      <c r="FI16" s="10">
        <f t="shared" si="131"/>
        <v>0.97356551885350551</v>
      </c>
      <c r="FJ16" s="10">
        <f t="shared" si="132"/>
        <v>43.898069245104566</v>
      </c>
      <c r="FK16" s="539">
        <f t="shared" si="133"/>
        <v>1935.4658730166605</v>
      </c>
      <c r="FL16" s="19">
        <f t="shared" si="134"/>
        <v>43.898069245104566</v>
      </c>
      <c r="FM16" s="10">
        <f t="shared" si="135"/>
        <v>0.99564684157642458</v>
      </c>
      <c r="FN16" s="10">
        <f t="shared" si="136"/>
        <v>44.893716086680989</v>
      </c>
      <c r="FO16" s="539">
        <f t="shared" si="137"/>
        <v>1979.363942261765</v>
      </c>
      <c r="FP16" s="19">
        <f t="shared" si="138"/>
        <v>44.893716086680989</v>
      </c>
      <c r="FQ16" s="10">
        <f t="shared" si="139"/>
        <v>1.0182289881306643</v>
      </c>
      <c r="FR16" s="10">
        <f t="shared" si="140"/>
        <v>45.911945074811655</v>
      </c>
      <c r="FS16" s="539">
        <f t="shared" si="141"/>
        <v>2024.2576583484461</v>
      </c>
      <c r="FT16" s="19">
        <f t="shared" si="142"/>
        <v>45.911945074811655</v>
      </c>
      <c r="FU16" s="10">
        <f t="shared" si="143"/>
        <v>1.0413233176414527</v>
      </c>
      <c r="FV16" s="10">
        <f t="shared" si="144"/>
        <v>46.953268392453104</v>
      </c>
      <c r="FW16" s="539">
        <f t="shared" si="145"/>
        <v>2070.1696034232577</v>
      </c>
      <c r="FX16" s="19">
        <f t="shared" si="146"/>
        <v>46.953268392453104</v>
      </c>
      <c r="FY16" s="10">
        <f t="shared" si="147"/>
        <v>1.0649414468689749</v>
      </c>
      <c r="FZ16" s="10">
        <f t="shared" si="148"/>
        <v>48.018209839322083</v>
      </c>
      <c r="GA16" s="539">
        <f t="shared" si="149"/>
        <v>2117.1228718157108</v>
      </c>
      <c r="GB16" s="19">
        <f t="shared" si="150"/>
        <v>48.018209839322083</v>
      </c>
      <c r="GC16" s="10">
        <f t="shared" si="151"/>
        <v>1.0890952560517595</v>
      </c>
      <c r="GD16" s="10">
        <f t="shared" si="152"/>
        <v>49.107305095373839</v>
      </c>
      <c r="GE16" s="539">
        <f t="shared" si="153"/>
        <v>2165.1410816550328</v>
      </c>
      <c r="GF16" s="19">
        <f t="shared" si="154"/>
        <v>49.107305095373839</v>
      </c>
      <c r="GG16" s="10">
        <f t="shared" si="155"/>
        <v>1.1137968948826</v>
      </c>
      <c r="GH16" s="10">
        <f t="shared" si="156"/>
        <v>50.221101990256436</v>
      </c>
      <c r="GI16" s="539">
        <f t="shared" si="157"/>
        <v>2214.2483867504066</v>
      </c>
      <c r="GJ16" s="19">
        <f t="shared" si="158"/>
        <v>50.221101990256436</v>
      </c>
      <c r="GK16" s="10">
        <f t="shared" si="159"/>
        <v>1.1390587886200143</v>
      </c>
      <c r="GL16" s="10">
        <f t="shared" si="160"/>
        <v>51.360160778876448</v>
      </c>
      <c r="GM16" s="539">
        <f t="shared" si="161"/>
        <v>2264.4694887406627</v>
      </c>
      <c r="GN16" s="19">
        <f t="shared" si="162"/>
        <v>51.360160778876448</v>
      </c>
      <c r="GO16" s="10">
        <f t="shared" si="163"/>
        <v>1.164893644338318</v>
      </c>
      <c r="GP16" s="10">
        <f t="shared" si="164"/>
        <v>52.525054423214769</v>
      </c>
      <c r="GQ16" s="539">
        <f t="shared" si="165"/>
        <v>2315.8296495195395</v>
      </c>
      <c r="GR16" s="19">
        <f t="shared" si="166"/>
        <v>52.525054423214769</v>
      </c>
      <c r="GS16" s="10">
        <f t="shared" si="167"/>
        <v>1.191314457319455</v>
      </c>
      <c r="GT16" s="10">
        <f t="shared" si="168"/>
        <v>53.716368880534226</v>
      </c>
      <c r="GU16" s="539">
        <f t="shared" si="169"/>
        <v>2368.354703942754</v>
      </c>
      <c r="GV16" s="19">
        <f t="shared" si="170"/>
        <v>53.716368880534226</v>
      </c>
      <c r="GW16" s="10">
        <f t="shared" si="171"/>
        <v>1.2183345175897986</v>
      </c>
      <c r="GX16" s="10">
        <f t="shared" si="172"/>
        <v>54.934703398124022</v>
      </c>
      <c r="GY16" s="539">
        <f t="shared" si="173"/>
        <v>2422.0710728232884</v>
      </c>
      <c r="GZ16" s="19">
        <f t="shared" si="174"/>
        <v>54.934703398124022</v>
      </c>
      <c r="HA16" s="10">
        <f t="shared" si="175"/>
        <v>1.245967416605217</v>
      </c>
      <c r="HB16" s="10">
        <f t="shared" si="176"/>
        <v>56.18067081472924</v>
      </c>
      <c r="HC16" s="539">
        <f t="shared" si="177"/>
        <v>2477.0057762214124</v>
      </c>
      <c r="HD16" s="19">
        <f t="shared" si="178"/>
        <v>56.18067081472924</v>
      </c>
      <c r="HE16" s="10">
        <f t="shared" si="179"/>
        <v>1.2742270540877576</v>
      </c>
      <c r="HF16" s="10">
        <f t="shared" si="180"/>
        <v>57.454897868817</v>
      </c>
      <c r="HG16" s="539">
        <f t="shared" si="181"/>
        <v>2533.1864470361415</v>
      </c>
      <c r="HH16" s="19">
        <f t="shared" si="182"/>
        <v>57.454897868817</v>
      </c>
      <c r="HI16" s="10">
        <f t="shared" si="183"/>
        <v>1.3031276450173961</v>
      </c>
      <c r="HJ16" s="10">
        <f t="shared" si="184"/>
        <v>58.758025513834397</v>
      </c>
      <c r="HK16" s="539">
        <f t="shared" si="185"/>
        <v>2590.6413449049587</v>
      </c>
      <c r="HL16" s="19">
        <f t="shared" si="186"/>
        <v>58.758025513834397</v>
      </c>
      <c r="HM16" s="10">
        <f t="shared" si="187"/>
        <v>1.3326837267823632</v>
      </c>
      <c r="HN16" s="10">
        <f t="shared" si="188"/>
        <v>60.090709240616761</v>
      </c>
      <c r="HO16" s="539">
        <f t="shared" si="189"/>
        <v>2649.3993704187933</v>
      </c>
      <c r="HP16" s="19">
        <f t="shared" si="190"/>
        <v>60.090709240616761</v>
      </c>
      <c r="HQ16" s="10">
        <f t="shared" si="191"/>
        <v>1.3629101664916479</v>
      </c>
      <c r="HR16" s="10">
        <f t="shared" si="192"/>
        <v>61.453619407108405</v>
      </c>
      <c r="HS16" s="539">
        <f t="shared" si="193"/>
        <v>2709.4900796594097</v>
      </c>
      <c r="HT16" s="19">
        <f t="shared" si="194"/>
        <v>61.453619407108405</v>
      </c>
      <c r="HU16" s="10">
        <f t="shared" si="195"/>
        <v>1.3938221684533545</v>
      </c>
      <c r="HV16" s="10">
        <f t="shared" si="196"/>
        <v>62.84744157556176</v>
      </c>
      <c r="HW16" s="539">
        <f t="shared" si="197"/>
        <v>2770.9436990665181</v>
      </c>
      <c r="HX16" s="19">
        <f t="shared" si="198"/>
        <v>62.84744157556176</v>
      </c>
      <c r="HY16" s="10">
        <f t="shared" si="199"/>
        <v>1.4254352818226754</v>
      </c>
      <c r="HZ16" s="10">
        <f t="shared" si="200"/>
        <v>64.272876857384432</v>
      </c>
      <c r="IA16" s="539">
        <f t="shared" si="201"/>
        <v>2833.7911406420799</v>
      </c>
      <c r="IB16" s="19">
        <f t="shared" si="202"/>
        <v>64.272876857384432</v>
      </c>
      <c r="IF16" s="662" t="str">
        <f>IF(IF15&lt;IG4,"Overvalued","Undervalued")</f>
        <v>Undervalued</v>
      </c>
      <c r="IG16" s="1301"/>
      <c r="IH16" s="1301"/>
      <c r="II16" s="540"/>
      <c r="IJ16" s="540"/>
      <c r="IK16" s="540"/>
      <c r="IL16" s="540"/>
      <c r="IM16" s="540"/>
      <c r="IN16" s="540"/>
      <c r="IO16" s="665" t="str">
        <f>IF(IO15&lt;IG4,"Overvalued","Undervalued")</f>
        <v>Overvalued</v>
      </c>
      <c r="IP16" s="236"/>
      <c r="IY16"/>
    </row>
    <row r="17" spans="1:263">
      <c r="A17" s="20"/>
      <c r="B17" s="20"/>
      <c r="C17" s="826" t="s">
        <v>2342</v>
      </c>
      <c r="D17" s="47" t="s">
        <v>367</v>
      </c>
      <c r="E17" s="396">
        <f t="shared" si="0"/>
        <v>25</v>
      </c>
      <c r="F17" s="242">
        <v>10</v>
      </c>
      <c r="G17" s="48">
        <f>'Update Stock Prices'!S17</f>
        <v>5200000</v>
      </c>
      <c r="H17" s="991">
        <f t="shared" si="27"/>
        <v>1.923076923076923E-6</v>
      </c>
      <c r="I17" s="49">
        <f>'Update Stock Prices'!D17</f>
        <v>21.3</v>
      </c>
      <c r="J17" s="49">
        <f t="shared" si="1"/>
        <v>213</v>
      </c>
      <c r="K17" s="30">
        <v>221.8</v>
      </c>
      <c r="L17" s="49">
        <f t="shared" si="28"/>
        <v>-8.8000000000000114</v>
      </c>
      <c r="M17" s="50">
        <f t="shared" si="29"/>
        <v>-3.96753832281335E-2</v>
      </c>
      <c r="N17" s="49">
        <f t="shared" si="30"/>
        <v>22.18</v>
      </c>
      <c r="O17" s="48">
        <f t="shared" si="2"/>
        <v>15</v>
      </c>
      <c r="P17" s="49">
        <f>IF(($B$11-$B$12)-(O17*I17)&lt;0,0,($B$11-$B$12)-(O17*I17))</f>
        <v>1.5099999999999909</v>
      </c>
      <c r="Q17" s="30">
        <f>12*0.127604</f>
        <v>1.5312479999999999</v>
      </c>
      <c r="R17" s="49">
        <f t="shared" si="242"/>
        <v>4.1923285420944555E-2</v>
      </c>
      <c r="S17" s="49">
        <f t="shared" si="4"/>
        <v>15.312479999999999</v>
      </c>
      <c r="T17" s="49">
        <f t="shared" si="31"/>
        <v>1.2760399999999998</v>
      </c>
      <c r="U17" s="49" t="s">
        <v>56</v>
      </c>
      <c r="V17" s="50">
        <f t="shared" si="6"/>
        <v>7.1889577464788731E-2</v>
      </c>
      <c r="W17" s="50">
        <f t="shared" si="7"/>
        <v>6.9037330928764643E-2</v>
      </c>
      <c r="X17" s="49">
        <f t="shared" si="246"/>
        <v>22.968719999999998</v>
      </c>
      <c r="Y17" s="49">
        <f>IF(U17="Q",3*T17,IF(U17="Y",12*T17,IF(U17="B",6*T17,IF(U17="M",T17,0))))</f>
        <v>1.2760399999999998</v>
      </c>
      <c r="Z17" s="860">
        <f t="shared" si="9"/>
        <v>0</v>
      </c>
      <c r="AA17" s="860">
        <f t="shared" si="10"/>
        <v>156.92266700103445</v>
      </c>
      <c r="AB17" s="49">
        <f t="shared" si="11"/>
        <v>3342.4528071220338</v>
      </c>
      <c r="AC17" s="48">
        <v>1</v>
      </c>
      <c r="AD17" s="47" t="str">
        <f t="shared" si="12"/>
        <v>BPOPM</v>
      </c>
      <c r="AE17" s="49">
        <f t="shared" si="13"/>
        <v>213</v>
      </c>
      <c r="AF17" s="50" t="e">
        <f t="shared" si="14"/>
        <v>#REF!</v>
      </c>
      <c r="AG17" s="890" t="e">
        <f t="shared" si="15"/>
        <v>#REF!</v>
      </c>
      <c r="AH17" s="207" t="s">
        <v>372</v>
      </c>
      <c r="AI17" s="240">
        <f t="shared" si="16"/>
        <v>0.10299295983759724</v>
      </c>
      <c r="AJ17" s="11">
        <f t="shared" si="33"/>
        <v>5</v>
      </c>
      <c r="AK17" s="11">
        <v>1</v>
      </c>
      <c r="AL17" s="11"/>
      <c r="AM17" s="11"/>
      <c r="AN17" s="11"/>
      <c r="AO17" s="11"/>
      <c r="AP17" s="11"/>
      <c r="AQ17" s="11" t="str">
        <f>'Update Stock Prices'!Q17</f>
        <v>micro</v>
      </c>
      <c r="AR17" s="11"/>
      <c r="AS17" s="11"/>
      <c r="AT17" s="176" t="s">
        <v>462</v>
      </c>
      <c r="AU17" s="420"/>
      <c r="AV17" s="420"/>
      <c r="AW17" s="215"/>
      <c r="AX17" s="25"/>
      <c r="AY17" s="224" t="s">
        <v>1217</v>
      </c>
      <c r="AZ17" s="602">
        <f>AZ4/1000</f>
        <v>28.1331058476</v>
      </c>
      <c r="BA17" s="502"/>
      <c r="BB17" s="19"/>
      <c r="BC17" s="21"/>
      <c r="BD17" s="932"/>
      <c r="BE17" s="593">
        <f t="shared" si="17"/>
        <v>0</v>
      </c>
      <c r="BF17" s="725">
        <f t="shared" si="221"/>
        <v>385482.49872853985</v>
      </c>
      <c r="BG17" s="420" t="str">
        <f t="shared" ca="1" si="18"/>
        <v/>
      </c>
      <c r="BH17" s="593">
        <f t="shared" ca="1" si="34"/>
        <v>18</v>
      </c>
      <c r="BI17" s="420">
        <f t="shared" ca="1" si="35"/>
        <v>52</v>
      </c>
      <c r="BJ17" s="420">
        <f t="shared" ca="1" si="35"/>
        <v>58</v>
      </c>
      <c r="BK17" s="420">
        <f t="shared" ca="1" si="36"/>
        <v>2032</v>
      </c>
      <c r="BL17" s="420" t="s">
        <v>1024</v>
      </c>
      <c r="BM17" s="19">
        <f t="shared" si="19"/>
        <v>512514.66194433678</v>
      </c>
      <c r="BN17" s="19">
        <f>EE149</f>
        <v>127032.16321579693</v>
      </c>
      <c r="BO17" s="19">
        <f>EF149</f>
        <v>6445.963251165067</v>
      </c>
      <c r="BP17" s="183">
        <f t="shared" si="20"/>
        <v>5.07427653594699E-2</v>
      </c>
      <c r="BQ17" s="19">
        <f t="shared" si="21"/>
        <v>537.16360426375559</v>
      </c>
      <c r="BS17" s="420" t="str">
        <f t="shared" si="37"/>
        <v>BPOPM</v>
      </c>
      <c r="BT17" s="425">
        <f t="shared" si="38"/>
        <v>10</v>
      </c>
      <c r="BU17" s="19">
        <f t="shared" si="39"/>
        <v>21.3</v>
      </c>
      <c r="BV17" s="19">
        <f t="shared" si="40"/>
        <v>213</v>
      </c>
      <c r="BW17" s="539">
        <f t="shared" si="41"/>
        <v>1.5312479999999999</v>
      </c>
      <c r="BX17" s="19">
        <f t="shared" si="42"/>
        <v>15.312479999999999</v>
      </c>
      <c r="BY17" s="10">
        <f t="shared" si="43"/>
        <v>0.71889577464788723</v>
      </c>
      <c r="BZ17" s="10">
        <f t="shared" si="44"/>
        <v>10.718895774647887</v>
      </c>
      <c r="CA17" s="539">
        <f t="shared" si="45"/>
        <v>228.31247999999999</v>
      </c>
      <c r="CB17" s="19">
        <f t="shared" si="46"/>
        <v>16.413287717138026</v>
      </c>
      <c r="CC17" s="10">
        <f t="shared" si="47"/>
        <v>0.77057688812854575</v>
      </c>
      <c r="CD17" s="10">
        <f t="shared" si="48"/>
        <v>11.489472662776432</v>
      </c>
      <c r="CE17" s="539">
        <f t="shared" si="49"/>
        <v>244.72576771713801</v>
      </c>
      <c r="CF17" s="19">
        <f t="shared" si="50"/>
        <v>17.593232035931084</v>
      </c>
      <c r="CG17" s="10">
        <f t="shared" si="51"/>
        <v>0.82597333502023862</v>
      </c>
      <c r="CH17" s="10">
        <f t="shared" si="52"/>
        <v>12.315445997796671</v>
      </c>
      <c r="CI17" s="539">
        <f t="shared" si="53"/>
        <v>262.31899975306908</v>
      </c>
      <c r="CJ17" s="19">
        <f t="shared" si="54"/>
        <v>18.858002053234156</v>
      </c>
      <c r="CK17" s="10">
        <f t="shared" si="55"/>
        <v>0.88535220907202605</v>
      </c>
      <c r="CL17" s="10">
        <f t="shared" si="56"/>
        <v>13.200798206868697</v>
      </c>
      <c r="CM17" s="539">
        <f t="shared" si="57"/>
        <v>281.17700180630328</v>
      </c>
      <c r="CN17" s="19">
        <f t="shared" si="58"/>
        <v>20.213695852671279</v>
      </c>
      <c r="CO17" s="10">
        <f t="shared" si="59"/>
        <v>0.94899980528973138</v>
      </c>
      <c r="CP17" s="10">
        <f t="shared" si="60"/>
        <v>14.149798012158428</v>
      </c>
      <c r="CQ17" s="539">
        <f t="shared" si="61"/>
        <v>301.39069765897455</v>
      </c>
      <c r="CR17" s="19">
        <f t="shared" si="62"/>
        <v>21.666849906521566</v>
      </c>
      <c r="CS17" s="10">
        <f t="shared" si="63"/>
        <v>1.0172230003061768</v>
      </c>
      <c r="CT17" s="10">
        <f t="shared" si="64"/>
        <v>15.167021012464605</v>
      </c>
      <c r="CU17" s="539">
        <f t="shared" si="65"/>
        <v>323.05754756549612</v>
      </c>
      <c r="CV17" s="19">
        <f t="shared" si="66"/>
        <v>23.224470591294402</v>
      </c>
      <c r="CW17" s="10">
        <f t="shared" si="67"/>
        <v>1.0903507319856527</v>
      </c>
      <c r="CX17" s="10">
        <f t="shared" si="68"/>
        <v>16.257371744450257</v>
      </c>
      <c r="CY17" s="539">
        <f t="shared" si="69"/>
        <v>346.28201815679051</v>
      </c>
      <c r="CZ17" s="19">
        <f t="shared" si="70"/>
        <v>24.894067968945965</v>
      </c>
      <c r="DA17" s="10">
        <f t="shared" si="71"/>
        <v>1.1687355853965242</v>
      </c>
      <c r="DB17" s="10">
        <f t="shared" si="72"/>
        <v>17.426107329846783</v>
      </c>
      <c r="DC17" s="539">
        <f t="shared" si="73"/>
        <v>371.1760861257365</v>
      </c>
      <c r="DD17" s="19">
        <f t="shared" si="74"/>
        <v>26.683691996613227</v>
      </c>
      <c r="DE17" s="10">
        <f t="shared" si="75"/>
        <v>1.252755492798743</v>
      </c>
      <c r="DF17" s="10">
        <f t="shared" si="76"/>
        <v>18.678862822645527</v>
      </c>
      <c r="DG17" s="539">
        <f t="shared" si="77"/>
        <v>397.85977812234972</v>
      </c>
      <c r="DH17" s="19">
        <f t="shared" si="78"/>
        <v>28.601971339450316</v>
      </c>
      <c r="DI17" s="10">
        <f t="shared" si="79"/>
        <v>1.3428155558427377</v>
      </c>
      <c r="DJ17" s="10">
        <f t="shared" si="80"/>
        <v>20.021678378488264</v>
      </c>
      <c r="DK17" s="539">
        <f t="shared" si="81"/>
        <v>426.46174946180003</v>
      </c>
      <c r="DL17" s="19">
        <f t="shared" si="82"/>
        <v>30.658154973703397</v>
      </c>
      <c r="DM17" s="10">
        <f t="shared" si="83"/>
        <v>1.4393499987654177</v>
      </c>
      <c r="DN17" s="10">
        <f t="shared" si="84"/>
        <v>21.461028377253683</v>
      </c>
      <c r="DO17" s="539">
        <f t="shared" si="85"/>
        <v>457.11990443550349</v>
      </c>
      <c r="DP17" s="19">
        <f t="shared" si="86"/>
        <v>32.862156780612949</v>
      </c>
      <c r="DQ17" s="10">
        <f t="shared" si="87"/>
        <v>1.5428242620006078</v>
      </c>
      <c r="DR17" s="10">
        <f t="shared" si="88"/>
        <v>23.003852639254291</v>
      </c>
      <c r="DS17" s="539">
        <f t="shared" si="89"/>
        <v>489.98206121611639</v>
      </c>
      <c r="DT17" s="19">
        <f t="shared" si="90"/>
        <v>35.224603346152854</v>
      </c>
      <c r="DU17" s="10">
        <f t="shared" si="91"/>
        <v>1.653737246298256</v>
      </c>
      <c r="DV17" s="10">
        <f t="shared" si="92"/>
        <v>24.657589885552547</v>
      </c>
      <c r="DW17" s="539">
        <f t="shared" si="93"/>
        <v>525.20666456226922</v>
      </c>
      <c r="DX17" s="19">
        <f t="shared" si="94"/>
        <v>37.756885197072563</v>
      </c>
      <c r="DY17" s="10">
        <f t="shared" si="95"/>
        <v>1.7726237181724207</v>
      </c>
      <c r="DZ17" s="10">
        <f t="shared" si="96"/>
        <v>26.430213603724969</v>
      </c>
      <c r="EA17" s="539">
        <f t="shared" si="97"/>
        <v>562.96354975934184</v>
      </c>
      <c r="EB17" s="19">
        <f t="shared" si="98"/>
        <v>40.471211720276649</v>
      </c>
      <c r="EC17" s="10">
        <f t="shared" si="99"/>
        <v>1.900056888275899</v>
      </c>
      <c r="ED17" s="10">
        <f t="shared" si="100"/>
        <v>28.330270492000867</v>
      </c>
      <c r="EE17" s="539">
        <f t="shared" si="101"/>
        <v>603.43476147961849</v>
      </c>
      <c r="EF17" s="19">
        <f t="shared" si="102"/>
        <v>43.380670030335345</v>
      </c>
      <c r="EG17" s="10">
        <f t="shared" si="103"/>
        <v>2.0366511751331147</v>
      </c>
      <c r="EH17" s="10">
        <f t="shared" si="104"/>
        <v>30.366921667133983</v>
      </c>
      <c r="EI17" s="539">
        <f t="shared" si="105"/>
        <v>646.8154315099539</v>
      </c>
      <c r="EJ17" s="19">
        <f t="shared" si="106"/>
        <v>46.499288068955579</v>
      </c>
      <c r="EK17" s="10">
        <f t="shared" si="107"/>
        <v>2.1830651675565997</v>
      </c>
      <c r="EL17" s="10">
        <f t="shared" si="108"/>
        <v>32.549986834690586</v>
      </c>
      <c r="EM17" s="539">
        <f t="shared" si="109"/>
        <v>693.31471957890949</v>
      </c>
      <c r="EN17" s="19">
        <f t="shared" si="110"/>
        <v>49.842102240646291</v>
      </c>
      <c r="EO17" s="10">
        <f t="shared" si="111"/>
        <v>2.3400048000303424</v>
      </c>
      <c r="EP17" s="10">
        <f t="shared" si="112"/>
        <v>34.889991634720928</v>
      </c>
      <c r="EQ17" s="539">
        <f t="shared" si="113"/>
        <v>743.15682181955583</v>
      </c>
      <c r="ER17" s="19">
        <f t="shared" si="114"/>
        <v>53.42522991068315</v>
      </c>
      <c r="ES17" s="10">
        <f t="shared" si="115"/>
        <v>2.5082267563701008</v>
      </c>
      <c r="ET17" s="10">
        <f t="shared" si="116"/>
        <v>37.398218391091028</v>
      </c>
      <c r="EU17" s="539">
        <f t="shared" si="117"/>
        <v>796.58205173023896</v>
      </c>
      <c r="EV17" s="19">
        <f t="shared" si="118"/>
        <v>57.265947114921353</v>
      </c>
      <c r="EW17" s="10">
        <f t="shared" si="119"/>
        <v>2.6885421180714251</v>
      </c>
      <c r="EX17" s="10">
        <f t="shared" si="120"/>
        <v>40.086760509162453</v>
      </c>
      <c r="EY17" s="539">
        <f t="shared" si="121"/>
        <v>853.8479988451603</v>
      </c>
      <c r="EZ17" s="19">
        <f t="shared" si="122"/>
        <v>61.382771856133985</v>
      </c>
      <c r="FA17" s="10">
        <f t="shared" si="123"/>
        <v>2.8818202749358677</v>
      </c>
      <c r="FB17" s="10">
        <f t="shared" si="124"/>
        <v>42.968580784098322</v>
      </c>
      <c r="FC17" s="539">
        <f t="shared" si="125"/>
        <v>915.23077070129432</v>
      </c>
      <c r="FD17" s="19">
        <f t="shared" si="126"/>
        <v>65.795553388488983</v>
      </c>
      <c r="FE17" s="10">
        <f t="shared" si="127"/>
        <v>3.0889931168304687</v>
      </c>
      <c r="FF17" s="10">
        <f t="shared" si="128"/>
        <v>46.057573900928787</v>
      </c>
      <c r="FG17" s="539">
        <f t="shared" si="129"/>
        <v>981.0263240897832</v>
      </c>
      <c r="FH17" s="19">
        <f t="shared" si="130"/>
        <v>70.525567920649408</v>
      </c>
      <c r="FI17" s="10">
        <f t="shared" si="131"/>
        <v>3.3110595267910519</v>
      </c>
      <c r="FJ17" s="10">
        <f t="shared" si="132"/>
        <v>49.368633427719843</v>
      </c>
      <c r="FK17" s="539">
        <f t="shared" si="133"/>
        <v>1051.5518920104328</v>
      </c>
      <c r="FL17" s="19">
        <f t="shared" si="134"/>
        <v>75.595621198929152</v>
      </c>
      <c r="FM17" s="10">
        <f t="shared" si="135"/>
        <v>3.5490901971328239</v>
      </c>
      <c r="FN17" s="10">
        <f t="shared" si="136"/>
        <v>52.91772362485267</v>
      </c>
      <c r="FO17" s="539">
        <f t="shared" si="137"/>
        <v>1127.1475132093619</v>
      </c>
      <c r="FP17" s="19">
        <f t="shared" si="138"/>
        <v>81.0301584651084</v>
      </c>
      <c r="FQ17" s="10">
        <f t="shared" si="139"/>
        <v>3.8042327917891265</v>
      </c>
      <c r="FR17" s="10">
        <f t="shared" si="140"/>
        <v>56.721956416641795</v>
      </c>
      <c r="FS17" s="539">
        <f t="shared" si="141"/>
        <v>1208.1776716744703</v>
      </c>
      <c r="FT17" s="19">
        <f t="shared" si="142"/>
        <v>86.855382319069918</v>
      </c>
      <c r="FU17" s="10">
        <f t="shared" si="143"/>
        <v>4.0777174797685403</v>
      </c>
      <c r="FV17" s="10">
        <f t="shared" si="144"/>
        <v>60.799673896410333</v>
      </c>
      <c r="FW17" s="539">
        <f t="shared" si="145"/>
        <v>1295.0330539935401</v>
      </c>
      <c r="FX17" s="19">
        <f t="shared" si="146"/>
        <v>93.09937905453053</v>
      </c>
      <c r="FY17" s="10">
        <f t="shared" si="147"/>
        <v>4.3708628664098841</v>
      </c>
      <c r="FZ17" s="10">
        <f t="shared" si="148"/>
        <v>65.17053676282022</v>
      </c>
      <c r="GA17" s="539">
        <f t="shared" si="149"/>
        <v>1388.1324330480707</v>
      </c>
      <c r="GB17" s="19">
        <f t="shared" si="150"/>
        <v>99.792254076994936</v>
      </c>
      <c r="GC17" s="10">
        <f t="shared" si="151"/>
        <v>4.6850823510326256</v>
      </c>
      <c r="GD17" s="10">
        <f t="shared" si="152"/>
        <v>69.855619113852839</v>
      </c>
      <c r="GE17" s="539">
        <f t="shared" si="153"/>
        <v>1487.9246871250655</v>
      </c>
      <c r="GF17" s="19">
        <f t="shared" si="154"/>
        <v>106.96627705684892</v>
      </c>
      <c r="GG17" s="10">
        <f t="shared" si="155"/>
        <v>5.0218909416360997</v>
      </c>
      <c r="GH17" s="10">
        <f t="shared" si="156"/>
        <v>74.877510055488941</v>
      </c>
      <c r="GI17" s="539">
        <f t="shared" si="157"/>
        <v>1594.8909641819146</v>
      </c>
      <c r="GJ17" s="19">
        <f t="shared" si="158"/>
        <v>114.65603751744733</v>
      </c>
      <c r="GK17" s="10">
        <f t="shared" si="159"/>
        <v>5.382912559504569</v>
      </c>
      <c r="GL17" s="10">
        <f t="shared" si="160"/>
        <v>80.260422614993516</v>
      </c>
      <c r="GM17" s="539">
        <f t="shared" si="161"/>
        <v>1709.547001699362</v>
      </c>
      <c r="GN17" s="19">
        <f t="shared" si="162"/>
        <v>122.89861160836358</v>
      </c>
      <c r="GO17" s="10">
        <f t="shared" si="163"/>
        <v>5.769887868937257</v>
      </c>
      <c r="GP17" s="10">
        <f t="shared" si="164"/>
        <v>86.030310483930776</v>
      </c>
      <c r="GQ17" s="539">
        <f t="shared" si="165"/>
        <v>1832.4456133077256</v>
      </c>
      <c r="GR17" s="19">
        <f t="shared" si="166"/>
        <v>131.73374086789804</v>
      </c>
      <c r="GS17" s="10">
        <f t="shared" si="167"/>
        <v>6.184682669854368</v>
      </c>
      <c r="GT17" s="10">
        <f t="shared" si="168"/>
        <v>92.214993153785144</v>
      </c>
      <c r="GU17" s="539">
        <f t="shared" si="169"/>
        <v>1964.1793541756235</v>
      </c>
      <c r="GV17" s="19">
        <f t="shared" si="170"/>
        <v>141.20402383674718</v>
      </c>
      <c r="GW17" s="10">
        <f t="shared" si="171"/>
        <v>6.6292968937439989</v>
      </c>
      <c r="GX17" s="10">
        <f t="shared" si="172"/>
        <v>98.844290047529142</v>
      </c>
      <c r="GY17" s="539">
        <f t="shared" si="173"/>
        <v>2105.3833780123709</v>
      </c>
      <c r="GZ17" s="19">
        <f t="shared" si="174"/>
        <v>151.35512144669889</v>
      </c>
      <c r="HA17" s="10">
        <f t="shared" si="175"/>
        <v>7.1058742463238911</v>
      </c>
      <c r="HB17" s="10">
        <f t="shared" si="176"/>
        <v>105.95016429385304</v>
      </c>
      <c r="HC17" s="539">
        <f t="shared" si="177"/>
        <v>2256.7384994590698</v>
      </c>
      <c r="HD17" s="19">
        <f t="shared" si="178"/>
        <v>162.23597717463386</v>
      </c>
      <c r="HE17" s="10">
        <f t="shared" si="179"/>
        <v>7.6167125434100402</v>
      </c>
      <c r="HF17" s="10">
        <f t="shared" si="180"/>
        <v>113.56687683726308</v>
      </c>
      <c r="HG17" s="539">
        <f t="shared" si="181"/>
        <v>2418.9744766337035</v>
      </c>
      <c r="HH17" s="19">
        <f t="shared" si="182"/>
        <v>173.89905302330541</v>
      </c>
      <c r="HI17" s="10">
        <f t="shared" si="183"/>
        <v>8.1642747898265444</v>
      </c>
      <c r="HJ17" s="10">
        <f t="shared" si="184"/>
        <v>121.73115162708963</v>
      </c>
      <c r="HK17" s="539">
        <f t="shared" si="185"/>
        <v>2592.8735296570094</v>
      </c>
      <c r="HL17" s="19">
        <f t="shared" si="186"/>
        <v>186.40058246667775</v>
      </c>
      <c r="HM17" s="10">
        <f t="shared" si="187"/>
        <v>8.7512010547736026</v>
      </c>
      <c r="HN17" s="10">
        <f t="shared" si="188"/>
        <v>130.48235268186323</v>
      </c>
      <c r="HO17" s="539">
        <f t="shared" si="189"/>
        <v>2779.2741121236868</v>
      </c>
      <c r="HP17" s="19">
        <f t="shared" si="190"/>
        <v>199.80084157939771</v>
      </c>
      <c r="HQ17" s="10">
        <f t="shared" si="191"/>
        <v>9.3803212009106911</v>
      </c>
      <c r="HR17" s="10">
        <f t="shared" si="192"/>
        <v>139.86267388277392</v>
      </c>
      <c r="HS17" s="539">
        <f t="shared" si="193"/>
        <v>2979.0749537030847</v>
      </c>
      <c r="HT17" s="19">
        <f t="shared" si="194"/>
        <v>214.16443965764978</v>
      </c>
      <c r="HU17" s="10">
        <f t="shared" si="195"/>
        <v>10.054668528528158</v>
      </c>
      <c r="HV17" s="10">
        <f t="shared" si="196"/>
        <v>149.91734241130209</v>
      </c>
      <c r="HW17" s="539">
        <f t="shared" si="197"/>
        <v>3193.2393933607345</v>
      </c>
      <c r="HX17" s="19">
        <f t="shared" si="198"/>
        <v>229.56063073262149</v>
      </c>
      <c r="HY17" s="10">
        <f t="shared" si="199"/>
        <v>10.777494400592557</v>
      </c>
      <c r="HZ17" s="10">
        <f t="shared" si="200"/>
        <v>160.69483681189465</v>
      </c>
      <c r="IA17" s="539">
        <f t="shared" si="201"/>
        <v>3422.8000240933561</v>
      </c>
      <c r="IB17" s="19">
        <f t="shared" si="202"/>
        <v>246.06364747854005</v>
      </c>
      <c r="IF17" s="662"/>
      <c r="IG17" s="1384" t="s">
        <v>2511</v>
      </c>
      <c r="IH17" s="1301" t="s">
        <v>1337</v>
      </c>
      <c r="II17" s="538" t="s">
        <v>1318</v>
      </c>
      <c r="IJ17" s="538" t="s">
        <v>1318</v>
      </c>
      <c r="IK17" s="538" t="s">
        <v>1318</v>
      </c>
      <c r="IL17" s="538" t="s">
        <v>1328</v>
      </c>
      <c r="IM17" s="540" t="s">
        <v>1392</v>
      </c>
      <c r="IN17" s="540" t="s">
        <v>1398</v>
      </c>
      <c r="IO17" s="665"/>
      <c r="IP17" s="236" t="s">
        <v>1332</v>
      </c>
      <c r="IY17"/>
    </row>
    <row r="18" spans="1:263" ht="13.5" thickBot="1">
      <c r="A18" s="11"/>
      <c r="B18" s="11"/>
      <c r="C18" s="177" t="s">
        <v>2342</v>
      </c>
      <c r="D18" s="47" t="s">
        <v>368</v>
      </c>
      <c r="E18" s="396">
        <f t="shared" si="0"/>
        <v>22</v>
      </c>
      <c r="F18" s="242">
        <v>9</v>
      </c>
      <c r="G18" s="48">
        <f>'Update Stock Prices'!S18</f>
        <v>11975051.975051975</v>
      </c>
      <c r="H18" s="991">
        <f t="shared" si="27"/>
        <v>7.5156250000000006E-7</v>
      </c>
      <c r="I18" s="49">
        <f>'Update Stock Prices'!D18</f>
        <v>24.05</v>
      </c>
      <c r="J18" s="49">
        <f t="shared" si="1"/>
        <v>216.45000000000002</v>
      </c>
      <c r="K18" s="30">
        <v>179.39</v>
      </c>
      <c r="L18" s="49">
        <f t="shared" si="28"/>
        <v>37.060000000000031</v>
      </c>
      <c r="M18" s="50">
        <f t="shared" si="29"/>
        <v>0.20658899604214301</v>
      </c>
      <c r="N18" s="49">
        <f t="shared" si="30"/>
        <v>19.932222222222222</v>
      </c>
      <c r="O18" s="48">
        <f t="shared" si="2"/>
        <v>13</v>
      </c>
      <c r="P18" s="49">
        <f>IF(($B$11-$B$12)-(O18*I18)&lt;0,0,($B$11-$B$12)-(O18*I18))</f>
        <v>8.3599999999999568</v>
      </c>
      <c r="Q18" s="30">
        <f>12*0.13958333</f>
        <v>1.6749999600000001</v>
      </c>
      <c r="R18" s="49">
        <f t="shared" si="242"/>
        <v>4.127309963039015E-2</v>
      </c>
      <c r="S18" s="49">
        <f t="shared" si="4"/>
        <v>15.074999640000001</v>
      </c>
      <c r="T18" s="49">
        <f t="shared" si="31"/>
        <v>1.25624997</v>
      </c>
      <c r="U18" s="49" t="s">
        <v>56</v>
      </c>
      <c r="V18" s="50">
        <f t="shared" si="6"/>
        <v>6.9646567983367991E-2</v>
      </c>
      <c r="W18" s="50">
        <f t="shared" si="7"/>
        <v>8.4034782540832839E-2</v>
      </c>
      <c r="X18" s="49">
        <f t="shared" si="246"/>
        <v>21.774999480000002</v>
      </c>
      <c r="Y18" s="49">
        <f t="shared" si="32"/>
        <v>1.25624997</v>
      </c>
      <c r="Z18" s="860">
        <f t="shared" si="9"/>
        <v>0</v>
      </c>
      <c r="AA18" s="860">
        <f t="shared" si="10"/>
        <v>163.29851157727788</v>
      </c>
      <c r="AB18" s="49">
        <f t="shared" si="11"/>
        <v>3927.3292034335332</v>
      </c>
      <c r="AC18" s="48">
        <v>1</v>
      </c>
      <c r="AD18" s="47" t="str">
        <f t="shared" si="12"/>
        <v>BPOPN</v>
      </c>
      <c r="AE18" s="49">
        <f t="shared" si="13"/>
        <v>216.45000000000002</v>
      </c>
      <c r="AF18" s="50" t="e">
        <f t="shared" si="14"/>
        <v>#REF!</v>
      </c>
      <c r="AG18" s="890" t="e">
        <f t="shared" si="15"/>
        <v>#REF!</v>
      </c>
      <c r="AH18" s="207" t="s">
        <v>371</v>
      </c>
      <c r="AI18" s="240">
        <f t="shared" si="16"/>
        <v>0.10635637156758432</v>
      </c>
      <c r="AJ18" s="11">
        <f t="shared" si="33"/>
        <v>5</v>
      </c>
      <c r="AK18" s="11">
        <v>1</v>
      </c>
      <c r="AL18" s="11"/>
      <c r="AM18" s="11"/>
      <c r="AN18" s="11"/>
      <c r="AO18" s="11"/>
      <c r="AP18" s="11"/>
      <c r="AQ18" s="11" t="str">
        <f>'Update Stock Prices'!Q18</f>
        <v>micro</v>
      </c>
      <c r="AR18" s="11"/>
      <c r="AS18" s="11"/>
      <c r="AT18" s="177" t="s">
        <v>1099</v>
      </c>
      <c r="AU18" s="420"/>
      <c r="AV18" s="420"/>
      <c r="AW18" s="20"/>
      <c r="AX18" s="20"/>
      <c r="AY18" s="441" t="s">
        <v>1218</v>
      </c>
      <c r="AZ18" s="600">
        <f>AZ17*AZ16</f>
        <v>8.1586006958039992</v>
      </c>
      <c r="BA18" s="11"/>
      <c r="BC18" s="420"/>
      <c r="BD18" s="932"/>
      <c r="BE18" s="593">
        <f t="shared" si="17"/>
        <v>0</v>
      </c>
      <c r="BF18" s="725">
        <f t="shared" si="221"/>
        <v>404150.51870311063</v>
      </c>
      <c r="BG18" s="420" t="str">
        <f t="shared" ca="1" si="18"/>
        <v>M in college</v>
      </c>
      <c r="BH18" s="593">
        <f t="shared" ca="1" si="34"/>
        <v>19</v>
      </c>
      <c r="BI18" s="420">
        <f t="shared" ca="1" si="35"/>
        <v>53</v>
      </c>
      <c r="BJ18" s="420">
        <f t="shared" ca="1" si="35"/>
        <v>59</v>
      </c>
      <c r="BK18" s="420">
        <f t="shared" ca="1" si="36"/>
        <v>2033</v>
      </c>
      <c r="BL18" s="420" t="s">
        <v>1025</v>
      </c>
      <c r="BM18" s="19">
        <f t="shared" si="19"/>
        <v>537628.64517007268</v>
      </c>
      <c r="BN18" s="19">
        <f>EI149</f>
        <v>133478.12646696204</v>
      </c>
      <c r="BO18" s="19">
        <f>EJ149</f>
        <v>6891.3085422103813</v>
      </c>
      <c r="BP18" s="183">
        <f t="shared" si="20"/>
        <v>5.1628747905119045E-2</v>
      </c>
      <c r="BQ18" s="19">
        <f t="shared" si="21"/>
        <v>574.27571185086515</v>
      </c>
      <c r="BS18" s="420" t="str">
        <f t="shared" si="37"/>
        <v>BPOPN</v>
      </c>
      <c r="BT18" s="425">
        <f t="shared" si="38"/>
        <v>9</v>
      </c>
      <c r="BU18" s="19">
        <f t="shared" si="39"/>
        <v>24.05</v>
      </c>
      <c r="BV18" s="19">
        <f t="shared" si="40"/>
        <v>216.45000000000002</v>
      </c>
      <c r="BW18" s="539">
        <f t="shared" si="41"/>
        <v>1.6749999600000001</v>
      </c>
      <c r="BX18" s="19">
        <f t="shared" si="42"/>
        <v>15.074999640000001</v>
      </c>
      <c r="BY18" s="10">
        <f t="shared" si="43"/>
        <v>0.62681911185031192</v>
      </c>
      <c r="BZ18" s="10">
        <f t="shared" si="44"/>
        <v>9.6268191118503115</v>
      </c>
      <c r="CA18" s="539">
        <f t="shared" si="45"/>
        <v>231.52499964</v>
      </c>
      <c r="CB18" s="19">
        <f t="shared" si="46"/>
        <v>16.124921627276507</v>
      </c>
      <c r="CC18" s="10">
        <f t="shared" si="47"/>
        <v>0.67047491173706886</v>
      </c>
      <c r="CD18" s="10">
        <f t="shared" si="48"/>
        <v>10.29729402358738</v>
      </c>
      <c r="CE18" s="539">
        <f t="shared" si="49"/>
        <v>247.64992126727648</v>
      </c>
      <c r="CF18" s="19">
        <f t="shared" si="50"/>
        <v>17.247967077617101</v>
      </c>
      <c r="CG18" s="10">
        <f t="shared" si="51"/>
        <v>0.71717118825850734</v>
      </c>
      <c r="CH18" s="10">
        <f t="shared" si="52"/>
        <v>11.014465211845888</v>
      </c>
      <c r="CI18" s="539">
        <f t="shared" si="53"/>
        <v>264.8978883448936</v>
      </c>
      <c r="CJ18" s="19">
        <f t="shared" si="54"/>
        <v>18.449228789263255</v>
      </c>
      <c r="CK18" s="10">
        <f t="shared" si="55"/>
        <v>0.76711970017726627</v>
      </c>
      <c r="CL18" s="10">
        <f t="shared" si="56"/>
        <v>11.781584912023154</v>
      </c>
      <c r="CM18" s="539">
        <f t="shared" si="57"/>
        <v>283.34711713415686</v>
      </c>
      <c r="CN18" s="19">
        <f t="shared" si="58"/>
        <v>19.734154256375387</v>
      </c>
      <c r="CO18" s="10">
        <f t="shared" si="59"/>
        <v>0.82054695452704307</v>
      </c>
      <c r="CP18" s="10">
        <f t="shared" si="60"/>
        <v>12.602131866550197</v>
      </c>
      <c r="CQ18" s="539">
        <f t="shared" si="61"/>
        <v>303.08127139053227</v>
      </c>
      <c r="CR18" s="19">
        <f t="shared" si="62"/>
        <v>21.108570372386307</v>
      </c>
      <c r="CS18" s="10">
        <f t="shared" si="63"/>
        <v>0.87769523377905645</v>
      </c>
      <c r="CT18" s="10">
        <f t="shared" si="64"/>
        <v>13.479827100329253</v>
      </c>
      <c r="CU18" s="539">
        <f t="shared" si="65"/>
        <v>324.18984176291855</v>
      </c>
      <c r="CV18" s="19">
        <f t="shared" si="66"/>
        <v>22.578709853858417</v>
      </c>
      <c r="CW18" s="10">
        <f t="shared" si="67"/>
        <v>0.93882369454712744</v>
      </c>
      <c r="CX18" s="10">
        <f t="shared" si="68"/>
        <v>14.418650794876379</v>
      </c>
      <c r="CY18" s="539">
        <f t="shared" si="69"/>
        <v>346.76855161677696</v>
      </c>
      <c r="CZ18" s="19">
        <f t="shared" si="70"/>
        <v>24.151239504671903</v>
      </c>
      <c r="DA18" s="10">
        <f t="shared" si="71"/>
        <v>1.0042095428138005</v>
      </c>
      <c r="DB18" s="10">
        <f t="shared" si="72"/>
        <v>15.42286033769018</v>
      </c>
      <c r="DC18" s="539">
        <f t="shared" si="73"/>
        <v>370.91979112144884</v>
      </c>
      <c r="DD18" s="19">
        <f t="shared" si="74"/>
        <v>25.833290448716639</v>
      </c>
      <c r="DE18" s="10">
        <f t="shared" si="75"/>
        <v>1.0741492910069288</v>
      </c>
      <c r="DF18" s="10">
        <f t="shared" si="76"/>
        <v>16.497009628697107</v>
      </c>
      <c r="DG18" s="539">
        <f t="shared" si="77"/>
        <v>396.75308157016542</v>
      </c>
      <c r="DH18" s="19">
        <f t="shared" si="78"/>
        <v>27.632490468187271</v>
      </c>
      <c r="DI18" s="10">
        <f t="shared" si="79"/>
        <v>1.1489601026273293</v>
      </c>
      <c r="DJ18" s="10">
        <f t="shared" si="80"/>
        <v>17.645969731324435</v>
      </c>
      <c r="DK18" s="539">
        <f t="shared" si="81"/>
        <v>424.38557203835268</v>
      </c>
      <c r="DL18" s="19">
        <f t="shared" si="82"/>
        <v>29.556998594129642</v>
      </c>
      <c r="DM18" s="10">
        <f t="shared" si="83"/>
        <v>1.2289812305251411</v>
      </c>
      <c r="DN18" s="10">
        <f t="shared" si="84"/>
        <v>18.874950961849574</v>
      </c>
      <c r="DO18" s="539">
        <f t="shared" si="85"/>
        <v>453.94257063248227</v>
      </c>
      <c r="DP18" s="19">
        <f t="shared" si="86"/>
        <v>31.615542106100001</v>
      </c>
      <c r="DQ18" s="10">
        <f t="shared" si="87"/>
        <v>1.3145755553471934</v>
      </c>
      <c r="DR18" s="10">
        <f t="shared" si="88"/>
        <v>20.189526517196768</v>
      </c>
      <c r="DS18" s="539">
        <f t="shared" si="89"/>
        <v>485.55811273858228</v>
      </c>
      <c r="DT18" s="19">
        <f t="shared" si="90"/>
        <v>33.817456108723526</v>
      </c>
      <c r="DU18" s="10">
        <f t="shared" si="91"/>
        <v>1.4061312311319554</v>
      </c>
      <c r="DV18" s="10">
        <f t="shared" si="92"/>
        <v>21.595657748328723</v>
      </c>
      <c r="DW18" s="539">
        <f t="shared" si="93"/>
        <v>519.37556884730577</v>
      </c>
      <c r="DX18" s="19">
        <f t="shared" si="94"/>
        <v>36.172725864624304</v>
      </c>
      <c r="DY18" s="10">
        <f t="shared" si="95"/>
        <v>1.5040634455145241</v>
      </c>
      <c r="DZ18" s="10">
        <f t="shared" si="96"/>
        <v>23.099721193843248</v>
      </c>
      <c r="EA18" s="539">
        <f t="shared" si="97"/>
        <v>555.54829471193011</v>
      </c>
      <c r="EB18" s="19">
        <f t="shared" si="98"/>
        <v>38.692032075698592</v>
      </c>
      <c r="EC18" s="10">
        <f t="shared" si="99"/>
        <v>1.60881630252385</v>
      </c>
      <c r="ED18" s="10">
        <f t="shared" si="100"/>
        <v>24.708537496367097</v>
      </c>
      <c r="EE18" s="539">
        <f t="shared" si="101"/>
        <v>594.24032678762865</v>
      </c>
      <c r="EF18" s="19">
        <f t="shared" si="102"/>
        <v>41.386799318073386</v>
      </c>
      <c r="EG18" s="10">
        <f t="shared" si="103"/>
        <v>1.7208648365103278</v>
      </c>
      <c r="EH18" s="10">
        <f t="shared" si="104"/>
        <v>26.429402332877423</v>
      </c>
      <c r="EI18" s="539">
        <f t="shared" si="105"/>
        <v>635.62712610570202</v>
      </c>
      <c r="EJ18" s="19">
        <f t="shared" si="106"/>
        <v>44.26924785039359</v>
      </c>
      <c r="EK18" s="10">
        <f t="shared" si="107"/>
        <v>1.8407171663365318</v>
      </c>
      <c r="EL18" s="10">
        <f t="shared" si="108"/>
        <v>28.270119499213955</v>
      </c>
      <c r="EM18" s="539">
        <f t="shared" si="109"/>
        <v>679.89637395609566</v>
      </c>
      <c r="EN18" s="19">
        <f t="shared" si="110"/>
        <v>47.352449030378594</v>
      </c>
      <c r="EO18" s="10">
        <f t="shared" si="111"/>
        <v>1.9689167995999415</v>
      </c>
      <c r="EP18" s="10">
        <f t="shared" si="112"/>
        <v>30.239036298813897</v>
      </c>
      <c r="EQ18" s="539">
        <f t="shared" si="113"/>
        <v>727.24882298647424</v>
      </c>
      <c r="ER18" s="19">
        <f t="shared" si="114"/>
        <v>50.65038459095183</v>
      </c>
      <c r="ES18" s="10">
        <f t="shared" si="115"/>
        <v>2.1060450973368745</v>
      </c>
      <c r="ET18" s="10">
        <f t="shared" si="116"/>
        <v>32.345081396150775</v>
      </c>
      <c r="EU18" s="539">
        <f t="shared" si="117"/>
        <v>777.89920757742618</v>
      </c>
      <c r="EV18" s="19">
        <f t="shared" si="118"/>
        <v>54.178010044749293</v>
      </c>
      <c r="EW18" s="10">
        <f t="shared" si="119"/>
        <v>2.252723910384586</v>
      </c>
      <c r="EX18" s="10">
        <f t="shared" si="120"/>
        <v>34.597805306535363</v>
      </c>
      <c r="EY18" s="539">
        <f t="shared" si="121"/>
        <v>832.07721762217557</v>
      </c>
      <c r="EZ18" s="19">
        <f t="shared" si="122"/>
        <v>57.951322504534524</v>
      </c>
      <c r="FA18" s="10">
        <f t="shared" si="123"/>
        <v>2.4096183993569449</v>
      </c>
      <c r="FB18" s="10">
        <f t="shared" si="124"/>
        <v>37.007423705892307</v>
      </c>
      <c r="FC18" s="539">
        <f t="shared" si="125"/>
        <v>890.02854012671003</v>
      </c>
      <c r="FD18" s="19">
        <f t="shared" si="126"/>
        <v>61.987433227072671</v>
      </c>
      <c r="FE18" s="10">
        <f t="shared" si="127"/>
        <v>2.5774400510217328</v>
      </c>
      <c r="FF18" s="10">
        <f t="shared" si="128"/>
        <v>39.584863756914039</v>
      </c>
      <c r="FG18" s="539">
        <f t="shared" si="129"/>
        <v>952.01597335378267</v>
      </c>
      <c r="FH18" s="19">
        <f t="shared" si="130"/>
        <v>66.304645209436472</v>
      </c>
      <c r="FI18" s="10">
        <f t="shared" si="131"/>
        <v>2.7569499047582733</v>
      </c>
      <c r="FJ18" s="10">
        <f t="shared" si="132"/>
        <v>42.341813661672312</v>
      </c>
      <c r="FK18" s="539">
        <f t="shared" si="133"/>
        <v>1018.3206185632191</v>
      </c>
      <c r="FL18" s="19">
        <f t="shared" si="134"/>
        <v>70.922536189628573</v>
      </c>
      <c r="FM18" s="10">
        <f t="shared" si="135"/>
        <v>2.9489620037267597</v>
      </c>
      <c r="FN18" s="10">
        <f t="shared" si="136"/>
        <v>45.290775665399075</v>
      </c>
      <c r="FO18" s="539">
        <f t="shared" si="137"/>
        <v>1089.2431547528479</v>
      </c>
      <c r="FP18" s="19">
        <f t="shared" si="138"/>
        <v>75.862047427912429</v>
      </c>
      <c r="FQ18" s="10">
        <f t="shared" si="139"/>
        <v>3.1543470863996852</v>
      </c>
      <c r="FR18" s="10">
        <f t="shared" si="140"/>
        <v>48.445122751798763</v>
      </c>
      <c r="FS18" s="539">
        <f t="shared" si="141"/>
        <v>1165.1052021807602</v>
      </c>
      <c r="FT18" s="19">
        <f t="shared" si="142"/>
        <v>81.145578671458026</v>
      </c>
      <c r="FU18" s="10">
        <f t="shared" si="143"/>
        <v>3.37403653519576</v>
      </c>
      <c r="FV18" s="10">
        <f t="shared" si="144"/>
        <v>51.81915928699452</v>
      </c>
      <c r="FW18" s="539">
        <f t="shared" si="145"/>
        <v>1246.2507808522182</v>
      </c>
      <c r="FX18" s="19">
        <f t="shared" si="146"/>
        <v>86.797089732949459</v>
      </c>
      <c r="FY18" s="10">
        <f t="shared" si="147"/>
        <v>3.6090266001226383</v>
      </c>
      <c r="FZ18" s="10">
        <f t="shared" si="148"/>
        <v>55.428185887117159</v>
      </c>
      <c r="GA18" s="539">
        <f t="shared" si="149"/>
        <v>1333.0478705851676</v>
      </c>
      <c r="GB18" s="19">
        <f t="shared" si="150"/>
        <v>92.842209143793809</v>
      </c>
      <c r="GC18" s="10">
        <f t="shared" si="151"/>
        <v>3.8603829165818633</v>
      </c>
      <c r="GD18" s="10">
        <f t="shared" si="152"/>
        <v>59.288568803699022</v>
      </c>
      <c r="GE18" s="539">
        <f t="shared" si="153"/>
        <v>1425.8900797289616</v>
      </c>
      <c r="GF18" s="19">
        <f t="shared" si="154"/>
        <v>99.308350374653116</v>
      </c>
      <c r="GG18" s="10">
        <f t="shared" si="155"/>
        <v>4.1292453378234146</v>
      </c>
      <c r="GH18" s="10">
        <f t="shared" si="156"/>
        <v>63.417814141522435</v>
      </c>
      <c r="GI18" s="539">
        <f t="shared" si="157"/>
        <v>1525.1984301036146</v>
      </c>
      <c r="GJ18" s="19">
        <f t="shared" si="158"/>
        <v>106.22483615033751</v>
      </c>
      <c r="GK18" s="10">
        <f t="shared" si="159"/>
        <v>4.4168331039641373</v>
      </c>
      <c r="GL18" s="10">
        <f t="shared" si="160"/>
        <v>67.834647245486565</v>
      </c>
      <c r="GM18" s="539">
        <f t="shared" si="161"/>
        <v>1631.4232662539519</v>
      </c>
      <c r="GN18" s="19">
        <f t="shared" si="162"/>
        <v>113.6230314228041</v>
      </c>
      <c r="GO18" s="10">
        <f t="shared" si="163"/>
        <v>4.7244503710105654</v>
      </c>
      <c r="GP18" s="10">
        <f t="shared" si="164"/>
        <v>72.559097616497127</v>
      </c>
      <c r="GQ18" s="539">
        <f t="shared" si="165"/>
        <v>1745.046297676756</v>
      </c>
      <c r="GR18" s="19">
        <f t="shared" si="166"/>
        <v>121.53648560526879</v>
      </c>
      <c r="GS18" s="10">
        <f t="shared" si="167"/>
        <v>5.0534921249592015</v>
      </c>
      <c r="GT18" s="10">
        <f t="shared" si="168"/>
        <v>77.612589741456333</v>
      </c>
      <c r="GU18" s="539">
        <f t="shared" si="169"/>
        <v>1866.5827832820248</v>
      </c>
      <c r="GV18" s="19">
        <f t="shared" si="170"/>
        <v>130.00108471243578</v>
      </c>
      <c r="GW18" s="10">
        <f t="shared" si="171"/>
        <v>5.4054505077935877</v>
      </c>
      <c r="GX18" s="10">
        <f t="shared" si="172"/>
        <v>83.018040249249921</v>
      </c>
      <c r="GY18" s="539">
        <f t="shared" si="173"/>
        <v>1996.5838679944607</v>
      </c>
      <c r="GZ18" s="19">
        <f t="shared" si="174"/>
        <v>139.055214096772</v>
      </c>
      <c r="HA18" s="10">
        <f t="shared" si="175"/>
        <v>5.7819215840653637</v>
      </c>
      <c r="HB18" s="10">
        <f t="shared" si="176"/>
        <v>88.79996183331528</v>
      </c>
      <c r="HC18" s="539">
        <f t="shared" si="177"/>
        <v>2135.6390820912325</v>
      </c>
      <c r="HD18" s="19">
        <f t="shared" si="178"/>
        <v>148.73993251880464</v>
      </c>
      <c r="HE18" s="10">
        <f t="shared" si="179"/>
        <v>6.184612578744475</v>
      </c>
      <c r="HF18" s="10">
        <f t="shared" si="180"/>
        <v>94.984574412059757</v>
      </c>
      <c r="HG18" s="539">
        <f t="shared" si="181"/>
        <v>2284.3790146100373</v>
      </c>
      <c r="HH18" s="19">
        <f t="shared" si="182"/>
        <v>159.09915834081713</v>
      </c>
      <c r="HI18" s="10">
        <f t="shared" si="183"/>
        <v>6.6153496191607948</v>
      </c>
      <c r="HJ18" s="10">
        <f t="shared" si="184"/>
        <v>101.59992403122055</v>
      </c>
      <c r="HK18" s="539">
        <f t="shared" si="185"/>
        <v>2443.4781729508545</v>
      </c>
      <c r="HL18" s="19">
        <f t="shared" si="186"/>
        <v>170.17986868829746</v>
      </c>
      <c r="HM18" s="10">
        <f t="shared" si="187"/>
        <v>7.0760860161454247</v>
      </c>
      <c r="HN18" s="10">
        <f t="shared" si="188"/>
        <v>108.67601004736598</v>
      </c>
      <c r="HO18" s="539">
        <f t="shared" si="189"/>
        <v>2613.6580416391516</v>
      </c>
      <c r="HP18" s="19">
        <f t="shared" si="190"/>
        <v>182.03231248229761</v>
      </c>
      <c r="HQ18" s="10">
        <f t="shared" si="191"/>
        <v>7.5689111219250567</v>
      </c>
      <c r="HR18" s="10">
        <f t="shared" si="192"/>
        <v>116.24492116929103</v>
      </c>
      <c r="HS18" s="539">
        <f t="shared" si="193"/>
        <v>2795.6903541214492</v>
      </c>
      <c r="HT18" s="19">
        <f t="shared" si="194"/>
        <v>194.71023830876564</v>
      </c>
      <c r="HU18" s="10">
        <f t="shared" si="195"/>
        <v>8.0960598049382799</v>
      </c>
      <c r="HV18" s="10">
        <f t="shared" si="196"/>
        <v>124.34098097422931</v>
      </c>
      <c r="HW18" s="539">
        <f t="shared" si="197"/>
        <v>2990.4005924302151</v>
      </c>
      <c r="HX18" s="19">
        <f t="shared" si="198"/>
        <v>208.27113815819487</v>
      </c>
      <c r="HY18" s="10">
        <f t="shared" si="199"/>
        <v>8.6599225845403272</v>
      </c>
      <c r="HZ18" s="10">
        <f t="shared" si="200"/>
        <v>133.00090355876964</v>
      </c>
      <c r="IA18" s="539">
        <f t="shared" si="201"/>
        <v>3198.6717305884099</v>
      </c>
      <c r="IB18" s="19">
        <f t="shared" si="202"/>
        <v>222.77650814090302</v>
      </c>
      <c r="IF18" s="660"/>
      <c r="IG18" s="1371">
        <f>Treasuries!K94</f>
        <v>2.47E-2</v>
      </c>
      <c r="IH18" s="1302">
        <v>15</v>
      </c>
      <c r="II18" s="539">
        <f>II9*II15</f>
        <v>199.31159999999997</v>
      </c>
      <c r="IJ18" s="539">
        <f>IJ15/IJ9</f>
        <v>14.308176100628931</v>
      </c>
      <c r="IK18" s="539">
        <f>IK9*IK15</f>
        <v>225.01540000000003</v>
      </c>
      <c r="IL18" s="539">
        <f>(IL9*(1+IL15))/(IL12-IL15)</f>
        <v>13.523611111111112</v>
      </c>
      <c r="IM18" s="1380">
        <v>1.01</v>
      </c>
      <c r="IN18" s="1374">
        <f>(IN9*(1+IN12))/(IN15-IN12)</f>
        <v>3945769294.3272729</v>
      </c>
      <c r="IO18" s="665"/>
      <c r="IP18" s="658">
        <v>0.1</v>
      </c>
      <c r="IY18"/>
    </row>
    <row r="19" spans="1:263">
      <c r="A19" s="1055"/>
      <c r="B19" s="20"/>
      <c r="C19" s="826" t="s">
        <v>2342</v>
      </c>
      <c r="D19" s="47" t="s">
        <v>369</v>
      </c>
      <c r="E19" s="396">
        <f t="shared" si="0"/>
        <v>18</v>
      </c>
      <c r="F19" s="242">
        <v>4</v>
      </c>
      <c r="G19" s="48">
        <f>'Update Stock Prices'!S19</f>
        <v>201846965.69920847</v>
      </c>
      <c r="H19" s="991">
        <f t="shared" si="27"/>
        <v>1.9816993464052287E-8</v>
      </c>
      <c r="I19" s="49">
        <f>'Update Stock Prices'!D19</f>
        <v>22.74</v>
      </c>
      <c r="J19" s="49">
        <f t="shared" si="1"/>
        <v>90.96</v>
      </c>
      <c r="K19" s="30">
        <v>77.900000000000006</v>
      </c>
      <c r="L19" s="49">
        <f t="shared" si="28"/>
        <v>13.059999999999988</v>
      </c>
      <c r="M19" s="50">
        <f t="shared" si="29"/>
        <v>0.16765083440308071</v>
      </c>
      <c r="N19" s="49">
        <f t="shared" si="30"/>
        <v>19.475000000000001</v>
      </c>
      <c r="O19" s="48">
        <f t="shared" si="2"/>
        <v>14</v>
      </c>
      <c r="P19" s="49">
        <f>IF(($B$11-$B$12)-(O19*I19)&lt;0,0,($B$11-$B$12)-(O19*I19))</f>
        <v>2.6500000000000341</v>
      </c>
      <c r="Q19" s="30">
        <f>12*0.1328125</f>
        <v>1.59375</v>
      </c>
      <c r="R19" s="49">
        <f t="shared" si="242"/>
        <v>1.7453798767967144E-2</v>
      </c>
      <c r="S19" s="49">
        <f t="shared" si="4"/>
        <v>6.375</v>
      </c>
      <c r="T19" s="49">
        <f t="shared" si="31"/>
        <v>0.53125</v>
      </c>
      <c r="U19" s="49" t="s">
        <v>56</v>
      </c>
      <c r="V19" s="50">
        <f t="shared" si="6"/>
        <v>7.008575197889183E-2</v>
      </c>
      <c r="W19" s="50">
        <f t="shared" si="7"/>
        <v>8.1835686777920399E-2</v>
      </c>
      <c r="X19" s="49">
        <f t="shared" si="246"/>
        <v>22.3125</v>
      </c>
      <c r="Y19" s="49">
        <f t="shared" si="32"/>
        <v>0.53125</v>
      </c>
      <c r="Z19" s="860">
        <f t="shared" si="9"/>
        <v>0</v>
      </c>
      <c r="AA19" s="860">
        <f t="shared" si="10"/>
        <v>167.21882352941176</v>
      </c>
      <c r="AB19" s="49">
        <f t="shared" si="11"/>
        <v>3802.5560470588234</v>
      </c>
      <c r="AC19" s="48">
        <v>1</v>
      </c>
      <c r="AD19" s="47" t="str">
        <f t="shared" si="12"/>
        <v>BPOPO</v>
      </c>
      <c r="AE19" s="49">
        <f t="shared" si="13"/>
        <v>90.96</v>
      </c>
      <c r="AF19" s="50" t="e">
        <f t="shared" si="14"/>
        <v>#REF!</v>
      </c>
      <c r="AG19" s="890" t="e">
        <f t="shared" si="15"/>
        <v>#REF!</v>
      </c>
      <c r="AH19" s="207" t="s">
        <v>375</v>
      </c>
      <c r="AI19" s="240">
        <f t="shared" si="16"/>
        <v>1.878232000829334E-2</v>
      </c>
      <c r="AJ19" s="11">
        <f t="shared" si="33"/>
        <v>5</v>
      </c>
      <c r="AK19" s="11">
        <v>1</v>
      </c>
      <c r="AL19" s="11"/>
      <c r="AM19" s="11"/>
      <c r="AN19" s="11"/>
      <c r="AO19" s="11"/>
      <c r="AP19" s="11"/>
      <c r="AQ19" s="11" t="str">
        <f>'Update Stock Prices'!Q19</f>
        <v>mid</v>
      </c>
      <c r="AR19" s="11"/>
      <c r="AS19" s="11"/>
      <c r="AT19" s="177" t="s">
        <v>2199</v>
      </c>
      <c r="AU19" s="420"/>
      <c r="AV19" s="420"/>
      <c r="AW19" s="8"/>
      <c r="AX19" s="27"/>
      <c r="AY19" s="376" t="s">
        <v>1460</v>
      </c>
      <c r="AZ19" s="601">
        <v>0.28999999999999998</v>
      </c>
      <c r="BA19" s="8"/>
      <c r="BC19" s="19"/>
      <c r="BD19" s="932"/>
      <c r="BE19" s="593">
        <f t="shared" si="17"/>
        <v>0</v>
      </c>
      <c r="BF19" s="725">
        <f t="shared" si="221"/>
        <v>423191.89907717286</v>
      </c>
      <c r="BG19" s="420" t="str">
        <f t="shared" ca="1" si="18"/>
        <v>M in college</v>
      </c>
      <c r="BH19" s="593">
        <f t="shared" ca="1" si="34"/>
        <v>20</v>
      </c>
      <c r="BI19" s="420">
        <f t="shared" ca="1" si="35"/>
        <v>54</v>
      </c>
      <c r="BJ19" s="420">
        <f t="shared" ca="1" si="35"/>
        <v>60</v>
      </c>
      <c r="BK19" s="420">
        <f t="shared" ca="1" si="36"/>
        <v>2034</v>
      </c>
      <c r="BL19" s="420" t="s">
        <v>1026</v>
      </c>
      <c r="BM19" s="19">
        <f t="shared" si="19"/>
        <v>563561.33408634528</v>
      </c>
      <c r="BN19" s="19">
        <f>EM149</f>
        <v>140369.43500917239</v>
      </c>
      <c r="BO19" s="20">
        <f>EN149</f>
        <v>7373.3270269952209</v>
      </c>
      <c r="BP19" s="183">
        <f t="shared" si="20"/>
        <v>5.2528009580671275E-2</v>
      </c>
      <c r="BQ19" s="19">
        <f t="shared" si="21"/>
        <v>614.44391891626844</v>
      </c>
      <c r="BS19" s="420" t="str">
        <f t="shared" si="37"/>
        <v>BPOPO</v>
      </c>
      <c r="BT19" s="425">
        <f t="shared" si="38"/>
        <v>4</v>
      </c>
      <c r="BU19" s="19">
        <f t="shared" si="39"/>
        <v>22.74</v>
      </c>
      <c r="BV19" s="19">
        <f t="shared" si="40"/>
        <v>90.96</v>
      </c>
      <c r="BW19" s="539">
        <f t="shared" si="41"/>
        <v>1.59375</v>
      </c>
      <c r="BX19" s="19">
        <f t="shared" si="42"/>
        <v>6.375</v>
      </c>
      <c r="BY19" s="10">
        <f t="shared" si="43"/>
        <v>0.28034300791556732</v>
      </c>
      <c r="BZ19" s="10">
        <f t="shared" si="44"/>
        <v>4.2803430079155671</v>
      </c>
      <c r="CA19" s="539">
        <f t="shared" si="45"/>
        <v>97.334999999999994</v>
      </c>
      <c r="CB19" s="19">
        <f t="shared" si="46"/>
        <v>6.821796668865435</v>
      </c>
      <c r="CC19" s="10">
        <f t="shared" si="47"/>
        <v>0.29999105843735424</v>
      </c>
      <c r="CD19" s="10">
        <f t="shared" si="48"/>
        <v>4.5803340663529211</v>
      </c>
      <c r="CE19" s="539">
        <f t="shared" si="49"/>
        <v>104.15679666886541</v>
      </c>
      <c r="CF19" s="19">
        <f t="shared" si="50"/>
        <v>7.2999074182499681</v>
      </c>
      <c r="CG19" s="10">
        <f t="shared" si="51"/>
        <v>0.32101615735487987</v>
      </c>
      <c r="CH19" s="10">
        <f t="shared" si="52"/>
        <v>4.9013502237078006</v>
      </c>
      <c r="CI19" s="539">
        <f t="shared" si="53"/>
        <v>111.45670408711538</v>
      </c>
      <c r="CJ19" s="19">
        <f t="shared" si="54"/>
        <v>7.8115269190343071</v>
      </c>
      <c r="CK19" s="10">
        <f t="shared" si="55"/>
        <v>0.34351481614047086</v>
      </c>
      <c r="CL19" s="10">
        <f t="shared" si="56"/>
        <v>5.2448650398482712</v>
      </c>
      <c r="CM19" s="539">
        <f t="shared" si="57"/>
        <v>119.26823100614968</v>
      </c>
      <c r="CN19" s="19">
        <f t="shared" si="58"/>
        <v>8.3590036572581816</v>
      </c>
      <c r="CO19" s="10">
        <f t="shared" si="59"/>
        <v>0.3675903103455665</v>
      </c>
      <c r="CP19" s="10">
        <f t="shared" si="60"/>
        <v>5.6124553501938381</v>
      </c>
      <c r="CQ19" s="539">
        <f t="shared" si="61"/>
        <v>127.62723466340788</v>
      </c>
      <c r="CR19" s="19">
        <f t="shared" si="62"/>
        <v>8.9448507143714302</v>
      </c>
      <c r="CS19" s="10">
        <f t="shared" si="63"/>
        <v>0.39335315366628981</v>
      </c>
      <c r="CT19" s="10">
        <f t="shared" si="64"/>
        <v>6.0058085038601279</v>
      </c>
      <c r="CU19" s="539">
        <f t="shared" si="65"/>
        <v>136.5720853777793</v>
      </c>
      <c r="CV19" s="19">
        <f t="shared" si="66"/>
        <v>9.5717573030270788</v>
      </c>
      <c r="CW19" s="10">
        <f t="shared" si="67"/>
        <v>0.42092160523426031</v>
      </c>
      <c r="CX19" s="10">
        <f t="shared" si="68"/>
        <v>6.4267301090943878</v>
      </c>
      <c r="CY19" s="539">
        <f t="shared" si="69"/>
        <v>146.14384268080636</v>
      </c>
      <c r="CZ19" s="19">
        <f t="shared" si="70"/>
        <v>10.242601111369181</v>
      </c>
      <c r="DA19" s="10">
        <f t="shared" si="71"/>
        <v>0.45042221246126568</v>
      </c>
      <c r="DB19" s="10">
        <f t="shared" si="72"/>
        <v>6.8771523215556538</v>
      </c>
      <c r="DC19" s="539">
        <f t="shared" si="73"/>
        <v>156.38644379217556</v>
      </c>
      <c r="DD19" s="19">
        <f t="shared" si="74"/>
        <v>10.960461512479323</v>
      </c>
      <c r="DE19" s="10">
        <f t="shared" si="75"/>
        <v>0.48199039192960969</v>
      </c>
      <c r="DF19" s="10">
        <f t="shared" si="76"/>
        <v>7.3591427134852632</v>
      </c>
      <c r="DG19" s="539">
        <f t="shared" si="77"/>
        <v>167.34690530465488</v>
      </c>
      <c r="DH19" s="19">
        <f t="shared" si="78"/>
        <v>11.728633699617138</v>
      </c>
      <c r="DI19" s="10">
        <f t="shared" si="79"/>
        <v>0.51577105099459708</v>
      </c>
      <c r="DJ19" s="10">
        <f t="shared" si="80"/>
        <v>7.8749137644798601</v>
      </c>
      <c r="DK19" s="539">
        <f t="shared" si="81"/>
        <v>179.075539004272</v>
      </c>
      <c r="DL19" s="19">
        <f t="shared" si="82"/>
        <v>12.550643812139777</v>
      </c>
      <c r="DM19" s="10">
        <f t="shared" si="83"/>
        <v>0.55191925295249677</v>
      </c>
      <c r="DN19" s="10">
        <f t="shared" si="84"/>
        <v>8.4268330174323562</v>
      </c>
      <c r="DO19" s="539">
        <f t="shared" si="85"/>
        <v>191.62618281641176</v>
      </c>
      <c r="DP19" s="19">
        <f t="shared" si="86"/>
        <v>13.430265121532818</v>
      </c>
      <c r="DQ19" s="10">
        <f t="shared" si="87"/>
        <v>0.59060092882730075</v>
      </c>
      <c r="DR19" s="10">
        <f t="shared" si="88"/>
        <v>9.0174339462596578</v>
      </c>
      <c r="DS19" s="539">
        <f t="shared" si="89"/>
        <v>205.0564479379446</v>
      </c>
      <c r="DT19" s="19">
        <f t="shared" si="90"/>
        <v>14.37153535185133</v>
      </c>
      <c r="DU19" s="10">
        <f t="shared" si="91"/>
        <v>0.63199363904359418</v>
      </c>
      <c r="DV19" s="10">
        <f t="shared" si="92"/>
        <v>9.6494275853032523</v>
      </c>
      <c r="DW19" s="539">
        <f t="shared" si="93"/>
        <v>219.42798328979595</v>
      </c>
      <c r="DX19" s="19">
        <f t="shared" si="94"/>
        <v>15.378775214077057</v>
      </c>
      <c r="DY19" s="10">
        <f t="shared" si="95"/>
        <v>0.67628738848184078</v>
      </c>
      <c r="DZ19" s="10">
        <f t="shared" si="96"/>
        <v>10.325714973785093</v>
      </c>
      <c r="EA19" s="539">
        <f t="shared" si="97"/>
        <v>234.806758503873</v>
      </c>
      <c r="EB19" s="19">
        <f t="shared" si="98"/>
        <v>16.456608239469993</v>
      </c>
      <c r="EC19" s="10">
        <f t="shared" si="99"/>
        <v>0.72368549865743159</v>
      </c>
      <c r="ED19" s="10">
        <f t="shared" si="100"/>
        <v>11.049400472442525</v>
      </c>
      <c r="EE19" s="539">
        <f t="shared" si="101"/>
        <v>251.263366743343</v>
      </c>
      <c r="EF19" s="19">
        <f t="shared" si="102"/>
        <v>17.609982002955274</v>
      </c>
      <c r="EG19" s="10">
        <f t="shared" si="103"/>
        <v>0.77440554102705694</v>
      </c>
      <c r="EH19" s="10">
        <f t="shared" si="104"/>
        <v>11.823806013469582</v>
      </c>
      <c r="EI19" s="539">
        <f t="shared" si="105"/>
        <v>268.87334874629829</v>
      </c>
      <c r="EJ19" s="19">
        <f t="shared" si="106"/>
        <v>18.844190833967147</v>
      </c>
      <c r="EK19" s="10">
        <f t="shared" si="107"/>
        <v>0.82868033570655886</v>
      </c>
      <c r="EL19" s="10">
        <f t="shared" si="108"/>
        <v>12.65248634917614</v>
      </c>
      <c r="EM19" s="539">
        <f t="shared" si="109"/>
        <v>287.7175395802654</v>
      </c>
      <c r="EN19" s="19">
        <f t="shared" si="110"/>
        <v>20.164900118999473</v>
      </c>
      <c r="EO19" s="10">
        <f t="shared" si="111"/>
        <v>0.88675902018467345</v>
      </c>
      <c r="EP19" s="10">
        <f t="shared" si="112"/>
        <v>13.539245369360813</v>
      </c>
      <c r="EQ19" s="539">
        <f t="shared" si="113"/>
        <v>307.88243969926486</v>
      </c>
      <c r="ER19" s="19">
        <f t="shared" si="114"/>
        <v>21.578172307418797</v>
      </c>
      <c r="ES19" s="10">
        <f t="shared" si="115"/>
        <v>0.94890819293838158</v>
      </c>
      <c r="ET19" s="10">
        <f t="shared" si="116"/>
        <v>14.488153562299194</v>
      </c>
      <c r="EU19" s="539">
        <f t="shared" si="117"/>
        <v>329.46061200668368</v>
      </c>
      <c r="EV19" s="19">
        <f t="shared" si="118"/>
        <v>23.090494739914341</v>
      </c>
      <c r="EW19" s="10">
        <f t="shared" si="119"/>
        <v>1.0154131371993995</v>
      </c>
      <c r="EX19" s="10">
        <f t="shared" si="120"/>
        <v>15.503566699498593</v>
      </c>
      <c r="EY19" s="539">
        <f t="shared" si="121"/>
        <v>352.55110674659801</v>
      </c>
      <c r="EZ19" s="19">
        <f t="shared" si="122"/>
        <v>24.708809427325882</v>
      </c>
      <c r="FA19" s="10">
        <f t="shared" si="123"/>
        <v>1.0865791304892649</v>
      </c>
      <c r="FB19" s="10">
        <f t="shared" si="124"/>
        <v>16.590145829987858</v>
      </c>
      <c r="FC19" s="539">
        <f t="shared" si="125"/>
        <v>377.25991617392384</v>
      </c>
      <c r="FD19" s="19">
        <f t="shared" si="126"/>
        <v>26.44054491654315</v>
      </c>
      <c r="FE19" s="10">
        <f t="shared" si="127"/>
        <v>1.1627328459341755</v>
      </c>
      <c r="FF19" s="10">
        <f t="shared" si="128"/>
        <v>17.752878675922034</v>
      </c>
      <c r="FG19" s="539">
        <f t="shared" si="129"/>
        <v>403.700461090467</v>
      </c>
      <c r="FH19" s="19">
        <f t="shared" si="130"/>
        <v>28.293650389750741</v>
      </c>
      <c r="FI19" s="10">
        <f t="shared" si="131"/>
        <v>1.2442238517920292</v>
      </c>
      <c r="FJ19" s="10">
        <f t="shared" si="132"/>
        <v>18.997102527714063</v>
      </c>
      <c r="FK19" s="539">
        <f t="shared" si="133"/>
        <v>431.99411148021778</v>
      </c>
      <c r="FL19" s="19">
        <f t="shared" si="134"/>
        <v>30.276632153544288</v>
      </c>
      <c r="FM19" s="10">
        <f t="shared" si="135"/>
        <v>1.3314262160749468</v>
      </c>
      <c r="FN19" s="10">
        <f t="shared" si="136"/>
        <v>20.328528743789008</v>
      </c>
      <c r="FO19" s="539">
        <f t="shared" si="137"/>
        <v>462.27074363376198</v>
      </c>
      <c r="FP19" s="19">
        <f t="shared" si="138"/>
        <v>32.398592685413732</v>
      </c>
      <c r="FQ19" s="10">
        <f t="shared" si="139"/>
        <v>1.4247402236329698</v>
      </c>
      <c r="FR19" s="10">
        <f t="shared" si="140"/>
        <v>21.753268967421977</v>
      </c>
      <c r="FS19" s="539">
        <f t="shared" si="141"/>
        <v>494.66933631917573</v>
      </c>
      <c r="FT19" s="19">
        <f t="shared" si="142"/>
        <v>34.669272416828775</v>
      </c>
      <c r="FU19" s="10">
        <f t="shared" si="143"/>
        <v>1.524594213580861</v>
      </c>
      <c r="FV19" s="10">
        <f t="shared" si="144"/>
        <v>23.277863181002839</v>
      </c>
      <c r="FW19" s="539">
        <f t="shared" si="145"/>
        <v>529.33860873600452</v>
      </c>
      <c r="FX19" s="19">
        <f t="shared" si="146"/>
        <v>37.099094444723278</v>
      </c>
      <c r="FY19" s="10">
        <f t="shared" si="147"/>
        <v>1.631446545502343</v>
      </c>
      <c r="FZ19" s="10">
        <f t="shared" si="148"/>
        <v>24.909309726505182</v>
      </c>
      <c r="GA19" s="539">
        <f t="shared" si="149"/>
        <v>566.43770318072779</v>
      </c>
      <c r="GB19" s="19">
        <f t="shared" si="150"/>
        <v>39.699212376617631</v>
      </c>
      <c r="GC19" s="10">
        <f t="shared" si="151"/>
        <v>1.7457877034572398</v>
      </c>
      <c r="GD19" s="10">
        <f t="shared" si="152"/>
        <v>26.655097429962421</v>
      </c>
      <c r="GE19" s="539">
        <f t="shared" si="153"/>
        <v>606.13691555734545</v>
      </c>
      <c r="GF19" s="19">
        <f t="shared" si="154"/>
        <v>42.481561529002612</v>
      </c>
      <c r="GG19" s="10">
        <f t="shared" si="155"/>
        <v>1.8681425474495432</v>
      </c>
      <c r="GH19" s="10">
        <f t="shared" si="156"/>
        <v>28.523239977411965</v>
      </c>
      <c r="GI19" s="539">
        <f t="shared" si="157"/>
        <v>648.61847708634809</v>
      </c>
      <c r="GJ19" s="19">
        <f t="shared" si="158"/>
        <v>45.458913714000317</v>
      </c>
      <c r="GK19" s="10">
        <f t="shared" si="159"/>
        <v>1.999072722691307</v>
      </c>
      <c r="GL19" s="10">
        <f t="shared" si="160"/>
        <v>30.522312700103271</v>
      </c>
      <c r="GM19" s="539">
        <f t="shared" si="161"/>
        <v>694.07739080034833</v>
      </c>
      <c r="GN19" s="19">
        <f t="shared" si="162"/>
        <v>48.644935865789591</v>
      </c>
      <c r="GO19" s="10">
        <f t="shared" si="163"/>
        <v>2.1391792377216179</v>
      </c>
      <c r="GP19" s="10">
        <f t="shared" si="164"/>
        <v>32.661491937824891</v>
      </c>
      <c r="GQ19" s="539">
        <f t="shared" si="165"/>
        <v>742.72232666613797</v>
      </c>
      <c r="GR19" s="19">
        <f t="shared" si="166"/>
        <v>52.054252775908424</v>
      </c>
      <c r="GS19" s="10">
        <f t="shared" si="167"/>
        <v>2.2891052232149702</v>
      </c>
      <c r="GT19" s="10">
        <f t="shared" si="168"/>
        <v>34.950597161039859</v>
      </c>
      <c r="GU19" s="539">
        <f t="shared" si="169"/>
        <v>794.77657944204634</v>
      </c>
      <c r="GV19" s="19">
        <f t="shared" si="170"/>
        <v>55.702514225407278</v>
      </c>
      <c r="GW19" s="10">
        <f t="shared" si="171"/>
        <v>2.4495388841428003</v>
      </c>
      <c r="GX19" s="10">
        <f t="shared" si="172"/>
        <v>37.400136045182663</v>
      </c>
      <c r="GY19" s="539">
        <f t="shared" si="173"/>
        <v>850.47909366745364</v>
      </c>
      <c r="GZ19" s="19">
        <f t="shared" si="174"/>
        <v>59.606466822009871</v>
      </c>
      <c r="HA19" s="10">
        <f t="shared" si="175"/>
        <v>2.6212166588394843</v>
      </c>
      <c r="HB19" s="10">
        <f t="shared" si="176"/>
        <v>40.021352704022149</v>
      </c>
      <c r="HC19" s="539">
        <f t="shared" si="177"/>
        <v>910.08556048946366</v>
      </c>
      <c r="HD19" s="19">
        <f t="shared" si="178"/>
        <v>63.784030872035302</v>
      </c>
      <c r="HE19" s="10">
        <f t="shared" si="179"/>
        <v>2.8049265994738479</v>
      </c>
      <c r="HF19" s="10">
        <f t="shared" si="180"/>
        <v>42.826279303495994</v>
      </c>
      <c r="HG19" s="539">
        <f t="shared" si="181"/>
        <v>973.86959136149881</v>
      </c>
      <c r="HH19" s="19">
        <f t="shared" si="182"/>
        <v>68.254382639946741</v>
      </c>
      <c r="HI19" s="10">
        <f t="shared" si="183"/>
        <v>3.0015119894435682</v>
      </c>
      <c r="HJ19" s="10">
        <f t="shared" si="184"/>
        <v>45.827791292939565</v>
      </c>
      <c r="HK19" s="539">
        <f t="shared" si="185"/>
        <v>1042.1239740014457</v>
      </c>
      <c r="HL19" s="19">
        <f t="shared" si="186"/>
        <v>73.038042373122437</v>
      </c>
      <c r="HM19" s="10">
        <f t="shared" si="187"/>
        <v>3.2118752142973808</v>
      </c>
      <c r="HN19" s="10">
        <f t="shared" si="188"/>
        <v>49.039666507236944</v>
      </c>
      <c r="HO19" s="539">
        <f t="shared" si="189"/>
        <v>1115.1620163745681</v>
      </c>
      <c r="HP19" s="19">
        <f t="shared" si="190"/>
        <v>78.156968495908885</v>
      </c>
      <c r="HQ19" s="10">
        <f t="shared" si="191"/>
        <v>3.436981903953777</v>
      </c>
      <c r="HR19" s="10">
        <f t="shared" si="192"/>
        <v>52.476648411190723</v>
      </c>
      <c r="HS19" s="539">
        <f t="shared" si="193"/>
        <v>1193.3189848704769</v>
      </c>
      <c r="HT19" s="19">
        <f t="shared" si="194"/>
        <v>83.634658405335216</v>
      </c>
      <c r="HU19" s="10">
        <f t="shared" si="195"/>
        <v>3.6778653652302209</v>
      </c>
      <c r="HV19" s="10">
        <f t="shared" si="196"/>
        <v>56.154513776420941</v>
      </c>
      <c r="HW19" s="539">
        <f t="shared" si="197"/>
        <v>1276.9536432758121</v>
      </c>
      <c r="HX19" s="19">
        <f t="shared" si="198"/>
        <v>89.496256331170869</v>
      </c>
      <c r="HY19" s="10">
        <f t="shared" si="199"/>
        <v>3.9356313250295019</v>
      </c>
      <c r="HZ19" s="10">
        <f t="shared" si="200"/>
        <v>60.090145101450446</v>
      </c>
      <c r="IA19" s="539">
        <f t="shared" si="201"/>
        <v>1366.4498996069831</v>
      </c>
      <c r="IB19" s="19">
        <f t="shared" si="202"/>
        <v>95.76866875543665</v>
      </c>
      <c r="IC19" s="11"/>
      <c r="IF19" s="660"/>
      <c r="IG19" s="1301"/>
      <c r="IH19" s="540"/>
      <c r="II19" s="539" t="str">
        <f>IF(II18&lt;IG4,"Overvalued","Undervalued")</f>
        <v>Overvalued</v>
      </c>
      <c r="IJ19" s="539" t="str">
        <f>IF(IJ18&lt;IG4,"Overvalued","Undervalued")</f>
        <v>Overvalued</v>
      </c>
      <c r="IK19" s="539" t="str">
        <f>IF(IK18&lt;IG4,"Overvalued","Undervalued")</f>
        <v>Undervalued</v>
      </c>
      <c r="IL19" s="540" t="str">
        <f>IF(IL18&lt;IG4,"Overvalued","Undervalued")</f>
        <v>Overvalued</v>
      </c>
      <c r="IM19" s="540"/>
      <c r="IN19" s="540"/>
      <c r="IO19" s="665"/>
      <c r="IP19" s="236"/>
      <c r="IY19"/>
    </row>
    <row r="20" spans="1:263" s="11" customFormat="1">
      <c r="A20" s="20"/>
      <c r="B20" s="20"/>
      <c r="C20" s="826" t="s">
        <v>2342</v>
      </c>
      <c r="D20" s="47" t="s">
        <v>370</v>
      </c>
      <c r="E20" s="396">
        <f t="shared" si="0"/>
        <v>16</v>
      </c>
      <c r="F20" s="242">
        <v>4</v>
      </c>
      <c r="G20" s="48">
        <f>'Update Stock Prices'!S20</f>
        <v>179507545.67116758</v>
      </c>
      <c r="H20" s="991">
        <f t="shared" si="27"/>
        <v>2.2283185840707965E-8</v>
      </c>
      <c r="I20" s="49">
        <f>'Update Stock Prices'!D20</f>
        <v>25.18</v>
      </c>
      <c r="J20" s="49">
        <f t="shared" si="1"/>
        <v>100.72</v>
      </c>
      <c r="K20" s="30">
        <v>95.4</v>
      </c>
      <c r="L20" s="49">
        <f t="shared" si="28"/>
        <v>5.3199999999999932</v>
      </c>
      <c r="M20" s="50">
        <f t="shared" si="29"/>
        <v>5.5765199161425499E-2</v>
      </c>
      <c r="N20" s="49">
        <f t="shared" si="30"/>
        <v>23.85</v>
      </c>
      <c r="O20" s="48">
        <f t="shared" si="2"/>
        <v>12</v>
      </c>
      <c r="P20" s="49">
        <f t="shared" si="3"/>
        <v>18.850000000000023</v>
      </c>
      <c r="Q20" s="30">
        <f>12*0.171975</f>
        <v>2.0636999999999999</v>
      </c>
      <c r="R20" s="49">
        <f t="shared" si="242"/>
        <v>2.2600410677618067E-2</v>
      </c>
      <c r="S20" s="49">
        <f t="shared" si="4"/>
        <v>8.2547999999999995</v>
      </c>
      <c r="T20" s="49">
        <f t="shared" si="31"/>
        <v>0.68789999999999996</v>
      </c>
      <c r="U20" s="49" t="s">
        <v>56</v>
      </c>
      <c r="V20" s="50">
        <f t="shared" si="6"/>
        <v>8.1957903097696586E-2</v>
      </c>
      <c r="W20" s="50">
        <f t="shared" si="7"/>
        <v>8.6528301886792447E-2</v>
      </c>
      <c r="X20" s="49">
        <f t="shared" si="246"/>
        <v>24.764399999999998</v>
      </c>
      <c r="Y20" s="49">
        <f t="shared" si="32"/>
        <v>0.68789999999999996</v>
      </c>
      <c r="Z20" s="860">
        <f t="shared" si="9"/>
        <v>0</v>
      </c>
      <c r="AA20" s="860">
        <f t="shared" si="10"/>
        <v>142.41663032417503</v>
      </c>
      <c r="AB20" s="49">
        <f t="shared" si="11"/>
        <v>3586.0507515627273</v>
      </c>
      <c r="AC20" s="48">
        <v>1</v>
      </c>
      <c r="AD20" s="47" t="str">
        <f t="shared" si="12"/>
        <v>BPOPP</v>
      </c>
      <c r="AE20" s="49">
        <f t="shared" si="13"/>
        <v>100.72</v>
      </c>
      <c r="AF20" s="50" t="e">
        <f t="shared" si="14"/>
        <v>#REF!</v>
      </c>
      <c r="AG20" s="890" t="e">
        <f t="shared" si="15"/>
        <v>#REF!</v>
      </c>
      <c r="AH20" s="207" t="s">
        <v>376</v>
      </c>
      <c r="AI20" s="240">
        <f t="shared" si="16"/>
        <v>2.3029248520861512E-2</v>
      </c>
      <c r="AJ20" s="11">
        <f t="shared" si="33"/>
        <v>5</v>
      </c>
      <c r="AK20" s="11">
        <v>1</v>
      </c>
      <c r="AQ20" s="11" t="str">
        <f>'Update Stock Prices'!Q20</f>
        <v>mid</v>
      </c>
      <c r="AT20" s="177" t="s">
        <v>1156</v>
      </c>
      <c r="AU20" s="420"/>
      <c r="AW20" s="8"/>
      <c r="AY20" s="224" t="s">
        <v>1219</v>
      </c>
      <c r="AZ20" s="602">
        <f>AZ5/1000</f>
        <v>20.970436557320003</v>
      </c>
      <c r="BA20" s="27"/>
      <c r="BB20" s="19"/>
      <c r="BD20" s="932"/>
      <c r="BE20" s="593">
        <f t="shared" si="17"/>
        <v>0</v>
      </c>
      <c r="BF20" s="725">
        <f t="shared" si="221"/>
        <v>442614.1070587163</v>
      </c>
      <c r="BG20" s="420" t="str">
        <f t="shared" ca="1" si="18"/>
        <v>M in college</v>
      </c>
      <c r="BH20" s="593">
        <f t="shared" ca="1" si="34"/>
        <v>21</v>
      </c>
      <c r="BI20" s="420">
        <f t="shared" ca="1" si="35"/>
        <v>55</v>
      </c>
      <c r="BJ20" s="420">
        <f t="shared" ca="1" si="35"/>
        <v>61</v>
      </c>
      <c r="BK20" s="420">
        <f t="shared" ca="1" si="36"/>
        <v>2035</v>
      </c>
      <c r="BL20" s="420" t="s">
        <v>1027</v>
      </c>
      <c r="BM20" s="19">
        <f t="shared" si="19"/>
        <v>590356.86909488391</v>
      </c>
      <c r="BN20" s="19">
        <f>EQ149</f>
        <v>147742.76203616761</v>
      </c>
      <c r="BO20" s="20">
        <f>ER149</f>
        <v>7895.4588106124138</v>
      </c>
      <c r="BP20" s="183">
        <f t="shared" si="20"/>
        <v>5.3440579435489341E-2</v>
      </c>
      <c r="BQ20" s="19">
        <f t="shared" si="21"/>
        <v>657.95490088436782</v>
      </c>
      <c r="BR20" s="16"/>
      <c r="BS20" s="420" t="str">
        <f t="shared" si="37"/>
        <v>BPOPP</v>
      </c>
      <c r="BT20" s="425">
        <f t="shared" si="38"/>
        <v>4</v>
      </c>
      <c r="BU20" s="19">
        <f t="shared" si="39"/>
        <v>25.18</v>
      </c>
      <c r="BV20" s="19">
        <f t="shared" si="40"/>
        <v>100.72</v>
      </c>
      <c r="BW20" s="539">
        <f t="shared" si="41"/>
        <v>2.0636999999999999</v>
      </c>
      <c r="BX20" s="19">
        <f t="shared" si="42"/>
        <v>8.2547999999999995</v>
      </c>
      <c r="BY20" s="10">
        <f t="shared" si="43"/>
        <v>0.32783161239078634</v>
      </c>
      <c r="BZ20" s="10">
        <f t="shared" si="44"/>
        <v>4.3278316123907867</v>
      </c>
      <c r="CA20" s="539">
        <f t="shared" si="45"/>
        <v>108.9748</v>
      </c>
      <c r="CB20" s="19">
        <f t="shared" si="46"/>
        <v>8.9313460984908666</v>
      </c>
      <c r="CC20" s="10">
        <f t="shared" si="47"/>
        <v>0.35470000391147205</v>
      </c>
      <c r="CD20" s="10">
        <f t="shared" si="48"/>
        <v>4.682531616302259</v>
      </c>
      <c r="CE20" s="539">
        <f t="shared" si="49"/>
        <v>117.90614609849088</v>
      </c>
      <c r="CF20" s="19">
        <f t="shared" si="50"/>
        <v>9.6633404965629719</v>
      </c>
      <c r="CG20" s="10">
        <f t="shared" si="51"/>
        <v>0.38377047246080109</v>
      </c>
      <c r="CH20" s="10">
        <f t="shared" si="52"/>
        <v>5.0663020887630603</v>
      </c>
      <c r="CI20" s="539">
        <f t="shared" si="53"/>
        <v>127.56948659505386</v>
      </c>
      <c r="CJ20" s="19">
        <f t="shared" si="54"/>
        <v>10.455327620580327</v>
      </c>
      <c r="CK20" s="10">
        <f t="shared" si="55"/>
        <v>0.41522349565450067</v>
      </c>
      <c r="CL20" s="10">
        <f t="shared" si="56"/>
        <v>5.481525584417561</v>
      </c>
      <c r="CM20" s="539">
        <f t="shared" si="57"/>
        <v>138.02481421563419</v>
      </c>
      <c r="CN20" s="19">
        <f t="shared" si="58"/>
        <v>11.31222434856252</v>
      </c>
      <c r="CO20" s="10">
        <f t="shared" si="59"/>
        <v>0.44925434267523906</v>
      </c>
      <c r="CP20" s="10">
        <f t="shared" si="60"/>
        <v>5.9307799270928001</v>
      </c>
      <c r="CQ20" s="539">
        <f t="shared" si="61"/>
        <v>149.33703856419672</v>
      </c>
      <c r="CR20" s="19">
        <f t="shared" si="62"/>
        <v>12.23935053554141</v>
      </c>
      <c r="CS20" s="10">
        <f t="shared" si="63"/>
        <v>0.48607428655843565</v>
      </c>
      <c r="CT20" s="10">
        <f t="shared" si="64"/>
        <v>6.4168542136512361</v>
      </c>
      <c r="CU20" s="539">
        <f t="shared" si="65"/>
        <v>161.57638909973812</v>
      </c>
      <c r="CV20" s="19">
        <f t="shared" si="66"/>
        <v>13.242462040712056</v>
      </c>
      <c r="CW20" s="10">
        <f t="shared" si="67"/>
        <v>0.52591191583447405</v>
      </c>
      <c r="CX20" s="10">
        <f t="shared" si="68"/>
        <v>6.9427661294857099</v>
      </c>
      <c r="CY20" s="539">
        <f t="shared" si="69"/>
        <v>174.81885114045016</v>
      </c>
      <c r="CZ20" s="19">
        <f t="shared" si="70"/>
        <v>14.32778646141966</v>
      </c>
      <c r="DA20" s="10">
        <f t="shared" si="71"/>
        <v>0.5690145536703598</v>
      </c>
      <c r="DB20" s="10">
        <f t="shared" si="72"/>
        <v>7.5117806831560694</v>
      </c>
      <c r="DC20" s="539">
        <f t="shared" si="73"/>
        <v>189.14663760186983</v>
      </c>
      <c r="DD20" s="19">
        <f t="shared" si="74"/>
        <v>15.50206179582918</v>
      </c>
      <c r="DE20" s="10">
        <f t="shared" si="75"/>
        <v>0.61564979332125414</v>
      </c>
      <c r="DF20" s="10">
        <f t="shared" si="76"/>
        <v>8.1274304764773238</v>
      </c>
      <c r="DG20" s="539">
        <f t="shared" si="77"/>
        <v>204.648699397699</v>
      </c>
      <c r="DH20" s="19">
        <f t="shared" si="78"/>
        <v>16.772578274306252</v>
      </c>
      <c r="DI20" s="10">
        <f t="shared" si="79"/>
        <v>0.66610715942439447</v>
      </c>
      <c r="DJ20" s="10">
        <f t="shared" si="80"/>
        <v>8.7935376359017177</v>
      </c>
      <c r="DK20" s="539">
        <f t="shared" si="81"/>
        <v>221.42127767200526</v>
      </c>
      <c r="DL20" s="19">
        <f t="shared" si="82"/>
        <v>18.147223619210372</v>
      </c>
      <c r="DM20" s="10">
        <f t="shared" si="83"/>
        <v>0.72069990544918083</v>
      </c>
      <c r="DN20" s="10">
        <f t="shared" si="84"/>
        <v>9.5142375413508979</v>
      </c>
      <c r="DO20" s="539">
        <f t="shared" si="85"/>
        <v>239.5685012912156</v>
      </c>
      <c r="DP20" s="19">
        <f t="shared" si="86"/>
        <v>19.634532014085845</v>
      </c>
      <c r="DQ20" s="10">
        <f t="shared" si="87"/>
        <v>0.77976695846250377</v>
      </c>
      <c r="DR20" s="10">
        <f t="shared" si="88"/>
        <v>10.294004499813402</v>
      </c>
      <c r="DS20" s="539">
        <f t="shared" si="89"/>
        <v>259.20303330530146</v>
      </c>
      <c r="DT20" s="19">
        <f t="shared" si="90"/>
        <v>21.243737086264918</v>
      </c>
      <c r="DU20" s="10">
        <f t="shared" si="91"/>
        <v>0.8436750232829594</v>
      </c>
      <c r="DV20" s="10">
        <f t="shared" si="92"/>
        <v>11.137679523096361</v>
      </c>
      <c r="DW20" s="539">
        <f t="shared" si="93"/>
        <v>280.44677039156636</v>
      </c>
      <c r="DX20" s="19">
        <f t="shared" si="94"/>
        <v>22.984829231813958</v>
      </c>
      <c r="DY20" s="10">
        <f t="shared" si="95"/>
        <v>0.91282085908713095</v>
      </c>
      <c r="DZ20" s="10">
        <f t="shared" si="96"/>
        <v>12.050500382183492</v>
      </c>
      <c r="EA20" s="539">
        <f t="shared" si="97"/>
        <v>303.43159962338029</v>
      </c>
      <c r="EB20" s="19">
        <f t="shared" si="98"/>
        <v>24.86861763871207</v>
      </c>
      <c r="EC20" s="10">
        <f t="shared" si="99"/>
        <v>0.98763374260175019</v>
      </c>
      <c r="ED20" s="10">
        <f t="shared" si="100"/>
        <v>13.038134124785241</v>
      </c>
      <c r="EE20" s="539">
        <f t="shared" si="101"/>
        <v>328.30021726209236</v>
      </c>
      <c r="EF20" s="19">
        <f t="shared" si="102"/>
        <v>26.906797393319302</v>
      </c>
      <c r="EG20" s="10">
        <f t="shared" si="103"/>
        <v>1.0685781331739199</v>
      </c>
      <c r="EH20" s="10">
        <f t="shared" si="104"/>
        <v>14.106712257959162</v>
      </c>
      <c r="EI20" s="539">
        <f t="shared" si="105"/>
        <v>355.20701465541168</v>
      </c>
      <c r="EJ20" s="19">
        <f t="shared" si="106"/>
        <v>29.112022086750319</v>
      </c>
      <c r="EK20" s="10">
        <f t="shared" si="107"/>
        <v>1.1561565562649054</v>
      </c>
      <c r="EL20" s="10">
        <f t="shared" si="108"/>
        <v>15.262868814224067</v>
      </c>
      <c r="EM20" s="539">
        <f t="shared" si="109"/>
        <v>384.31903674216198</v>
      </c>
      <c r="EN20" s="19">
        <f t="shared" si="110"/>
        <v>31.497982371914205</v>
      </c>
      <c r="EO20" s="10">
        <f t="shared" si="111"/>
        <v>1.2509127232690311</v>
      </c>
      <c r="EP20" s="10">
        <f t="shared" si="112"/>
        <v>16.513781537493099</v>
      </c>
      <c r="EQ20" s="539">
        <f t="shared" si="113"/>
        <v>415.81701911407623</v>
      </c>
      <c r="ER20" s="19">
        <f t="shared" si="114"/>
        <v>34.079490958924502</v>
      </c>
      <c r="ES20" s="10">
        <f t="shared" si="115"/>
        <v>1.35343490702639</v>
      </c>
      <c r="ET20" s="10">
        <f t="shared" si="116"/>
        <v>17.867216444519489</v>
      </c>
      <c r="EU20" s="539">
        <f t="shared" si="117"/>
        <v>449.89651007300074</v>
      </c>
      <c r="EV20" s="19">
        <f t="shared" si="118"/>
        <v>36.872574576554868</v>
      </c>
      <c r="EW20" s="10">
        <f t="shared" si="119"/>
        <v>1.4643595939854992</v>
      </c>
      <c r="EX20" s="10">
        <f t="shared" si="120"/>
        <v>19.331576038504988</v>
      </c>
      <c r="EY20" s="539">
        <f t="shared" si="121"/>
        <v>486.76908464955557</v>
      </c>
      <c r="EZ20" s="19">
        <f t="shared" si="122"/>
        <v>39.894573470662742</v>
      </c>
      <c r="FA20" s="10">
        <f t="shared" si="123"/>
        <v>1.584375435689545</v>
      </c>
      <c r="FB20" s="10">
        <f t="shared" si="124"/>
        <v>20.915951474194532</v>
      </c>
      <c r="FC20" s="539">
        <f t="shared" si="125"/>
        <v>526.66365812021832</v>
      </c>
      <c r="FD20" s="19">
        <f t="shared" si="126"/>
        <v>43.164249057295251</v>
      </c>
      <c r="FE20" s="10">
        <f t="shared" si="127"/>
        <v>1.7142275241181593</v>
      </c>
      <c r="FF20" s="10">
        <f t="shared" si="128"/>
        <v>22.63017899831269</v>
      </c>
      <c r="FG20" s="539">
        <f t="shared" si="129"/>
        <v>569.82790717751357</v>
      </c>
      <c r="FH20" s="19">
        <f t="shared" si="130"/>
        <v>46.701900398817898</v>
      </c>
      <c r="FI20" s="10">
        <f t="shared" si="131"/>
        <v>1.8547220174272399</v>
      </c>
      <c r="FJ20" s="10">
        <f t="shared" si="132"/>
        <v>24.484901015739929</v>
      </c>
      <c r="FK20" s="539">
        <f t="shared" si="133"/>
        <v>616.52980757633145</v>
      </c>
      <c r="FL20" s="19">
        <f t="shared" si="134"/>
        <v>50.529490226182489</v>
      </c>
      <c r="FM20" s="10">
        <f t="shared" si="135"/>
        <v>2.0067311448047058</v>
      </c>
      <c r="FN20" s="10">
        <f t="shared" si="136"/>
        <v>26.491632160544636</v>
      </c>
      <c r="FO20" s="539">
        <f t="shared" si="137"/>
        <v>667.05929780251392</v>
      </c>
      <c r="FP20" s="19">
        <f t="shared" si="138"/>
        <v>54.670781289715961</v>
      </c>
      <c r="FQ20" s="10">
        <f t="shared" si="139"/>
        <v>2.1711986215137395</v>
      </c>
      <c r="FR20" s="10">
        <f t="shared" si="140"/>
        <v>28.662830782058375</v>
      </c>
      <c r="FS20" s="539">
        <f t="shared" si="141"/>
        <v>721.73007909222986</v>
      </c>
      <c r="FT20" s="19">
        <f t="shared" si="142"/>
        <v>59.151483884933867</v>
      </c>
      <c r="FU20" s="10">
        <f t="shared" si="143"/>
        <v>2.349145507741615</v>
      </c>
      <c r="FV20" s="10">
        <f t="shared" si="144"/>
        <v>31.011976289799989</v>
      </c>
      <c r="FW20" s="539">
        <f t="shared" si="145"/>
        <v>780.88156297716375</v>
      </c>
      <c r="FX20" s="19">
        <f t="shared" si="146"/>
        <v>63.999415469260235</v>
      </c>
      <c r="FY20" s="10">
        <f t="shared" si="147"/>
        <v>2.5416765476274916</v>
      </c>
      <c r="FZ20" s="10">
        <f t="shared" si="148"/>
        <v>33.553652837427478</v>
      </c>
      <c r="GA20" s="539">
        <f t="shared" si="149"/>
        <v>844.88097844642391</v>
      </c>
      <c r="GB20" s="19">
        <f t="shared" si="150"/>
        <v>69.24467336059908</v>
      </c>
      <c r="GC20" s="10">
        <f t="shared" si="151"/>
        <v>2.7499870278236331</v>
      </c>
      <c r="GD20" s="10">
        <f t="shared" si="152"/>
        <v>36.303639865251114</v>
      </c>
      <c r="GE20" s="539">
        <f t="shared" si="153"/>
        <v>914.12565180702302</v>
      </c>
      <c r="GF20" s="19">
        <f t="shared" si="154"/>
        <v>74.919821589918712</v>
      </c>
      <c r="GG20" s="10">
        <f t="shared" si="155"/>
        <v>2.9753701981699252</v>
      </c>
      <c r="GH20" s="10">
        <f t="shared" si="156"/>
        <v>39.27901006342104</v>
      </c>
      <c r="GI20" s="539">
        <f t="shared" si="157"/>
        <v>989.04547339694182</v>
      </c>
      <c r="GJ20" s="19">
        <f t="shared" si="158"/>
        <v>81.060093067881994</v>
      </c>
      <c r="GK20" s="10">
        <f t="shared" si="159"/>
        <v>3.2192253005513103</v>
      </c>
      <c r="GL20" s="10">
        <f t="shared" si="160"/>
        <v>42.498235363972348</v>
      </c>
      <c r="GM20" s="539">
        <f t="shared" si="161"/>
        <v>1070.1055664648238</v>
      </c>
      <c r="GN20" s="19">
        <f t="shared" si="162"/>
        <v>87.703608320629726</v>
      </c>
      <c r="GO20" s="10">
        <f t="shared" si="163"/>
        <v>3.4830662557835477</v>
      </c>
      <c r="GP20" s="10">
        <f t="shared" si="164"/>
        <v>45.981301619755897</v>
      </c>
      <c r="GQ20" s="539">
        <f t="shared" si="165"/>
        <v>1157.8091747854535</v>
      </c>
      <c r="GR20" s="19">
        <f t="shared" si="166"/>
        <v>94.891612152690243</v>
      </c>
      <c r="GS20" s="10">
        <f t="shared" si="167"/>
        <v>3.7685310624579129</v>
      </c>
      <c r="GT20" s="10">
        <f t="shared" si="168"/>
        <v>49.749832682213807</v>
      </c>
      <c r="GU20" s="539">
        <f t="shared" si="169"/>
        <v>1252.7007869381437</v>
      </c>
      <c r="GV20" s="19">
        <f t="shared" si="170"/>
        <v>102.66872970628462</v>
      </c>
      <c r="GW20" s="10">
        <f t="shared" si="171"/>
        <v>4.0773919660954974</v>
      </c>
      <c r="GX20" s="10">
        <f t="shared" si="172"/>
        <v>53.827224648309304</v>
      </c>
      <c r="GY20" s="539">
        <f t="shared" si="173"/>
        <v>1355.3695166444284</v>
      </c>
      <c r="GZ20" s="19">
        <f t="shared" si="174"/>
        <v>111.0832435067159</v>
      </c>
      <c r="HA20" s="10">
        <f t="shared" si="175"/>
        <v>4.4115664617440791</v>
      </c>
      <c r="HB20" s="10">
        <f t="shared" si="176"/>
        <v>58.238791110053384</v>
      </c>
      <c r="HC20" s="539">
        <f t="shared" si="177"/>
        <v>1466.4527601511443</v>
      </c>
      <c r="HD20" s="19">
        <f t="shared" si="178"/>
        <v>120.18739321381716</v>
      </c>
      <c r="HE20" s="10">
        <f t="shared" si="179"/>
        <v>4.7731291983247486</v>
      </c>
      <c r="HF20" s="10">
        <f t="shared" si="180"/>
        <v>63.01192030837813</v>
      </c>
      <c r="HG20" s="539">
        <f t="shared" si="181"/>
        <v>1586.6401533649614</v>
      </c>
      <c r="HH20" s="19">
        <f t="shared" si="182"/>
        <v>130.03769994039993</v>
      </c>
      <c r="HI20" s="10">
        <f t="shared" si="183"/>
        <v>5.1643248586338339</v>
      </c>
      <c r="HJ20" s="10">
        <f t="shared" si="184"/>
        <v>68.17624516701197</v>
      </c>
      <c r="HK20" s="539">
        <f t="shared" si="185"/>
        <v>1716.6778533053614</v>
      </c>
      <c r="HL20" s="19">
        <f t="shared" si="186"/>
        <v>140.69531715116258</v>
      </c>
      <c r="HM20" s="10">
        <f t="shared" si="187"/>
        <v>5.5875820949627713</v>
      </c>
      <c r="HN20" s="10">
        <f t="shared" si="188"/>
        <v>73.76382726197474</v>
      </c>
      <c r="HO20" s="539">
        <f t="shared" si="189"/>
        <v>1857.3731704565239</v>
      </c>
      <c r="HP20" s="19">
        <f t="shared" si="190"/>
        <v>152.22641032053727</v>
      </c>
      <c r="HQ20" s="10">
        <f t="shared" si="191"/>
        <v>6.0455286068521552</v>
      </c>
      <c r="HR20" s="10">
        <f t="shared" si="192"/>
        <v>79.809355868826898</v>
      </c>
      <c r="HS20" s="539">
        <f t="shared" si="193"/>
        <v>2009.5995807770612</v>
      </c>
      <c r="HT20" s="19">
        <f t="shared" si="194"/>
        <v>164.70256770649806</v>
      </c>
      <c r="HU20" s="10">
        <f t="shared" si="195"/>
        <v>6.5410074545868966</v>
      </c>
      <c r="HV20" s="10">
        <f t="shared" si="196"/>
        <v>86.350363323413802</v>
      </c>
      <c r="HW20" s="539">
        <f t="shared" si="197"/>
        <v>2174.3021484835594</v>
      </c>
      <c r="HX20" s="19">
        <f t="shared" si="198"/>
        <v>178.20124479052905</v>
      </c>
      <c r="HY20" s="10">
        <f t="shared" si="199"/>
        <v>7.0770947097112407</v>
      </c>
      <c r="HZ20" s="10">
        <f t="shared" si="200"/>
        <v>93.427458033125049</v>
      </c>
      <c r="IA20" s="539">
        <f t="shared" si="201"/>
        <v>2352.5033932740889</v>
      </c>
      <c r="IB20" s="19">
        <f t="shared" si="202"/>
        <v>192.80624514296017</v>
      </c>
      <c r="IF20" s="662"/>
      <c r="IG20" s="1301"/>
      <c r="IH20" s="538" t="s">
        <v>1328</v>
      </c>
      <c r="II20" s="540"/>
      <c r="IJ20" s="540"/>
      <c r="IK20" s="540"/>
      <c r="IL20" s="540"/>
      <c r="IM20" s="1301" t="s">
        <v>1395</v>
      </c>
      <c r="IN20" s="1301" t="s">
        <v>1399</v>
      </c>
      <c r="IO20" s="666"/>
      <c r="IP20" s="632" t="s">
        <v>1328</v>
      </c>
      <c r="IU20" s="420"/>
      <c r="IY20"/>
      <c r="JC20" s="420"/>
    </row>
    <row r="21" spans="1:263" s="11" customFormat="1" ht="13.5" thickBot="1">
      <c r="C21" s="177" t="s">
        <v>2342</v>
      </c>
      <c r="D21" s="47" t="s">
        <v>312</v>
      </c>
      <c r="E21" s="396">
        <f t="shared" si="0"/>
        <v>3</v>
      </c>
      <c r="F21" s="242">
        <v>2</v>
      </c>
      <c r="G21" s="48">
        <f>'Update Stock Prices'!S21</f>
        <v>2472367939.4900575</v>
      </c>
      <c r="H21" s="991">
        <f t="shared" si="27"/>
        <v>8.0894108358827584E-10</v>
      </c>
      <c r="I21" s="49">
        <f>'Update Stock Prices'!D21</f>
        <v>163.94</v>
      </c>
      <c r="J21" s="49">
        <f t="shared" si="1"/>
        <v>327.88</v>
      </c>
      <c r="K21" s="30">
        <v>228.63</v>
      </c>
      <c r="L21" s="49">
        <f t="shared" si="28"/>
        <v>99.25</v>
      </c>
      <c r="M21" s="50">
        <f t="shared" si="29"/>
        <v>0.43410750995057518</v>
      </c>
      <c r="N21" s="49">
        <f t="shared" si="30"/>
        <v>114.315</v>
      </c>
      <c r="O21" s="48">
        <f t="shared" si="2"/>
        <v>1</v>
      </c>
      <c r="P21" s="49">
        <f t="shared" ref="P21:P26" si="247">IF(($B$11-$B$12)-(O21*I21)&lt;0,0,($B$11-$B$12)-(O21*I21))</f>
        <v>157.07</v>
      </c>
      <c r="Q21" s="30">
        <v>0</v>
      </c>
      <c r="R21" s="49">
        <f t="shared" si="242"/>
        <v>0</v>
      </c>
      <c r="S21" s="49">
        <f t="shared" si="4"/>
        <v>0</v>
      </c>
      <c r="T21" s="49">
        <f t="shared" si="31"/>
        <v>0</v>
      </c>
      <c r="U21" s="49"/>
      <c r="V21" s="50">
        <f t="shared" si="6"/>
        <v>0</v>
      </c>
      <c r="W21" s="50">
        <f t="shared" si="7"/>
        <v>0</v>
      </c>
      <c r="X21" s="49">
        <f t="shared" si="246"/>
        <v>0</v>
      </c>
      <c r="Y21" s="49">
        <f t="shared" si="32"/>
        <v>0</v>
      </c>
      <c r="Z21" s="860">
        <f t="shared" si="9"/>
        <v>0</v>
      </c>
      <c r="AA21" s="860" t="str">
        <f t="shared" si="10"/>
        <v/>
      </c>
      <c r="AB21" s="49" t="str">
        <f t="shared" si="11"/>
        <v/>
      </c>
      <c r="AC21" s="48">
        <v>1</v>
      </c>
      <c r="AD21" s="47" t="str">
        <f t="shared" si="12"/>
        <v>BRK.B</v>
      </c>
      <c r="AE21" s="49">
        <f t="shared" si="13"/>
        <v>327.88</v>
      </c>
      <c r="AF21" s="50" t="e">
        <f t="shared" si="14"/>
        <v>#REF!</v>
      </c>
      <c r="AG21" s="890" t="e">
        <f t="shared" si="15"/>
        <v>#REF!</v>
      </c>
      <c r="AH21" s="207" t="s">
        <v>313</v>
      </c>
      <c r="AI21" s="240">
        <f t="shared" si="16"/>
        <v>0.24404964774335483</v>
      </c>
      <c r="AJ21" s="11">
        <f t="shared" si="33"/>
        <v>5</v>
      </c>
      <c r="AK21" s="11">
        <v>1</v>
      </c>
      <c r="AQ21" s="11" t="str">
        <f>'Update Stock Prices'!Q21</f>
        <v>mega</v>
      </c>
      <c r="AT21" s="177" t="s">
        <v>844</v>
      </c>
      <c r="AW21" s="8"/>
      <c r="AX21" s="8"/>
      <c r="AY21" s="441" t="s">
        <v>1220</v>
      </c>
      <c r="AZ21" s="600">
        <f>AZ20*AZ19</f>
        <v>6.0814266016228</v>
      </c>
      <c r="BA21" s="27"/>
      <c r="BB21" s="420"/>
      <c r="BD21" s="932"/>
      <c r="BE21" s="593">
        <f t="shared" si="17"/>
        <v>0</v>
      </c>
      <c r="BF21" s="725">
        <f t="shared" si="221"/>
        <v>462424.75919989066</v>
      </c>
      <c r="BG21" s="420" t="str">
        <f t="shared" ca="1" si="18"/>
        <v>M in college</v>
      </c>
      <c r="BH21" s="593">
        <f t="shared" ca="1" si="34"/>
        <v>22</v>
      </c>
      <c r="BI21" s="420">
        <f t="shared" ca="1" si="35"/>
        <v>56</v>
      </c>
      <c r="BJ21" s="420">
        <f t="shared" ca="1" si="35"/>
        <v>62</v>
      </c>
      <c r="BK21" s="420">
        <f t="shared" ca="1" si="36"/>
        <v>2036</v>
      </c>
      <c r="BL21" s="420" t="s">
        <v>1028</v>
      </c>
      <c r="BM21" s="19">
        <f t="shared" si="19"/>
        <v>618062.98004667065</v>
      </c>
      <c r="BN21" s="19">
        <f>EU149</f>
        <v>155638.22084678002</v>
      </c>
      <c r="BO21" s="20">
        <f>EV149</f>
        <v>8461.4985473518591</v>
      </c>
      <c r="BP21" s="183">
        <f t="shared" si="20"/>
        <v>5.4366456396863376E-2</v>
      </c>
      <c r="BQ21" s="19">
        <f t="shared" si="21"/>
        <v>705.12487894598826</v>
      </c>
      <c r="BR21" s="16"/>
      <c r="BS21" s="420" t="str">
        <f t="shared" si="37"/>
        <v>BRK.B</v>
      </c>
      <c r="BT21" s="425">
        <f t="shared" si="38"/>
        <v>2</v>
      </c>
      <c r="BU21" s="19">
        <f t="shared" si="39"/>
        <v>163.94</v>
      </c>
      <c r="BV21" s="19">
        <f t="shared" si="40"/>
        <v>327.88</v>
      </c>
      <c r="BW21" s="539">
        <f t="shared" si="41"/>
        <v>0</v>
      </c>
      <c r="BX21" s="19">
        <f t="shared" si="42"/>
        <v>0</v>
      </c>
      <c r="BY21" s="10">
        <f t="shared" si="43"/>
        <v>0</v>
      </c>
      <c r="BZ21" s="10">
        <f t="shared" si="44"/>
        <v>2</v>
      </c>
      <c r="CA21" s="539">
        <f t="shared" si="45"/>
        <v>327.88</v>
      </c>
      <c r="CB21" s="19">
        <f t="shared" si="46"/>
        <v>0</v>
      </c>
      <c r="CC21" s="10">
        <f t="shared" si="47"/>
        <v>0</v>
      </c>
      <c r="CD21" s="10">
        <f t="shared" si="48"/>
        <v>2</v>
      </c>
      <c r="CE21" s="539">
        <f t="shared" si="49"/>
        <v>327.88</v>
      </c>
      <c r="CF21" s="19">
        <f t="shared" si="50"/>
        <v>0</v>
      </c>
      <c r="CG21" s="10">
        <f t="shared" si="51"/>
        <v>0</v>
      </c>
      <c r="CH21" s="10">
        <f t="shared" si="52"/>
        <v>2</v>
      </c>
      <c r="CI21" s="539">
        <f t="shared" si="53"/>
        <v>327.88</v>
      </c>
      <c r="CJ21" s="19">
        <f t="shared" si="54"/>
        <v>0</v>
      </c>
      <c r="CK21" s="10">
        <f t="shared" si="55"/>
        <v>0</v>
      </c>
      <c r="CL21" s="10">
        <f t="shared" si="56"/>
        <v>2</v>
      </c>
      <c r="CM21" s="539">
        <f t="shared" si="57"/>
        <v>327.88</v>
      </c>
      <c r="CN21" s="19">
        <f t="shared" si="58"/>
        <v>0</v>
      </c>
      <c r="CO21" s="10">
        <f t="shared" si="59"/>
        <v>0</v>
      </c>
      <c r="CP21" s="10">
        <f t="shared" si="60"/>
        <v>2</v>
      </c>
      <c r="CQ21" s="539">
        <f t="shared" si="61"/>
        <v>327.88</v>
      </c>
      <c r="CR21" s="19">
        <f t="shared" si="62"/>
        <v>0</v>
      </c>
      <c r="CS21" s="10">
        <f t="shared" si="63"/>
        <v>0</v>
      </c>
      <c r="CT21" s="10">
        <f t="shared" si="64"/>
        <v>2</v>
      </c>
      <c r="CU21" s="539">
        <f t="shared" si="65"/>
        <v>327.88</v>
      </c>
      <c r="CV21" s="19">
        <f t="shared" si="66"/>
        <v>0</v>
      </c>
      <c r="CW21" s="10">
        <f t="shared" si="67"/>
        <v>0</v>
      </c>
      <c r="CX21" s="10">
        <f t="shared" si="68"/>
        <v>2</v>
      </c>
      <c r="CY21" s="539">
        <f t="shared" si="69"/>
        <v>327.88</v>
      </c>
      <c r="CZ21" s="19">
        <f t="shared" si="70"/>
        <v>0</v>
      </c>
      <c r="DA21" s="10">
        <f t="shared" si="71"/>
        <v>0</v>
      </c>
      <c r="DB21" s="10">
        <f t="shared" si="72"/>
        <v>2</v>
      </c>
      <c r="DC21" s="539">
        <f t="shared" si="73"/>
        <v>327.88</v>
      </c>
      <c r="DD21" s="19">
        <f t="shared" si="74"/>
        <v>0</v>
      </c>
      <c r="DE21" s="10">
        <f t="shared" si="75"/>
        <v>0</v>
      </c>
      <c r="DF21" s="10">
        <f t="shared" si="76"/>
        <v>2</v>
      </c>
      <c r="DG21" s="539">
        <f t="shared" si="77"/>
        <v>327.88</v>
      </c>
      <c r="DH21" s="19">
        <f t="shared" si="78"/>
        <v>0</v>
      </c>
      <c r="DI21" s="10">
        <f t="shared" si="79"/>
        <v>0</v>
      </c>
      <c r="DJ21" s="10">
        <f t="shared" si="80"/>
        <v>2</v>
      </c>
      <c r="DK21" s="539">
        <f t="shared" si="81"/>
        <v>327.88</v>
      </c>
      <c r="DL21" s="19">
        <f t="shared" si="82"/>
        <v>0</v>
      </c>
      <c r="DM21" s="10">
        <f t="shared" si="83"/>
        <v>0</v>
      </c>
      <c r="DN21" s="10">
        <f t="shared" si="84"/>
        <v>2</v>
      </c>
      <c r="DO21" s="539">
        <f t="shared" si="85"/>
        <v>327.88</v>
      </c>
      <c r="DP21" s="19">
        <f t="shared" si="86"/>
        <v>0</v>
      </c>
      <c r="DQ21" s="10">
        <f t="shared" si="87"/>
        <v>0</v>
      </c>
      <c r="DR21" s="10">
        <f t="shared" si="88"/>
        <v>2</v>
      </c>
      <c r="DS21" s="539">
        <f t="shared" si="89"/>
        <v>327.88</v>
      </c>
      <c r="DT21" s="19">
        <f t="shared" si="90"/>
        <v>0</v>
      </c>
      <c r="DU21" s="10">
        <f t="shared" si="91"/>
        <v>0</v>
      </c>
      <c r="DV21" s="10">
        <f t="shared" si="92"/>
        <v>2</v>
      </c>
      <c r="DW21" s="539">
        <f t="shared" si="93"/>
        <v>327.88</v>
      </c>
      <c r="DX21" s="19">
        <f t="shared" si="94"/>
        <v>0</v>
      </c>
      <c r="DY21" s="10">
        <f t="shared" si="95"/>
        <v>0</v>
      </c>
      <c r="DZ21" s="10">
        <f t="shared" si="96"/>
        <v>2</v>
      </c>
      <c r="EA21" s="539">
        <f t="shared" si="97"/>
        <v>327.88</v>
      </c>
      <c r="EB21" s="19">
        <f t="shared" si="98"/>
        <v>0</v>
      </c>
      <c r="EC21" s="10">
        <f t="shared" si="99"/>
        <v>0</v>
      </c>
      <c r="ED21" s="10">
        <f t="shared" si="100"/>
        <v>2</v>
      </c>
      <c r="EE21" s="539">
        <f t="shared" si="101"/>
        <v>327.88</v>
      </c>
      <c r="EF21" s="19">
        <f t="shared" si="102"/>
        <v>0</v>
      </c>
      <c r="EG21" s="10">
        <f t="shared" si="103"/>
        <v>0</v>
      </c>
      <c r="EH21" s="10">
        <f t="shared" si="104"/>
        <v>2</v>
      </c>
      <c r="EI21" s="539">
        <f t="shared" si="105"/>
        <v>327.88</v>
      </c>
      <c r="EJ21" s="19">
        <f t="shared" si="106"/>
        <v>0</v>
      </c>
      <c r="EK21" s="10">
        <f t="shared" si="107"/>
        <v>0</v>
      </c>
      <c r="EL21" s="10">
        <f t="shared" si="108"/>
        <v>2</v>
      </c>
      <c r="EM21" s="539">
        <f t="shared" si="109"/>
        <v>327.88</v>
      </c>
      <c r="EN21" s="19">
        <f t="shared" si="110"/>
        <v>0</v>
      </c>
      <c r="EO21" s="10">
        <f t="shared" si="111"/>
        <v>0</v>
      </c>
      <c r="EP21" s="10">
        <f t="shared" si="112"/>
        <v>2</v>
      </c>
      <c r="EQ21" s="539">
        <f t="shared" si="113"/>
        <v>327.88</v>
      </c>
      <c r="ER21" s="19">
        <f t="shared" si="114"/>
        <v>0</v>
      </c>
      <c r="ES21" s="10">
        <f t="shared" si="115"/>
        <v>0</v>
      </c>
      <c r="ET21" s="10">
        <f t="shared" si="116"/>
        <v>2</v>
      </c>
      <c r="EU21" s="539">
        <f t="shared" si="117"/>
        <v>327.88</v>
      </c>
      <c r="EV21" s="19">
        <f t="shared" si="118"/>
        <v>0</v>
      </c>
      <c r="EW21" s="10">
        <f t="shared" si="119"/>
        <v>0</v>
      </c>
      <c r="EX21" s="10">
        <f t="shared" si="120"/>
        <v>2</v>
      </c>
      <c r="EY21" s="539">
        <f t="shared" si="121"/>
        <v>327.88</v>
      </c>
      <c r="EZ21" s="19">
        <f t="shared" si="122"/>
        <v>0</v>
      </c>
      <c r="FA21" s="10">
        <f t="shared" si="123"/>
        <v>0</v>
      </c>
      <c r="FB21" s="10">
        <f t="shared" si="124"/>
        <v>2</v>
      </c>
      <c r="FC21" s="539">
        <f t="shared" si="125"/>
        <v>327.88</v>
      </c>
      <c r="FD21" s="19">
        <f t="shared" si="126"/>
        <v>0</v>
      </c>
      <c r="FE21" s="10">
        <f t="shared" si="127"/>
        <v>0</v>
      </c>
      <c r="FF21" s="10">
        <f t="shared" si="128"/>
        <v>2</v>
      </c>
      <c r="FG21" s="539">
        <f t="shared" si="129"/>
        <v>327.88</v>
      </c>
      <c r="FH21" s="19">
        <f t="shared" si="130"/>
        <v>0</v>
      </c>
      <c r="FI21" s="10">
        <f t="shared" si="131"/>
        <v>0</v>
      </c>
      <c r="FJ21" s="10">
        <f t="shared" si="132"/>
        <v>2</v>
      </c>
      <c r="FK21" s="539">
        <f t="shared" si="133"/>
        <v>327.88</v>
      </c>
      <c r="FL21" s="19">
        <f t="shared" si="134"/>
        <v>0</v>
      </c>
      <c r="FM21" s="10">
        <f t="shared" si="135"/>
        <v>0</v>
      </c>
      <c r="FN21" s="10">
        <f t="shared" si="136"/>
        <v>2</v>
      </c>
      <c r="FO21" s="539">
        <f t="shared" si="137"/>
        <v>327.88</v>
      </c>
      <c r="FP21" s="19">
        <f t="shared" si="138"/>
        <v>0</v>
      </c>
      <c r="FQ21" s="10">
        <f t="shared" si="139"/>
        <v>0</v>
      </c>
      <c r="FR21" s="10">
        <f t="shared" si="140"/>
        <v>2</v>
      </c>
      <c r="FS21" s="539">
        <f t="shared" si="141"/>
        <v>327.88</v>
      </c>
      <c r="FT21" s="19">
        <f t="shared" si="142"/>
        <v>0</v>
      </c>
      <c r="FU21" s="10">
        <f t="shared" si="143"/>
        <v>0</v>
      </c>
      <c r="FV21" s="10">
        <f t="shared" si="144"/>
        <v>2</v>
      </c>
      <c r="FW21" s="539">
        <f t="shared" si="145"/>
        <v>327.88</v>
      </c>
      <c r="FX21" s="19">
        <f t="shared" si="146"/>
        <v>0</v>
      </c>
      <c r="FY21" s="10">
        <f t="shared" si="147"/>
        <v>0</v>
      </c>
      <c r="FZ21" s="10">
        <f t="shared" si="148"/>
        <v>2</v>
      </c>
      <c r="GA21" s="539">
        <f t="shared" si="149"/>
        <v>327.88</v>
      </c>
      <c r="GB21" s="19">
        <f t="shared" si="150"/>
        <v>0</v>
      </c>
      <c r="GC21" s="10">
        <f t="shared" si="151"/>
        <v>0</v>
      </c>
      <c r="GD21" s="10">
        <f t="shared" si="152"/>
        <v>2</v>
      </c>
      <c r="GE21" s="539">
        <f t="shared" si="153"/>
        <v>327.88</v>
      </c>
      <c r="GF21" s="19">
        <f t="shared" si="154"/>
        <v>0</v>
      </c>
      <c r="GG21" s="10">
        <f t="shared" si="155"/>
        <v>0</v>
      </c>
      <c r="GH21" s="10">
        <f t="shared" si="156"/>
        <v>2</v>
      </c>
      <c r="GI21" s="539">
        <f t="shared" si="157"/>
        <v>327.88</v>
      </c>
      <c r="GJ21" s="19">
        <f t="shared" si="158"/>
        <v>0</v>
      </c>
      <c r="GK21" s="10">
        <f t="shared" si="159"/>
        <v>0</v>
      </c>
      <c r="GL21" s="10">
        <f t="shared" si="160"/>
        <v>2</v>
      </c>
      <c r="GM21" s="539">
        <f t="shared" si="161"/>
        <v>327.88</v>
      </c>
      <c r="GN21" s="19">
        <f t="shared" si="162"/>
        <v>0</v>
      </c>
      <c r="GO21" s="10">
        <f t="shared" si="163"/>
        <v>0</v>
      </c>
      <c r="GP21" s="10">
        <f t="shared" si="164"/>
        <v>2</v>
      </c>
      <c r="GQ21" s="539">
        <f t="shared" si="165"/>
        <v>327.88</v>
      </c>
      <c r="GR21" s="19">
        <f t="shared" si="166"/>
        <v>0</v>
      </c>
      <c r="GS21" s="10">
        <f t="shared" si="167"/>
        <v>0</v>
      </c>
      <c r="GT21" s="10">
        <f t="shared" si="168"/>
        <v>2</v>
      </c>
      <c r="GU21" s="539">
        <f t="shared" si="169"/>
        <v>327.88</v>
      </c>
      <c r="GV21" s="19">
        <f t="shared" si="170"/>
        <v>0</v>
      </c>
      <c r="GW21" s="10">
        <f t="shared" si="171"/>
        <v>0</v>
      </c>
      <c r="GX21" s="10">
        <f t="shared" si="172"/>
        <v>2</v>
      </c>
      <c r="GY21" s="539">
        <f t="shared" si="173"/>
        <v>327.88</v>
      </c>
      <c r="GZ21" s="19">
        <f t="shared" si="174"/>
        <v>0</v>
      </c>
      <c r="HA21" s="10">
        <f t="shared" si="175"/>
        <v>0</v>
      </c>
      <c r="HB21" s="10">
        <f t="shared" si="176"/>
        <v>2</v>
      </c>
      <c r="HC21" s="539">
        <f t="shared" si="177"/>
        <v>327.88</v>
      </c>
      <c r="HD21" s="19">
        <f t="shared" si="178"/>
        <v>0</v>
      </c>
      <c r="HE21" s="10">
        <f t="shared" si="179"/>
        <v>0</v>
      </c>
      <c r="HF21" s="10">
        <f t="shared" si="180"/>
        <v>2</v>
      </c>
      <c r="HG21" s="539">
        <f t="shared" si="181"/>
        <v>327.88</v>
      </c>
      <c r="HH21" s="19">
        <f t="shared" si="182"/>
        <v>0</v>
      </c>
      <c r="HI21" s="10">
        <f t="shared" si="183"/>
        <v>0</v>
      </c>
      <c r="HJ21" s="10">
        <f t="shared" si="184"/>
        <v>2</v>
      </c>
      <c r="HK21" s="539">
        <f t="shared" si="185"/>
        <v>327.88</v>
      </c>
      <c r="HL21" s="19">
        <f t="shared" si="186"/>
        <v>0</v>
      </c>
      <c r="HM21" s="10">
        <f t="shared" si="187"/>
        <v>0</v>
      </c>
      <c r="HN21" s="10">
        <f t="shared" si="188"/>
        <v>2</v>
      </c>
      <c r="HO21" s="539">
        <f t="shared" si="189"/>
        <v>327.88</v>
      </c>
      <c r="HP21" s="19">
        <f t="shared" si="190"/>
        <v>0</v>
      </c>
      <c r="HQ21" s="10">
        <f t="shared" si="191"/>
        <v>0</v>
      </c>
      <c r="HR21" s="10">
        <f t="shared" si="192"/>
        <v>2</v>
      </c>
      <c r="HS21" s="539">
        <f t="shared" si="193"/>
        <v>327.88</v>
      </c>
      <c r="HT21" s="19">
        <f t="shared" si="194"/>
        <v>0</v>
      </c>
      <c r="HU21" s="10">
        <f t="shared" si="195"/>
        <v>0</v>
      </c>
      <c r="HV21" s="10">
        <f t="shared" si="196"/>
        <v>2</v>
      </c>
      <c r="HW21" s="539">
        <f t="shared" si="197"/>
        <v>327.88</v>
      </c>
      <c r="HX21" s="19">
        <f t="shared" si="198"/>
        <v>0</v>
      </c>
      <c r="HY21" s="10">
        <f t="shared" si="199"/>
        <v>0</v>
      </c>
      <c r="HZ21" s="10">
        <f t="shared" si="200"/>
        <v>2</v>
      </c>
      <c r="IA21" s="539">
        <f t="shared" si="201"/>
        <v>327.88</v>
      </c>
      <c r="IB21" s="19">
        <f t="shared" si="202"/>
        <v>0</v>
      </c>
      <c r="IF21" s="662"/>
      <c r="IG21" s="1377" t="s">
        <v>1328</v>
      </c>
      <c r="IH21" s="1303">
        <f>((IH15*IH18)*IH12*IH9)^0.5</f>
        <v>178.66620833274544</v>
      </c>
      <c r="II21" s="1377" t="s">
        <v>1319</v>
      </c>
      <c r="IJ21" s="538" t="s">
        <v>1319</v>
      </c>
      <c r="IK21" s="1377" t="s">
        <v>1319</v>
      </c>
      <c r="IL21" s="540"/>
      <c r="IM21" s="1381">
        <v>7.0000000000000007E-2</v>
      </c>
      <c r="IN21" s="1375">
        <v>0</v>
      </c>
      <c r="IO21" s="666"/>
      <c r="IP21" s="234">
        <f>SUM(IR42:IR91)</f>
        <v>284.23117101375442</v>
      </c>
      <c r="IU21" s="420"/>
      <c r="IY21"/>
      <c r="JC21" s="420"/>
    </row>
    <row r="22" spans="1:263" s="11" customFormat="1">
      <c r="A22" s="20"/>
      <c r="B22" s="637"/>
      <c r="C22" s="1213" t="s">
        <v>2345</v>
      </c>
      <c r="D22" s="47" t="s">
        <v>318</v>
      </c>
      <c r="E22" s="396">
        <f t="shared" si="0"/>
        <v>81.061800000000005</v>
      </c>
      <c r="F22" s="242">
        <v>1.0618000000000001</v>
      </c>
      <c r="G22" s="48">
        <f>'Update Stock Prices'!S22</f>
        <v>212102244.38902745</v>
      </c>
      <c r="H22" s="991">
        <f t="shared" si="27"/>
        <v>5.0060762113035403E-9</v>
      </c>
      <c r="I22" s="49">
        <f>'Update Stock Prices'!D22</f>
        <v>4.01</v>
      </c>
      <c r="J22" s="49">
        <f t="shared" si="1"/>
        <v>4.2578180000000003</v>
      </c>
      <c r="K22" s="30">
        <v>38.479999999999997</v>
      </c>
      <c r="L22" s="49">
        <f t="shared" si="28"/>
        <v>-34.222181999999997</v>
      </c>
      <c r="M22" s="50">
        <f t="shared" si="29"/>
        <v>-0.88934984407484408</v>
      </c>
      <c r="N22" s="49">
        <f t="shared" si="30"/>
        <v>36.240346581277073</v>
      </c>
      <c r="O22" s="48">
        <f t="shared" si="2"/>
        <v>80</v>
      </c>
      <c r="P22" s="49">
        <f t="shared" si="247"/>
        <v>0.21000000000003638</v>
      </c>
      <c r="Q22" s="30">
        <v>0</v>
      </c>
      <c r="R22" s="49">
        <f t="shared" si="242"/>
        <v>0</v>
      </c>
      <c r="S22" s="49">
        <f t="shared" si="4"/>
        <v>0</v>
      </c>
      <c r="T22" s="49">
        <f t="shared" si="31"/>
        <v>0</v>
      </c>
      <c r="U22" s="49"/>
      <c r="V22" s="50">
        <f t="shared" si="6"/>
        <v>0</v>
      </c>
      <c r="W22" s="50">
        <f t="shared" si="7"/>
        <v>0</v>
      </c>
      <c r="X22" s="49">
        <f t="shared" si="246"/>
        <v>0</v>
      </c>
      <c r="Y22" s="49">
        <f t="shared" si="32"/>
        <v>0</v>
      </c>
      <c r="Z22" s="860">
        <f t="shared" si="9"/>
        <v>0</v>
      </c>
      <c r="AA22" s="860" t="str">
        <f t="shared" si="10"/>
        <v/>
      </c>
      <c r="AB22" s="49" t="str">
        <f t="shared" si="11"/>
        <v/>
      </c>
      <c r="AC22" s="48">
        <v>1</v>
      </c>
      <c r="AD22" s="47" t="str">
        <f t="shared" si="12"/>
        <v>BTE</v>
      </c>
      <c r="AE22" s="49">
        <f t="shared" si="13"/>
        <v>4.2578180000000003</v>
      </c>
      <c r="AF22" s="50" t="e">
        <f t="shared" si="14"/>
        <v>#REF!</v>
      </c>
      <c r="AG22" s="890" t="e">
        <f t="shared" si="15"/>
        <v>#REF!</v>
      </c>
      <c r="AH22" s="207" t="s">
        <v>322</v>
      </c>
      <c r="AI22" s="240">
        <f t="shared" si="16"/>
        <v>4.1154991806567415E-5</v>
      </c>
      <c r="AJ22" s="11">
        <f t="shared" si="33"/>
        <v>3</v>
      </c>
      <c r="AQ22" s="11" t="str">
        <f>'Update Stock Prices'!Q22</f>
        <v>small</v>
      </c>
      <c r="AT22" s="176" t="s">
        <v>1346</v>
      </c>
      <c r="AW22" s="27"/>
      <c r="AX22" s="27"/>
      <c r="AY22" s="376" t="s">
        <v>1461</v>
      </c>
      <c r="AZ22" s="601">
        <v>0.28999999999999998</v>
      </c>
      <c r="BA22" s="27"/>
      <c r="BB22" s="420"/>
      <c r="BD22" s="932"/>
      <c r="BE22" s="593">
        <f t="shared" si="17"/>
        <v>0</v>
      </c>
      <c r="BF22" s="725">
        <f t="shared" si="221"/>
        <v>482631.6243838885</v>
      </c>
      <c r="BG22" s="420" t="str">
        <f t="shared" ca="1" si="18"/>
        <v>M in college</v>
      </c>
      <c r="BH22" s="593">
        <f t="shared" ca="1" si="34"/>
        <v>23</v>
      </c>
      <c r="BI22" s="420">
        <f t="shared" ca="1" si="35"/>
        <v>57</v>
      </c>
      <c r="BJ22" s="420">
        <f t="shared" ca="1" si="35"/>
        <v>63</v>
      </c>
      <c r="BK22" s="420">
        <f t="shared" ca="1" si="36"/>
        <v>2037</v>
      </c>
      <c r="BL22" s="420" t="s">
        <v>1029</v>
      </c>
      <c r="BM22" s="19">
        <f t="shared" si="19"/>
        <v>646731.34377802035</v>
      </c>
      <c r="BN22" s="19">
        <f>EY149</f>
        <v>164099.71939413183</v>
      </c>
      <c r="BO22" s="20">
        <f>EZ149</f>
        <v>9075.6344944653501</v>
      </c>
      <c r="BP22" s="183">
        <f t="shared" si="20"/>
        <v>5.53056064201283E-2</v>
      </c>
      <c r="BQ22" s="19">
        <f t="shared" si="21"/>
        <v>756.30287453877918</v>
      </c>
      <c r="BR22" s="16"/>
      <c r="BS22" s="420" t="str">
        <f t="shared" si="37"/>
        <v>BTE</v>
      </c>
      <c r="BT22" s="425">
        <f t="shared" si="38"/>
        <v>1.0618000000000001</v>
      </c>
      <c r="BU22" s="19">
        <f t="shared" si="39"/>
        <v>4.01</v>
      </c>
      <c r="BV22" s="19">
        <f t="shared" si="40"/>
        <v>4.2578180000000003</v>
      </c>
      <c r="BW22" s="539">
        <f t="shared" si="41"/>
        <v>0</v>
      </c>
      <c r="BX22" s="19">
        <f t="shared" si="42"/>
        <v>0</v>
      </c>
      <c r="BY22" s="10">
        <f t="shared" si="43"/>
        <v>0</v>
      </c>
      <c r="BZ22" s="10">
        <f t="shared" si="44"/>
        <v>1.0618000000000001</v>
      </c>
      <c r="CA22" s="539">
        <f t="shared" si="45"/>
        <v>4.2578180000000003</v>
      </c>
      <c r="CB22" s="19">
        <f t="shared" si="46"/>
        <v>0</v>
      </c>
      <c r="CC22" s="10">
        <f t="shared" si="47"/>
        <v>0</v>
      </c>
      <c r="CD22" s="10">
        <f t="shared" si="48"/>
        <v>1.0618000000000001</v>
      </c>
      <c r="CE22" s="539">
        <f t="shared" si="49"/>
        <v>4.2578180000000003</v>
      </c>
      <c r="CF22" s="19">
        <f t="shared" si="50"/>
        <v>0</v>
      </c>
      <c r="CG22" s="10">
        <f t="shared" si="51"/>
        <v>0</v>
      </c>
      <c r="CH22" s="10">
        <f t="shared" si="52"/>
        <v>1.0618000000000001</v>
      </c>
      <c r="CI22" s="539">
        <f t="shared" si="53"/>
        <v>4.2578180000000003</v>
      </c>
      <c r="CJ22" s="19">
        <f t="shared" si="54"/>
        <v>0</v>
      </c>
      <c r="CK22" s="10">
        <f t="shared" si="55"/>
        <v>0</v>
      </c>
      <c r="CL22" s="10">
        <f t="shared" si="56"/>
        <v>1.0618000000000001</v>
      </c>
      <c r="CM22" s="539">
        <f t="shared" si="57"/>
        <v>4.2578180000000003</v>
      </c>
      <c r="CN22" s="19">
        <f t="shared" si="58"/>
        <v>0</v>
      </c>
      <c r="CO22" s="10">
        <f t="shared" si="59"/>
        <v>0</v>
      </c>
      <c r="CP22" s="10">
        <f t="shared" si="60"/>
        <v>1.0618000000000001</v>
      </c>
      <c r="CQ22" s="539">
        <f t="shared" si="61"/>
        <v>4.2578180000000003</v>
      </c>
      <c r="CR22" s="19">
        <f t="shared" si="62"/>
        <v>0</v>
      </c>
      <c r="CS22" s="10">
        <f t="shared" si="63"/>
        <v>0</v>
      </c>
      <c r="CT22" s="10">
        <f t="shared" si="64"/>
        <v>1.0618000000000001</v>
      </c>
      <c r="CU22" s="539">
        <f t="shared" si="65"/>
        <v>4.2578180000000003</v>
      </c>
      <c r="CV22" s="19">
        <f t="shared" si="66"/>
        <v>0</v>
      </c>
      <c r="CW22" s="10">
        <f t="shared" si="67"/>
        <v>0</v>
      </c>
      <c r="CX22" s="10">
        <f t="shared" si="68"/>
        <v>1.0618000000000001</v>
      </c>
      <c r="CY22" s="539">
        <f t="shared" si="69"/>
        <v>4.2578180000000003</v>
      </c>
      <c r="CZ22" s="19">
        <f t="shared" si="70"/>
        <v>0</v>
      </c>
      <c r="DA22" s="10">
        <f t="shared" si="71"/>
        <v>0</v>
      </c>
      <c r="DB22" s="10">
        <f t="shared" si="72"/>
        <v>1.0618000000000001</v>
      </c>
      <c r="DC22" s="539">
        <f t="shared" si="73"/>
        <v>4.2578180000000003</v>
      </c>
      <c r="DD22" s="19">
        <f t="shared" si="74"/>
        <v>0</v>
      </c>
      <c r="DE22" s="10">
        <f t="shared" si="75"/>
        <v>0</v>
      </c>
      <c r="DF22" s="10">
        <f t="shared" si="76"/>
        <v>1.0618000000000001</v>
      </c>
      <c r="DG22" s="539">
        <f t="shared" si="77"/>
        <v>4.2578180000000003</v>
      </c>
      <c r="DH22" s="19">
        <f t="shared" si="78"/>
        <v>0</v>
      </c>
      <c r="DI22" s="10">
        <f t="shared" si="79"/>
        <v>0</v>
      </c>
      <c r="DJ22" s="10">
        <f t="shared" si="80"/>
        <v>1.0618000000000001</v>
      </c>
      <c r="DK22" s="539">
        <f t="shared" si="81"/>
        <v>4.2578180000000003</v>
      </c>
      <c r="DL22" s="19">
        <f t="shared" si="82"/>
        <v>0</v>
      </c>
      <c r="DM22" s="10">
        <f t="shared" si="83"/>
        <v>0</v>
      </c>
      <c r="DN22" s="10">
        <f t="shared" si="84"/>
        <v>1.0618000000000001</v>
      </c>
      <c r="DO22" s="539">
        <f t="shared" si="85"/>
        <v>4.2578180000000003</v>
      </c>
      <c r="DP22" s="19">
        <f t="shared" si="86"/>
        <v>0</v>
      </c>
      <c r="DQ22" s="10">
        <f t="shared" si="87"/>
        <v>0</v>
      </c>
      <c r="DR22" s="10">
        <f t="shared" si="88"/>
        <v>1.0618000000000001</v>
      </c>
      <c r="DS22" s="539">
        <f t="shared" si="89"/>
        <v>4.2578180000000003</v>
      </c>
      <c r="DT22" s="19">
        <f t="shared" si="90"/>
        <v>0</v>
      </c>
      <c r="DU22" s="10">
        <f t="shared" si="91"/>
        <v>0</v>
      </c>
      <c r="DV22" s="10">
        <f t="shared" si="92"/>
        <v>1.0618000000000001</v>
      </c>
      <c r="DW22" s="539">
        <f t="shared" si="93"/>
        <v>4.2578180000000003</v>
      </c>
      <c r="DX22" s="19">
        <f t="shared" si="94"/>
        <v>0</v>
      </c>
      <c r="DY22" s="10">
        <f t="shared" si="95"/>
        <v>0</v>
      </c>
      <c r="DZ22" s="10">
        <f t="shared" si="96"/>
        <v>1.0618000000000001</v>
      </c>
      <c r="EA22" s="539">
        <f t="shared" si="97"/>
        <v>4.2578180000000003</v>
      </c>
      <c r="EB22" s="19">
        <f t="shared" si="98"/>
        <v>0</v>
      </c>
      <c r="EC22" s="10">
        <f t="shared" si="99"/>
        <v>0</v>
      </c>
      <c r="ED22" s="10">
        <f t="shared" si="100"/>
        <v>1.0618000000000001</v>
      </c>
      <c r="EE22" s="539">
        <f t="shared" si="101"/>
        <v>4.2578180000000003</v>
      </c>
      <c r="EF22" s="19">
        <f t="shared" si="102"/>
        <v>0</v>
      </c>
      <c r="EG22" s="10">
        <f t="shared" si="103"/>
        <v>0</v>
      </c>
      <c r="EH22" s="10">
        <f t="shared" si="104"/>
        <v>1.0618000000000001</v>
      </c>
      <c r="EI22" s="539">
        <f t="shared" si="105"/>
        <v>4.2578180000000003</v>
      </c>
      <c r="EJ22" s="19">
        <f t="shared" si="106"/>
        <v>0</v>
      </c>
      <c r="EK22" s="10">
        <f t="shared" si="107"/>
        <v>0</v>
      </c>
      <c r="EL22" s="10">
        <f t="shared" si="108"/>
        <v>1.0618000000000001</v>
      </c>
      <c r="EM22" s="539">
        <f t="shared" si="109"/>
        <v>4.2578180000000003</v>
      </c>
      <c r="EN22" s="19">
        <f t="shared" si="110"/>
        <v>0</v>
      </c>
      <c r="EO22" s="10">
        <f t="shared" si="111"/>
        <v>0</v>
      </c>
      <c r="EP22" s="10">
        <f t="shared" si="112"/>
        <v>1.0618000000000001</v>
      </c>
      <c r="EQ22" s="539">
        <f t="shared" si="113"/>
        <v>4.2578180000000003</v>
      </c>
      <c r="ER22" s="19">
        <f t="shared" si="114"/>
        <v>0</v>
      </c>
      <c r="ES22" s="10">
        <f t="shared" si="115"/>
        <v>0</v>
      </c>
      <c r="ET22" s="10">
        <f t="shared" si="116"/>
        <v>1.0618000000000001</v>
      </c>
      <c r="EU22" s="539">
        <f t="shared" si="117"/>
        <v>4.2578180000000003</v>
      </c>
      <c r="EV22" s="19">
        <f t="shared" si="118"/>
        <v>0</v>
      </c>
      <c r="EW22" s="10">
        <f t="shared" si="119"/>
        <v>0</v>
      </c>
      <c r="EX22" s="10">
        <f t="shared" si="120"/>
        <v>1.0618000000000001</v>
      </c>
      <c r="EY22" s="539">
        <f t="shared" si="121"/>
        <v>4.2578180000000003</v>
      </c>
      <c r="EZ22" s="19">
        <f t="shared" si="122"/>
        <v>0</v>
      </c>
      <c r="FA22" s="10">
        <f t="shared" si="123"/>
        <v>0</v>
      </c>
      <c r="FB22" s="10">
        <f t="shared" si="124"/>
        <v>1.0618000000000001</v>
      </c>
      <c r="FC22" s="539">
        <f t="shared" si="125"/>
        <v>4.2578180000000003</v>
      </c>
      <c r="FD22" s="19">
        <f t="shared" si="126"/>
        <v>0</v>
      </c>
      <c r="FE22" s="10">
        <f t="shared" si="127"/>
        <v>0</v>
      </c>
      <c r="FF22" s="10">
        <f t="shared" si="128"/>
        <v>1.0618000000000001</v>
      </c>
      <c r="FG22" s="539">
        <f t="shared" si="129"/>
        <v>4.2578180000000003</v>
      </c>
      <c r="FH22" s="19">
        <f t="shared" si="130"/>
        <v>0</v>
      </c>
      <c r="FI22" s="10">
        <f t="shared" si="131"/>
        <v>0</v>
      </c>
      <c r="FJ22" s="10">
        <f t="shared" si="132"/>
        <v>1.0618000000000001</v>
      </c>
      <c r="FK22" s="539">
        <f t="shared" si="133"/>
        <v>4.2578180000000003</v>
      </c>
      <c r="FL22" s="19">
        <f t="shared" si="134"/>
        <v>0</v>
      </c>
      <c r="FM22" s="10">
        <f t="shared" si="135"/>
        <v>0</v>
      </c>
      <c r="FN22" s="10">
        <f t="shared" si="136"/>
        <v>1.0618000000000001</v>
      </c>
      <c r="FO22" s="539">
        <f t="shared" si="137"/>
        <v>4.2578180000000003</v>
      </c>
      <c r="FP22" s="19">
        <f t="shared" si="138"/>
        <v>0</v>
      </c>
      <c r="FQ22" s="10">
        <f t="shared" si="139"/>
        <v>0</v>
      </c>
      <c r="FR22" s="10">
        <f t="shared" si="140"/>
        <v>1.0618000000000001</v>
      </c>
      <c r="FS22" s="539">
        <f t="shared" si="141"/>
        <v>4.2578180000000003</v>
      </c>
      <c r="FT22" s="19">
        <f t="shared" si="142"/>
        <v>0</v>
      </c>
      <c r="FU22" s="10">
        <f t="shared" si="143"/>
        <v>0</v>
      </c>
      <c r="FV22" s="10">
        <f t="shared" si="144"/>
        <v>1.0618000000000001</v>
      </c>
      <c r="FW22" s="539">
        <f t="shared" si="145"/>
        <v>4.2578180000000003</v>
      </c>
      <c r="FX22" s="19">
        <f t="shared" si="146"/>
        <v>0</v>
      </c>
      <c r="FY22" s="10">
        <f t="shared" si="147"/>
        <v>0</v>
      </c>
      <c r="FZ22" s="10">
        <f t="shared" si="148"/>
        <v>1.0618000000000001</v>
      </c>
      <c r="GA22" s="539">
        <f t="shared" si="149"/>
        <v>4.2578180000000003</v>
      </c>
      <c r="GB22" s="19">
        <f t="shared" si="150"/>
        <v>0</v>
      </c>
      <c r="GC22" s="10">
        <f t="shared" si="151"/>
        <v>0</v>
      </c>
      <c r="GD22" s="10">
        <f t="shared" si="152"/>
        <v>1.0618000000000001</v>
      </c>
      <c r="GE22" s="539">
        <f t="shared" si="153"/>
        <v>4.2578180000000003</v>
      </c>
      <c r="GF22" s="19">
        <f t="shared" si="154"/>
        <v>0</v>
      </c>
      <c r="GG22" s="10">
        <f t="shared" si="155"/>
        <v>0</v>
      </c>
      <c r="GH22" s="10">
        <f t="shared" si="156"/>
        <v>1.0618000000000001</v>
      </c>
      <c r="GI22" s="539">
        <f t="shared" si="157"/>
        <v>4.2578180000000003</v>
      </c>
      <c r="GJ22" s="19">
        <f t="shared" si="158"/>
        <v>0</v>
      </c>
      <c r="GK22" s="10">
        <f t="shared" si="159"/>
        <v>0</v>
      </c>
      <c r="GL22" s="10">
        <f t="shared" si="160"/>
        <v>1.0618000000000001</v>
      </c>
      <c r="GM22" s="539">
        <f t="shared" si="161"/>
        <v>4.2578180000000003</v>
      </c>
      <c r="GN22" s="19">
        <f t="shared" si="162"/>
        <v>0</v>
      </c>
      <c r="GO22" s="10">
        <f t="shared" si="163"/>
        <v>0</v>
      </c>
      <c r="GP22" s="10">
        <f t="shared" si="164"/>
        <v>1.0618000000000001</v>
      </c>
      <c r="GQ22" s="539">
        <f t="shared" si="165"/>
        <v>4.2578180000000003</v>
      </c>
      <c r="GR22" s="19">
        <f t="shared" si="166"/>
        <v>0</v>
      </c>
      <c r="GS22" s="10">
        <f t="shared" si="167"/>
        <v>0</v>
      </c>
      <c r="GT22" s="10">
        <f t="shared" si="168"/>
        <v>1.0618000000000001</v>
      </c>
      <c r="GU22" s="539">
        <f t="shared" si="169"/>
        <v>4.2578180000000003</v>
      </c>
      <c r="GV22" s="19">
        <f t="shared" si="170"/>
        <v>0</v>
      </c>
      <c r="GW22" s="10">
        <f t="shared" si="171"/>
        <v>0</v>
      </c>
      <c r="GX22" s="10">
        <f t="shared" si="172"/>
        <v>1.0618000000000001</v>
      </c>
      <c r="GY22" s="539">
        <f t="shared" si="173"/>
        <v>4.2578180000000003</v>
      </c>
      <c r="GZ22" s="19">
        <f t="shared" si="174"/>
        <v>0</v>
      </c>
      <c r="HA22" s="10">
        <f t="shared" si="175"/>
        <v>0</v>
      </c>
      <c r="HB22" s="10">
        <f t="shared" si="176"/>
        <v>1.0618000000000001</v>
      </c>
      <c r="HC22" s="539">
        <f t="shared" si="177"/>
        <v>4.2578180000000003</v>
      </c>
      <c r="HD22" s="19">
        <f t="shared" si="178"/>
        <v>0</v>
      </c>
      <c r="HE22" s="10">
        <f t="shared" si="179"/>
        <v>0</v>
      </c>
      <c r="HF22" s="10">
        <f t="shared" si="180"/>
        <v>1.0618000000000001</v>
      </c>
      <c r="HG22" s="539">
        <f t="shared" si="181"/>
        <v>4.2578180000000003</v>
      </c>
      <c r="HH22" s="19">
        <f t="shared" si="182"/>
        <v>0</v>
      </c>
      <c r="HI22" s="10">
        <f t="shared" si="183"/>
        <v>0</v>
      </c>
      <c r="HJ22" s="10">
        <f t="shared" si="184"/>
        <v>1.0618000000000001</v>
      </c>
      <c r="HK22" s="539">
        <f t="shared" si="185"/>
        <v>4.2578180000000003</v>
      </c>
      <c r="HL22" s="19">
        <f t="shared" si="186"/>
        <v>0</v>
      </c>
      <c r="HM22" s="10">
        <f t="shared" si="187"/>
        <v>0</v>
      </c>
      <c r="HN22" s="10">
        <f t="shared" si="188"/>
        <v>1.0618000000000001</v>
      </c>
      <c r="HO22" s="539">
        <f t="shared" si="189"/>
        <v>4.2578180000000003</v>
      </c>
      <c r="HP22" s="19">
        <f t="shared" si="190"/>
        <v>0</v>
      </c>
      <c r="HQ22" s="10">
        <f t="shared" si="191"/>
        <v>0</v>
      </c>
      <c r="HR22" s="10">
        <f t="shared" si="192"/>
        <v>1.0618000000000001</v>
      </c>
      <c r="HS22" s="539">
        <f t="shared" si="193"/>
        <v>4.2578180000000003</v>
      </c>
      <c r="HT22" s="19">
        <f t="shared" si="194"/>
        <v>0</v>
      </c>
      <c r="HU22" s="10">
        <f t="shared" si="195"/>
        <v>0</v>
      </c>
      <c r="HV22" s="10">
        <f t="shared" si="196"/>
        <v>1.0618000000000001</v>
      </c>
      <c r="HW22" s="539">
        <f t="shared" si="197"/>
        <v>4.2578180000000003</v>
      </c>
      <c r="HX22" s="19">
        <f t="shared" si="198"/>
        <v>0</v>
      </c>
      <c r="HY22" s="10">
        <f t="shared" si="199"/>
        <v>0</v>
      </c>
      <c r="HZ22" s="10">
        <f t="shared" si="200"/>
        <v>1.0618000000000001</v>
      </c>
      <c r="IA22" s="539">
        <f t="shared" si="201"/>
        <v>4.2578180000000003</v>
      </c>
      <c r="IB22" s="19">
        <f t="shared" si="202"/>
        <v>0</v>
      </c>
      <c r="IF22" s="662"/>
      <c r="IG22" s="1303">
        <f>(IG9*(8.5+2*IG12*100)*IG18*100)/(IG15*100)</f>
        <v>188.65859999999998</v>
      </c>
      <c r="IH22" s="540" t="str">
        <f>IF(IH21&lt;IG4,"Overvalued","Undervalued")</f>
        <v>Overvalued</v>
      </c>
      <c r="II22" s="1303">
        <f>II12*II15</f>
        <v>199.31159999999997</v>
      </c>
      <c r="IJ22" s="1303">
        <f>IJ15/IJ12</f>
        <v>15.476190476190474</v>
      </c>
      <c r="IK22" s="1303">
        <f>IK12*IK15</f>
        <v>225.01540000000003</v>
      </c>
      <c r="IL22" s="540"/>
      <c r="IM22" s="540"/>
      <c r="IN22" s="540"/>
      <c r="IO22" s="666"/>
      <c r="IP22" s="236" t="str">
        <f>IF(IP21&lt;IG4,"Overvalued","Undervalued")</f>
        <v>Undervalued</v>
      </c>
      <c r="IU22" s="420"/>
      <c r="IY22"/>
      <c r="JC22" s="420"/>
    </row>
    <row r="23" spans="1:263" s="11" customFormat="1">
      <c r="A23" s="20"/>
      <c r="B23" s="637"/>
      <c r="C23" s="1213" t="s">
        <v>2342</v>
      </c>
      <c r="D23" s="47" t="s">
        <v>0</v>
      </c>
      <c r="E23" s="396">
        <f t="shared" ref="E23" si="248">F23+O23</f>
        <v>7.0055999999999994</v>
      </c>
      <c r="F23" s="242">
        <v>2.0055999999999998</v>
      </c>
      <c r="G23" s="48">
        <f>'Update Stock Prices'!S23</f>
        <v>2940270083.1024933</v>
      </c>
      <c r="H23" s="991">
        <f t="shared" ref="H23" si="249">F23/G23</f>
        <v>6.8211420832597294E-10</v>
      </c>
      <c r="I23" s="49">
        <f>'Update Stock Prices'!D23</f>
        <v>57.76</v>
      </c>
      <c r="J23" s="49">
        <f t="shared" si="1"/>
        <v>115.84345599999999</v>
      </c>
      <c r="K23" s="30">
        <v>93.5</v>
      </c>
      <c r="L23" s="49">
        <f t="shared" ref="L23" si="250">J23-K23</f>
        <v>22.343455999999989</v>
      </c>
      <c r="M23" s="50">
        <f t="shared" ref="M23" si="251">L23/K23</f>
        <v>0.23896744385026727</v>
      </c>
      <c r="N23" s="49">
        <f t="shared" ref="N23" si="252">K23/F23</f>
        <v>46.6194654966095</v>
      </c>
      <c r="O23" s="48">
        <f t="shared" ref="O23" si="253">IF(INT(($B$11-$B$12)/I23)&lt;0,0,INT(($B$11-$B$12)/I23))</f>
        <v>5</v>
      </c>
      <c r="P23" s="49">
        <f t="shared" si="247"/>
        <v>32.20999999999998</v>
      </c>
      <c r="Q23" s="30">
        <f>0.16*4</f>
        <v>0.64</v>
      </c>
      <c r="R23" s="49">
        <f t="shared" ref="R23" si="254">S23/365.25</f>
        <v>3.5142614647501705E-3</v>
      </c>
      <c r="S23" s="49">
        <f t="shared" ref="S23" si="255">F23*Q23</f>
        <v>1.2835839999999998</v>
      </c>
      <c r="T23" s="49">
        <f t="shared" ref="T23" si="256">S23/12</f>
        <v>0.10696533333333332</v>
      </c>
      <c r="U23" s="49" t="s">
        <v>54</v>
      </c>
      <c r="V23" s="50">
        <f t="shared" ref="V23" si="257">Q23/I23</f>
        <v>1.1080332409972299E-2</v>
      </c>
      <c r="W23" s="50">
        <f t="shared" ref="W23" si="258">S23/K23</f>
        <v>1.372817112299465E-2</v>
      </c>
      <c r="X23" s="49">
        <f t="shared" ref="X23" si="259">12*((E23*Q23)/12-T23)</f>
        <v>3.2</v>
      </c>
      <c r="Y23" s="49">
        <f t="shared" ref="Y23" si="260">IF(U23="Q",3*T23,IF(U23="Y",12*T23,IF(U23="B",6*T23,IF(U23="M",T23,0))))</f>
        <v>0.32089599999999996</v>
      </c>
      <c r="Z23" s="860">
        <f t="shared" ref="Z23" si="261">IF(Y23/I23&gt;1,1,0)</f>
        <v>0</v>
      </c>
      <c r="AA23" s="860">
        <f t="shared" ref="AA23" si="262">IF(Z23=1,"",IF(AND(U23&lt;&gt;"",Z23=0),I23/(Y23/F23)-F23,""))</f>
        <v>358.99439999999998</v>
      </c>
      <c r="AB23" s="49">
        <f t="shared" ref="AB23" si="263">IF(AA23&lt;&gt;"",AA23*I23,"")</f>
        <v>20735.516543999998</v>
      </c>
      <c r="AC23" s="48">
        <v>1</v>
      </c>
      <c r="AD23" s="47" t="str">
        <f t="shared" ref="AD23" si="264">D23</f>
        <v>C</v>
      </c>
      <c r="AE23" s="49">
        <f t="shared" ref="AE23" si="265">J23</f>
        <v>115.84345599999999</v>
      </c>
      <c r="AF23" s="50" t="e">
        <f t="shared" si="14"/>
        <v>#REF!</v>
      </c>
      <c r="AG23" s="890" t="e">
        <f t="shared" ref="AG23" si="266">(100*AF23)^2</f>
        <v>#REF!</v>
      </c>
      <c r="AH23" s="207" t="s">
        <v>2367</v>
      </c>
      <c r="AI23" s="240">
        <f t="shared" si="16"/>
        <v>3.0464309810327089E-2</v>
      </c>
      <c r="AJ23" s="11">
        <f t="shared" ref="AJ23" si="267">LEN(D23)</f>
        <v>1</v>
      </c>
      <c r="AQ23" s="11" t="str">
        <f>'Update Stock Prices'!Q23</f>
        <v>mega</v>
      </c>
      <c r="AT23" s="176" t="s">
        <v>1100</v>
      </c>
      <c r="AW23" s="27"/>
      <c r="AX23" s="27"/>
      <c r="AY23" s="224" t="s">
        <v>1221</v>
      </c>
      <c r="AZ23" s="602">
        <f>AZ6/1000</f>
        <v>24.186775023180001</v>
      </c>
      <c r="BA23" s="27"/>
      <c r="BB23" s="420"/>
      <c r="BD23" s="932"/>
      <c r="BE23" s="593">
        <f t="shared" si="17"/>
        <v>0</v>
      </c>
      <c r="BF23" s="725">
        <f t="shared" si="221"/>
        <v>503242.62687156629</v>
      </c>
      <c r="BG23" s="420" t="str">
        <f t="shared" ca="1" si="18"/>
        <v>M in college</v>
      </c>
      <c r="BH23" s="593">
        <f t="shared" ca="1" si="34"/>
        <v>24</v>
      </c>
      <c r="BI23" s="420">
        <f t="shared" ca="1" si="35"/>
        <v>58</v>
      </c>
      <c r="BJ23" s="420">
        <f t="shared" ca="1" si="35"/>
        <v>64</v>
      </c>
      <c r="BK23" s="420">
        <f t="shared" ca="1" si="36"/>
        <v>2038</v>
      </c>
      <c r="BL23" s="420" t="s">
        <v>1030</v>
      </c>
      <c r="BM23" s="19">
        <f t="shared" si="19"/>
        <v>676417.98076016351</v>
      </c>
      <c r="BN23" s="19">
        <f>FC149</f>
        <v>173175.35388859719</v>
      </c>
      <c r="BO23" s="20">
        <f>FD149</f>
        <v>9742.4920760007226</v>
      </c>
      <c r="BP23" s="183">
        <f t="shared" si="20"/>
        <v>5.6257959676340646E-2</v>
      </c>
      <c r="BQ23" s="19">
        <f t="shared" si="21"/>
        <v>811.87433966672688</v>
      </c>
      <c r="BR23" s="16"/>
      <c r="BS23" s="420" t="str">
        <f t="shared" si="37"/>
        <v>C</v>
      </c>
      <c r="BT23" s="425">
        <f t="shared" si="38"/>
        <v>2.0055999999999998</v>
      </c>
      <c r="BU23" s="19">
        <f t="shared" si="39"/>
        <v>57.76</v>
      </c>
      <c r="BV23" s="19">
        <f t="shared" si="40"/>
        <v>115.84345599999999</v>
      </c>
      <c r="BW23" s="539">
        <f t="shared" si="41"/>
        <v>0.64</v>
      </c>
      <c r="BX23" s="19">
        <f t="shared" si="42"/>
        <v>1.2835839999999998</v>
      </c>
      <c r="BY23" s="10">
        <f t="shared" si="43"/>
        <v>2.222271468144044E-2</v>
      </c>
      <c r="BZ23" s="10">
        <f t="shared" si="44"/>
        <v>2.0278227146814403</v>
      </c>
      <c r="CA23" s="539">
        <f t="shared" si="45"/>
        <v>117.12703999999998</v>
      </c>
      <c r="CB23" s="19">
        <f t="shared" si="46"/>
        <v>1.2978065373961218</v>
      </c>
      <c r="CC23" s="10">
        <f t="shared" si="47"/>
        <v>2.2468949747162775E-2</v>
      </c>
      <c r="CD23" s="10">
        <f t="shared" si="48"/>
        <v>2.0502916644286029</v>
      </c>
      <c r="CE23" s="539">
        <f t="shared" si="49"/>
        <v>118.42484653739609</v>
      </c>
      <c r="CF23" s="19">
        <f t="shared" si="50"/>
        <v>1.3121866652343059</v>
      </c>
      <c r="CG23" s="10">
        <f t="shared" si="51"/>
        <v>2.2717913179264301E-2</v>
      </c>
      <c r="CH23" s="10">
        <f t="shared" si="52"/>
        <v>2.0730095776078672</v>
      </c>
      <c r="CI23" s="539">
        <f t="shared" si="53"/>
        <v>119.7370332026304</v>
      </c>
      <c r="CJ23" s="19">
        <f t="shared" si="54"/>
        <v>1.3267261296690351</v>
      </c>
      <c r="CK23" s="10">
        <f t="shared" si="55"/>
        <v>2.2969635208951442E-2</v>
      </c>
      <c r="CL23" s="10">
        <f t="shared" si="56"/>
        <v>2.0959792128168186</v>
      </c>
      <c r="CM23" s="539">
        <f t="shared" si="57"/>
        <v>121.06375933229944</v>
      </c>
      <c r="CN23" s="19">
        <f t="shared" si="58"/>
        <v>1.3414266962027639</v>
      </c>
      <c r="CO23" s="10">
        <f t="shared" si="59"/>
        <v>2.3224146402402421E-2</v>
      </c>
      <c r="CP23" s="10">
        <f t="shared" si="60"/>
        <v>2.1192033592192212</v>
      </c>
      <c r="CQ23" s="539">
        <f t="shared" si="61"/>
        <v>122.40518602850221</v>
      </c>
      <c r="CR23" s="19">
        <f t="shared" si="62"/>
        <v>1.3562901499003015</v>
      </c>
      <c r="CS23" s="10">
        <f t="shared" si="63"/>
        <v>2.3481477664478907E-2</v>
      </c>
      <c r="CT23" s="10">
        <f t="shared" si="64"/>
        <v>2.1426848368837002</v>
      </c>
      <c r="CU23" s="539">
        <f t="shared" si="65"/>
        <v>123.76147617840252</v>
      </c>
      <c r="CV23" s="19">
        <f t="shared" si="66"/>
        <v>1.3713182956055681</v>
      </c>
      <c r="CW23" s="10">
        <f t="shared" si="67"/>
        <v>2.3741660242478674E-2</v>
      </c>
      <c r="CX23" s="10">
        <f t="shared" si="68"/>
        <v>2.1664264971261789</v>
      </c>
      <c r="CY23" s="539">
        <f t="shared" si="69"/>
        <v>125.13279447400808</v>
      </c>
      <c r="CZ23" s="19">
        <f t="shared" si="70"/>
        <v>1.3865129581607545</v>
      </c>
      <c r="DA23" s="10">
        <f t="shared" si="71"/>
        <v>2.4004725729929961E-2</v>
      </c>
      <c r="DB23" s="10">
        <f t="shared" si="72"/>
        <v>2.1904312228561089</v>
      </c>
      <c r="DC23" s="539">
        <f t="shared" si="73"/>
        <v>126.51930743216884</v>
      </c>
      <c r="DD23" s="19">
        <f t="shared" si="74"/>
        <v>1.4018759826279097</v>
      </c>
      <c r="DE23" s="10">
        <f t="shared" si="75"/>
        <v>2.4270706070427799E-2</v>
      </c>
      <c r="DF23" s="10">
        <f t="shared" si="76"/>
        <v>2.2147019289265368</v>
      </c>
      <c r="DG23" s="539">
        <f t="shared" si="77"/>
        <v>127.92118341479676</v>
      </c>
      <c r="DH23" s="19">
        <f t="shared" si="78"/>
        <v>1.4174092345129836</v>
      </c>
      <c r="DI23" s="10">
        <f t="shared" si="79"/>
        <v>2.4539633561512876E-2</v>
      </c>
      <c r="DJ23" s="10">
        <f t="shared" si="80"/>
        <v>2.2392415624880497</v>
      </c>
      <c r="DK23" s="539">
        <f t="shared" si="81"/>
        <v>129.33859264930976</v>
      </c>
      <c r="DL23" s="19">
        <f t="shared" si="82"/>
        <v>1.4331145999923518</v>
      </c>
      <c r="DM23" s="10">
        <f t="shared" si="83"/>
        <v>2.4811540858593349E-2</v>
      </c>
      <c r="DN23" s="10">
        <f t="shared" si="84"/>
        <v>2.2640531033466429</v>
      </c>
      <c r="DO23" s="539">
        <f t="shared" si="85"/>
        <v>130.7717072493021</v>
      </c>
      <c r="DP23" s="19">
        <f t="shared" si="86"/>
        <v>1.4489939861418515</v>
      </c>
      <c r="DQ23" s="10">
        <f t="shared" si="87"/>
        <v>2.5086460978910173E-2</v>
      </c>
      <c r="DR23" s="10">
        <f t="shared" si="88"/>
        <v>2.289139564325553</v>
      </c>
      <c r="DS23" s="539">
        <f t="shared" si="89"/>
        <v>132.22070123544393</v>
      </c>
      <c r="DT23" s="19">
        <f t="shared" si="90"/>
        <v>1.465049321168354</v>
      </c>
      <c r="DU23" s="10">
        <f t="shared" si="91"/>
        <v>2.5364427305546295E-2</v>
      </c>
      <c r="DV23" s="10">
        <f t="shared" si="92"/>
        <v>2.3145039916310992</v>
      </c>
      <c r="DW23" s="539">
        <f t="shared" si="93"/>
        <v>133.68575055661228</v>
      </c>
      <c r="DX23" s="19">
        <f t="shared" si="94"/>
        <v>1.4812825546439035</v>
      </c>
      <c r="DY23" s="10">
        <f t="shared" si="95"/>
        <v>2.5645473591480325E-2</v>
      </c>
      <c r="DZ23" s="10">
        <f t="shared" si="96"/>
        <v>2.3401494652225794</v>
      </c>
      <c r="EA23" s="539">
        <f t="shared" si="97"/>
        <v>135.16703311125619</v>
      </c>
      <c r="EB23" s="19">
        <f t="shared" si="98"/>
        <v>1.4976956577424509</v>
      </c>
      <c r="EC23" s="10">
        <f t="shared" si="99"/>
        <v>2.5929633963685094E-2</v>
      </c>
      <c r="ED23" s="10">
        <f t="shared" si="100"/>
        <v>2.3660790991862646</v>
      </c>
      <c r="EE23" s="539">
        <f t="shared" si="101"/>
        <v>136.66472876899863</v>
      </c>
      <c r="EF23" s="19">
        <f t="shared" si="102"/>
        <v>1.5142906234792093</v>
      </c>
      <c r="EG23" s="10">
        <f t="shared" si="103"/>
        <v>2.6216942927271631E-2</v>
      </c>
      <c r="EH23" s="10">
        <f t="shared" si="104"/>
        <v>2.3922960421135362</v>
      </c>
      <c r="EI23" s="539">
        <f t="shared" si="105"/>
        <v>138.17901939247784</v>
      </c>
      <c r="EJ23" s="19">
        <f t="shared" si="106"/>
        <v>1.5310694669526632</v>
      </c>
      <c r="EK23" s="10">
        <f t="shared" si="107"/>
        <v>2.6507435369679075E-2</v>
      </c>
      <c r="EL23" s="10">
        <f t="shared" si="108"/>
        <v>2.4188034774832152</v>
      </c>
      <c r="EM23" s="539">
        <f t="shared" si="109"/>
        <v>139.7100888594305</v>
      </c>
      <c r="EN23" s="19">
        <f t="shared" si="110"/>
        <v>1.5480342255892579</v>
      </c>
      <c r="EO23" s="10">
        <f t="shared" si="111"/>
        <v>2.6801146564910974E-2</v>
      </c>
      <c r="EP23" s="10">
        <f t="shared" si="112"/>
        <v>2.4456046240481264</v>
      </c>
      <c r="EQ23" s="539">
        <f t="shared" si="113"/>
        <v>141.25812308501978</v>
      </c>
      <c r="ER23" s="19">
        <f t="shared" si="114"/>
        <v>1.565186959390801</v>
      </c>
      <c r="ES23" s="10">
        <f t="shared" si="115"/>
        <v>2.7098112177818576E-2</v>
      </c>
      <c r="ET23" s="10">
        <f t="shared" si="116"/>
        <v>2.4727027362259451</v>
      </c>
      <c r="EU23" s="539">
        <f t="shared" si="117"/>
        <v>142.82331004441059</v>
      </c>
      <c r="EV23" s="19">
        <f t="shared" si="118"/>
        <v>1.5825297511846048</v>
      </c>
      <c r="EW23" s="10">
        <f t="shared" si="119"/>
        <v>2.7398368268431526E-2</v>
      </c>
      <c r="EX23" s="10">
        <f t="shared" si="120"/>
        <v>2.5001011044943766</v>
      </c>
      <c r="EY23" s="539">
        <f t="shared" si="121"/>
        <v>144.4058397955952</v>
      </c>
      <c r="EZ23" s="19">
        <f t="shared" si="122"/>
        <v>1.6000647068764011</v>
      </c>
      <c r="FA23" s="10">
        <f t="shared" si="123"/>
        <v>2.7701951296336586E-2</v>
      </c>
      <c r="FB23" s="10">
        <f t="shared" si="124"/>
        <v>2.5278030557907134</v>
      </c>
      <c r="FC23" s="539">
        <f t="shared" si="125"/>
        <v>146.00590450247159</v>
      </c>
      <c r="FD23" s="19">
        <f t="shared" si="126"/>
        <v>1.6177939557060566</v>
      </c>
      <c r="FE23" s="10">
        <f t="shared" si="127"/>
        <v>2.8008898125104858E-2</v>
      </c>
      <c r="FF23" s="10">
        <f t="shared" si="128"/>
        <v>2.5558119539158182</v>
      </c>
      <c r="FG23" s="539">
        <f t="shared" si="129"/>
        <v>147.62369845817764</v>
      </c>
      <c r="FH23" s="19">
        <f t="shared" si="130"/>
        <v>1.6357196505061236</v>
      </c>
      <c r="FI23" s="10">
        <f t="shared" si="131"/>
        <v>2.831924602676807E-2</v>
      </c>
      <c r="FJ23" s="10">
        <f t="shared" si="132"/>
        <v>2.5841311999425862</v>
      </c>
      <c r="FK23" s="539">
        <f t="shared" si="133"/>
        <v>149.25941810868378</v>
      </c>
      <c r="FL23" s="19">
        <f t="shared" si="134"/>
        <v>1.6538439679632553</v>
      </c>
      <c r="FM23" s="10">
        <f t="shared" si="135"/>
        <v>2.8633032686344449E-2</v>
      </c>
      <c r="FN23" s="10">
        <f t="shared" si="136"/>
        <v>2.6127642326289306</v>
      </c>
      <c r="FO23" s="539">
        <f t="shared" si="137"/>
        <v>150.91326207664702</v>
      </c>
      <c r="FP23" s="19">
        <f t="shared" si="138"/>
        <v>1.6721691088825157</v>
      </c>
      <c r="FQ23" s="10">
        <f t="shared" si="139"/>
        <v>2.8950296206414747E-2</v>
      </c>
      <c r="FR23" s="10">
        <f t="shared" si="140"/>
        <v>2.6417145288353452</v>
      </c>
      <c r="FS23" s="539">
        <f t="shared" si="141"/>
        <v>152.58543118552953</v>
      </c>
      <c r="FT23" s="19">
        <f t="shared" si="142"/>
        <v>1.6906972984546209</v>
      </c>
      <c r="FU23" s="10">
        <f t="shared" si="143"/>
        <v>2.9271075111748979E-2</v>
      </c>
      <c r="FV23" s="10">
        <f t="shared" si="144"/>
        <v>2.6709856039470941</v>
      </c>
      <c r="FW23" s="539">
        <f t="shared" si="145"/>
        <v>154.27612848398414</v>
      </c>
      <c r="FX23" s="19">
        <f t="shared" si="146"/>
        <v>1.7094307865261402</v>
      </c>
      <c r="FY23" s="10">
        <f t="shared" si="147"/>
        <v>2.9595408353984422E-2</v>
      </c>
      <c r="FZ23" s="10">
        <f t="shared" si="148"/>
        <v>2.7005810123010785</v>
      </c>
      <c r="GA23" s="539">
        <f t="shared" si="149"/>
        <v>155.98555927051029</v>
      </c>
      <c r="GB23" s="19">
        <f t="shared" si="150"/>
        <v>1.7283718478726904</v>
      </c>
      <c r="GC23" s="10">
        <f t="shared" si="151"/>
        <v>2.9923335316355444E-2</v>
      </c>
      <c r="GD23" s="10">
        <f t="shared" si="152"/>
        <v>2.7305043476174338</v>
      </c>
      <c r="GE23" s="539">
        <f t="shared" si="153"/>
        <v>157.71393111838296</v>
      </c>
      <c r="GF23" s="19">
        <f t="shared" si="154"/>
        <v>1.7475227824751576</v>
      </c>
      <c r="GG23" s="10">
        <f t="shared" si="155"/>
        <v>3.0254895818475722E-2</v>
      </c>
      <c r="GH23" s="10">
        <f t="shared" si="156"/>
        <v>2.7607592434359094</v>
      </c>
      <c r="GI23" s="539">
        <f t="shared" si="157"/>
        <v>159.46145390085812</v>
      </c>
      <c r="GJ23" s="19">
        <f t="shared" si="158"/>
        <v>1.766885915798982</v>
      </c>
      <c r="GK23" s="10">
        <f t="shared" si="159"/>
        <v>3.0590130121173512E-2</v>
      </c>
      <c r="GL23" s="10">
        <f t="shared" si="160"/>
        <v>2.7913493735570829</v>
      </c>
      <c r="GM23" s="539">
        <f t="shared" si="161"/>
        <v>161.2283398166571</v>
      </c>
      <c r="GN23" s="19">
        <f t="shared" si="162"/>
        <v>1.7864635990765332</v>
      </c>
      <c r="GO23" s="10">
        <f t="shared" si="163"/>
        <v>3.0929078931380423E-2</v>
      </c>
      <c r="GP23" s="10">
        <f t="shared" si="164"/>
        <v>2.8222784524884634</v>
      </c>
      <c r="GQ23" s="539">
        <f t="shared" si="165"/>
        <v>163.01480341573364</v>
      </c>
      <c r="GR23" s="19">
        <f t="shared" si="166"/>
        <v>1.8062582095926167</v>
      </c>
      <c r="GS23" s="10">
        <f t="shared" si="167"/>
        <v>3.1271783407074392E-2</v>
      </c>
      <c r="GT23" s="10">
        <f t="shared" si="168"/>
        <v>2.853550235895538</v>
      </c>
      <c r="GU23" s="539">
        <f t="shared" si="169"/>
        <v>164.82106162532628</v>
      </c>
      <c r="GV23" s="19">
        <f t="shared" si="170"/>
        <v>1.8262721509731443</v>
      </c>
      <c r="GW23" s="10">
        <f t="shared" si="171"/>
        <v>3.1618285162277431E-2</v>
      </c>
      <c r="GX23" s="10">
        <f t="shared" si="172"/>
        <v>2.8851685210578153</v>
      </c>
      <c r="GY23" s="539">
        <f t="shared" si="173"/>
        <v>166.6473337762994</v>
      </c>
      <c r="GZ23" s="19">
        <f t="shared" si="174"/>
        <v>1.8465078534770019</v>
      </c>
      <c r="HA23" s="10">
        <f t="shared" si="175"/>
        <v>3.1968626272108759E-2</v>
      </c>
      <c r="HB23" s="10">
        <f t="shared" si="176"/>
        <v>2.9171371473299241</v>
      </c>
      <c r="HC23" s="539">
        <f t="shared" si="177"/>
        <v>168.4938416297764</v>
      </c>
      <c r="HD23" s="19">
        <f t="shared" si="178"/>
        <v>1.8669677742911515</v>
      </c>
      <c r="HE23" s="10">
        <f t="shared" si="179"/>
        <v>3.2322849277893896E-2</v>
      </c>
      <c r="HF23" s="10">
        <f t="shared" si="180"/>
        <v>2.9494599966078181</v>
      </c>
      <c r="HG23" s="539">
        <f t="shared" si="181"/>
        <v>170.36080940406757</v>
      </c>
      <c r="HH23" s="19">
        <f t="shared" si="182"/>
        <v>1.8876543978290037</v>
      </c>
      <c r="HI23" s="10">
        <f t="shared" si="183"/>
        <v>3.2680997192330398E-2</v>
      </c>
      <c r="HJ23" s="10">
        <f t="shared" si="184"/>
        <v>2.9821409938001486</v>
      </c>
      <c r="HK23" s="539">
        <f t="shared" si="185"/>
        <v>172.24846380189658</v>
      </c>
      <c r="HL23" s="19">
        <f t="shared" si="186"/>
        <v>1.9085702360320951</v>
      </c>
      <c r="HM23" s="10">
        <f t="shared" si="187"/>
        <v>3.3043113504710786E-2</v>
      </c>
      <c r="HN23" s="10">
        <f t="shared" si="188"/>
        <v>3.0151841073048593</v>
      </c>
      <c r="HO23" s="539">
        <f t="shared" si="189"/>
        <v>174.15703403792867</v>
      </c>
      <c r="HP23" s="19">
        <f t="shared" si="190"/>
        <v>1.92971782867511</v>
      </c>
      <c r="HQ23" s="10">
        <f t="shared" si="191"/>
        <v>3.3409242186203426E-2</v>
      </c>
      <c r="HR23" s="10">
        <f t="shared" si="192"/>
        <v>3.0485933494910626</v>
      </c>
      <c r="HS23" s="539">
        <f t="shared" si="193"/>
        <v>176.08675186660378</v>
      </c>
      <c r="HT23" s="19">
        <f t="shared" si="194"/>
        <v>1.9510997436742801</v>
      </c>
      <c r="HU23" s="10">
        <f t="shared" si="195"/>
        <v>3.3779427695191828E-2</v>
      </c>
      <c r="HV23" s="10">
        <f t="shared" si="196"/>
        <v>3.0823727771862544</v>
      </c>
      <c r="HW23" s="539">
        <f t="shared" si="197"/>
        <v>178.03785161027804</v>
      </c>
      <c r="HX23" s="19">
        <f t="shared" si="198"/>
        <v>1.9727185773992029</v>
      </c>
      <c r="HY23" s="10">
        <f t="shared" si="199"/>
        <v>3.4153714982673181E-2</v>
      </c>
      <c r="HZ23" s="10">
        <f t="shared" si="200"/>
        <v>3.1165264921689277</v>
      </c>
      <c r="IA23" s="539">
        <f t="shared" si="201"/>
        <v>180.01057018767727</v>
      </c>
      <c r="IB23" s="19">
        <f t="shared" si="202"/>
        <v>1.9945769549881138</v>
      </c>
      <c r="IF23" s="662"/>
      <c r="IG23" s="540" t="str">
        <f>IF(IG22&lt;IG4,"Overvalued","Undervalued")</f>
        <v>Overvalued</v>
      </c>
      <c r="IH23" s="1304"/>
      <c r="II23" s="1301" t="str">
        <f>IF(II22&lt;IG4,"Overvalued","Undervalued")</f>
        <v>Overvalued</v>
      </c>
      <c r="IJ23" s="1301" t="str">
        <f>IF(IJ22&lt;IG4,"Overvalued","Undervalued")</f>
        <v>Overvalued</v>
      </c>
      <c r="IK23" s="1301" t="str">
        <f>IF(IK22&lt;IG4,"Overvalued","Undervalued")</f>
        <v>Undervalued</v>
      </c>
      <c r="IL23" s="540"/>
      <c r="IM23" s="540" t="s">
        <v>1393</v>
      </c>
      <c r="IN23" s="540" t="s">
        <v>1400</v>
      </c>
      <c r="IO23" s="666"/>
      <c r="IP23" s="236"/>
      <c r="IU23" s="420"/>
      <c r="IY23"/>
      <c r="JC23" s="420"/>
    </row>
    <row r="24" spans="1:263" s="11" customFormat="1" ht="13.5" thickBot="1">
      <c r="A24" s="20"/>
      <c r="B24" s="20"/>
      <c r="C24" s="826" t="s">
        <v>2342</v>
      </c>
      <c r="D24" s="47" t="s">
        <v>97</v>
      </c>
      <c r="E24" s="396">
        <f t="shared" si="0"/>
        <v>24.7653</v>
      </c>
      <c r="F24" s="242">
        <f>7.6981+0.0672</f>
        <v>7.7652999999999999</v>
      </c>
      <c r="G24" s="48">
        <f>'Update Stock Prices'!S24</f>
        <v>188024622.27196416</v>
      </c>
      <c r="H24" s="991">
        <f t="shared" si="27"/>
        <v>4.1299378273809527E-8</v>
      </c>
      <c r="I24" s="49">
        <f>'Update Stock Prices'!D24</f>
        <v>17.87</v>
      </c>
      <c r="J24" s="49">
        <f t="shared" si="1"/>
        <v>138.76591100000002</v>
      </c>
      <c r="K24" s="30">
        <v>116.14</v>
      </c>
      <c r="L24" s="49">
        <f t="shared" si="28"/>
        <v>22.625911000000016</v>
      </c>
      <c r="M24" s="50">
        <f t="shared" si="29"/>
        <v>0.19481583433786823</v>
      </c>
      <c r="N24" s="49">
        <f t="shared" si="30"/>
        <v>14.956279860404621</v>
      </c>
      <c r="O24" s="48">
        <f t="shared" si="2"/>
        <v>17</v>
      </c>
      <c r="P24" s="49">
        <f t="shared" si="247"/>
        <v>17.21999999999997</v>
      </c>
      <c r="Q24" s="30">
        <f>0.5*4</f>
        <v>2</v>
      </c>
      <c r="R24" s="49">
        <f>S24/365.25</f>
        <v>4.2520465434633808E-2</v>
      </c>
      <c r="S24" s="49">
        <f t="shared" si="4"/>
        <v>15.5306</v>
      </c>
      <c r="T24" s="49">
        <f>S24/12</f>
        <v>1.2942166666666666</v>
      </c>
      <c r="U24" s="49" t="s">
        <v>54</v>
      </c>
      <c r="V24" s="50">
        <f t="shared" si="6"/>
        <v>0.1119194180190263</v>
      </c>
      <c r="W24" s="50">
        <f t="shared" si="7"/>
        <v>0.13372309281901154</v>
      </c>
      <c r="X24" s="49">
        <f t="shared" si="246"/>
        <v>34.000000000000007</v>
      </c>
      <c r="Y24" s="49">
        <f t="shared" si="32"/>
        <v>3.8826499999999999</v>
      </c>
      <c r="Z24" s="860">
        <f t="shared" si="9"/>
        <v>0</v>
      </c>
      <c r="AA24" s="860">
        <f t="shared" si="10"/>
        <v>27.974700000000002</v>
      </c>
      <c r="AB24" s="49">
        <f t="shared" si="11"/>
        <v>499.90788900000007</v>
      </c>
      <c r="AC24" s="48">
        <v>1</v>
      </c>
      <c r="AD24" s="47" t="str">
        <f t="shared" si="12"/>
        <v>CIM</v>
      </c>
      <c r="AE24" s="49">
        <f t="shared" si="13"/>
        <v>138.76591100000002</v>
      </c>
      <c r="AF24" s="50" t="e">
        <f t="shared" si="14"/>
        <v>#REF!</v>
      </c>
      <c r="AG24" s="890" t="e">
        <f t="shared" si="15"/>
        <v>#REF!</v>
      </c>
      <c r="AH24" s="207" t="s">
        <v>99</v>
      </c>
      <c r="AI24" s="240">
        <f t="shared" si="16"/>
        <v>4.3713332330891926E-2</v>
      </c>
      <c r="AJ24" s="11">
        <f t="shared" si="33"/>
        <v>3</v>
      </c>
      <c r="AQ24" s="11" t="str">
        <f>'Update Stock Prices'!Q24</f>
        <v>mid</v>
      </c>
      <c r="AR24" s="11">
        <v>1</v>
      </c>
      <c r="AT24" s="176" t="s">
        <v>1358</v>
      </c>
      <c r="AW24" s="27"/>
      <c r="AX24" s="27"/>
      <c r="AY24" s="441" t="s">
        <v>1222</v>
      </c>
      <c r="AZ24" s="600">
        <f>AZ23*AZ22</f>
        <v>7.0141647567221996</v>
      </c>
      <c r="BA24" s="27"/>
      <c r="BB24" s="420"/>
      <c r="BD24" s="932"/>
      <c r="BE24" s="593">
        <f t="shared" si="17"/>
        <v>0</v>
      </c>
      <c r="BF24" s="725">
        <f t="shared" si="221"/>
        <v>524265.84940899763</v>
      </c>
      <c r="BG24" s="420" t="str">
        <f t="shared" ca="1" si="18"/>
        <v>M in college</v>
      </c>
      <c r="BH24" s="593">
        <f t="shared" ca="1" si="34"/>
        <v>25</v>
      </c>
      <c r="BI24" s="420">
        <f t="shared" ca="1" si="35"/>
        <v>59</v>
      </c>
      <c r="BJ24" s="420">
        <f t="shared" ca="1" si="35"/>
        <v>65</v>
      </c>
      <c r="BK24" s="420">
        <f t="shared" ca="1" si="36"/>
        <v>2039</v>
      </c>
      <c r="BL24" s="420" t="s">
        <v>1031</v>
      </c>
      <c r="BM24" s="19">
        <f t="shared" si="19"/>
        <v>707183.69537359558</v>
      </c>
      <c r="BN24" s="19">
        <f>FG149</f>
        <v>182917.84596459795</v>
      </c>
      <c r="BO24" s="19">
        <f>FH149</f>
        <v>10467.182495848721</v>
      </c>
      <c r="BP24" s="183">
        <f t="shared" si="20"/>
        <v>5.722340781267754E-2</v>
      </c>
      <c r="BQ24" s="19">
        <f t="shared" si="21"/>
        <v>872.26520798739341</v>
      </c>
      <c r="BR24" s="16"/>
      <c r="BS24" s="420" t="str">
        <f t="shared" si="37"/>
        <v>CIM</v>
      </c>
      <c r="BT24" s="425">
        <f t="shared" si="38"/>
        <v>7.7652999999999999</v>
      </c>
      <c r="BU24" s="19">
        <f t="shared" si="39"/>
        <v>17.87</v>
      </c>
      <c r="BV24" s="19">
        <f t="shared" si="40"/>
        <v>138.76591100000002</v>
      </c>
      <c r="BW24" s="539">
        <f t="shared" si="41"/>
        <v>2</v>
      </c>
      <c r="BX24" s="19">
        <f t="shared" si="42"/>
        <v>15.5306</v>
      </c>
      <c r="BY24" s="10">
        <f t="shared" si="43"/>
        <v>0.86908785674314493</v>
      </c>
      <c r="BZ24" s="10">
        <f t="shared" si="44"/>
        <v>8.6343878567431442</v>
      </c>
      <c r="CA24" s="539">
        <f t="shared" si="45"/>
        <v>154.29651100000001</v>
      </c>
      <c r="CB24" s="19">
        <f t="shared" si="46"/>
        <v>17.268775713486288</v>
      </c>
      <c r="CC24" s="10">
        <f t="shared" si="47"/>
        <v>0.96635566387724048</v>
      </c>
      <c r="CD24" s="10">
        <f t="shared" si="48"/>
        <v>9.6007435206203855</v>
      </c>
      <c r="CE24" s="539">
        <f t="shared" si="49"/>
        <v>171.5652867134863</v>
      </c>
      <c r="CF24" s="19">
        <f t="shared" si="50"/>
        <v>19.201487041240771</v>
      </c>
      <c r="CG24" s="10">
        <f t="shared" si="51"/>
        <v>1.0745096273777712</v>
      </c>
      <c r="CH24" s="10">
        <f t="shared" si="52"/>
        <v>10.675253147998157</v>
      </c>
      <c r="CI24" s="539">
        <f t="shared" si="53"/>
        <v>190.76677375472707</v>
      </c>
      <c r="CJ24" s="19">
        <f t="shared" si="54"/>
        <v>21.350506295996315</v>
      </c>
      <c r="CK24" s="10">
        <f t="shared" si="55"/>
        <v>1.1947681195297322</v>
      </c>
      <c r="CL24" s="10">
        <f t="shared" si="56"/>
        <v>11.870021267527889</v>
      </c>
      <c r="CM24" s="539">
        <f t="shared" si="57"/>
        <v>212.11728005072339</v>
      </c>
      <c r="CN24" s="19">
        <f t="shared" si="58"/>
        <v>23.740042535055778</v>
      </c>
      <c r="CO24" s="10">
        <f t="shared" si="59"/>
        <v>1.3284858721351862</v>
      </c>
      <c r="CP24" s="10">
        <f t="shared" si="60"/>
        <v>13.198507139663075</v>
      </c>
      <c r="CQ24" s="539">
        <f t="shared" si="61"/>
        <v>235.85732258577917</v>
      </c>
      <c r="CR24" s="19">
        <f t="shared" si="62"/>
        <v>26.39701427932615</v>
      </c>
      <c r="CS24" s="10">
        <f t="shared" si="63"/>
        <v>1.4771692377910548</v>
      </c>
      <c r="CT24" s="10">
        <f t="shared" si="64"/>
        <v>14.675676377454129</v>
      </c>
      <c r="CU24" s="539">
        <f t="shared" si="65"/>
        <v>262.2543368651053</v>
      </c>
      <c r="CV24" s="19">
        <f t="shared" si="66"/>
        <v>29.351352754908259</v>
      </c>
      <c r="CW24" s="10">
        <f t="shared" si="67"/>
        <v>1.6424931592002383</v>
      </c>
      <c r="CX24" s="10">
        <f t="shared" si="68"/>
        <v>16.318169536654366</v>
      </c>
      <c r="CY24" s="539">
        <f t="shared" si="69"/>
        <v>291.60568962001355</v>
      </c>
      <c r="CZ24" s="19">
        <f t="shared" si="70"/>
        <v>32.636339073308733</v>
      </c>
      <c r="DA24" s="10">
        <f t="shared" si="71"/>
        <v>1.8263200376781608</v>
      </c>
      <c r="DB24" s="10">
        <f t="shared" si="72"/>
        <v>18.144489574332528</v>
      </c>
      <c r="DC24" s="539">
        <f t="shared" si="73"/>
        <v>324.24202869332231</v>
      </c>
      <c r="DD24" s="19">
        <f t="shared" si="74"/>
        <v>36.288979148665057</v>
      </c>
      <c r="DE24" s="10">
        <f t="shared" si="75"/>
        <v>2.0307207134115868</v>
      </c>
      <c r="DF24" s="10">
        <f t="shared" si="76"/>
        <v>20.175210287744115</v>
      </c>
      <c r="DG24" s="539">
        <f t="shared" si="77"/>
        <v>360.53100784198733</v>
      </c>
      <c r="DH24" s="19">
        <f t="shared" si="78"/>
        <v>40.350420575488229</v>
      </c>
      <c r="DI24" s="10">
        <f t="shared" si="79"/>
        <v>2.2579977938157931</v>
      </c>
      <c r="DJ24" s="10">
        <f t="shared" si="80"/>
        <v>22.433208081559908</v>
      </c>
      <c r="DK24" s="539">
        <f t="shared" si="81"/>
        <v>400.88142841747555</v>
      </c>
      <c r="DL24" s="19">
        <f t="shared" si="82"/>
        <v>44.866416163119816</v>
      </c>
      <c r="DM24" s="10">
        <f t="shared" si="83"/>
        <v>2.5107115927879025</v>
      </c>
      <c r="DN24" s="10">
        <f t="shared" si="84"/>
        <v>24.943919674347811</v>
      </c>
      <c r="DO24" s="539">
        <f t="shared" si="85"/>
        <v>445.74784458059543</v>
      </c>
      <c r="DP24" s="19">
        <f t="shared" si="86"/>
        <v>49.887839348695621</v>
      </c>
      <c r="DQ24" s="10">
        <f t="shared" si="87"/>
        <v>2.7917089730663469</v>
      </c>
      <c r="DR24" s="10">
        <f t="shared" si="88"/>
        <v>27.735628647414156</v>
      </c>
      <c r="DS24" s="539">
        <f t="shared" si="89"/>
        <v>495.63568392929102</v>
      </c>
      <c r="DT24" s="19">
        <f t="shared" si="90"/>
        <v>55.471257294828312</v>
      </c>
      <c r="DU24" s="10">
        <f t="shared" si="91"/>
        <v>3.1041554166104257</v>
      </c>
      <c r="DV24" s="10">
        <f t="shared" si="92"/>
        <v>30.839784064024581</v>
      </c>
      <c r="DW24" s="539">
        <f t="shared" si="93"/>
        <v>551.10694122411928</v>
      </c>
      <c r="DX24" s="19">
        <f t="shared" si="94"/>
        <v>61.679568128049162</v>
      </c>
      <c r="DY24" s="10">
        <f t="shared" si="95"/>
        <v>3.4515706842780727</v>
      </c>
      <c r="DZ24" s="10">
        <f t="shared" si="96"/>
        <v>34.291354748302652</v>
      </c>
      <c r="EA24" s="539">
        <f t="shared" si="97"/>
        <v>612.78650935216842</v>
      </c>
      <c r="EB24" s="19">
        <f t="shared" si="98"/>
        <v>68.582709496605304</v>
      </c>
      <c r="EC24" s="10">
        <f t="shared" si="99"/>
        <v>3.8378684665140068</v>
      </c>
      <c r="ED24" s="10">
        <f t="shared" si="100"/>
        <v>38.129223214816662</v>
      </c>
      <c r="EE24" s="539">
        <f t="shared" si="101"/>
        <v>681.36921884877381</v>
      </c>
      <c r="EF24" s="19">
        <f t="shared" si="102"/>
        <v>76.258446429633324</v>
      </c>
      <c r="EG24" s="10">
        <f t="shared" si="103"/>
        <v>4.2674004717198279</v>
      </c>
      <c r="EH24" s="10">
        <f t="shared" si="104"/>
        <v>42.396623686536486</v>
      </c>
      <c r="EI24" s="539">
        <f t="shared" si="105"/>
        <v>757.62766527840711</v>
      </c>
      <c r="EJ24" s="19">
        <f t="shared" si="106"/>
        <v>84.793247373072973</v>
      </c>
      <c r="EK24" s="10">
        <f t="shared" si="107"/>
        <v>4.7450054489688283</v>
      </c>
      <c r="EL24" s="10">
        <f t="shared" si="108"/>
        <v>47.141629135505312</v>
      </c>
      <c r="EM24" s="539">
        <f t="shared" si="109"/>
        <v>842.42091265147997</v>
      </c>
      <c r="EN24" s="19">
        <f t="shared" si="110"/>
        <v>94.283258271010624</v>
      </c>
      <c r="EO24" s="10">
        <f t="shared" si="111"/>
        <v>5.2760636973145285</v>
      </c>
      <c r="EP24" s="10">
        <f t="shared" si="112"/>
        <v>52.417692832819839</v>
      </c>
      <c r="EQ24" s="539">
        <f t="shared" si="113"/>
        <v>936.70417092249056</v>
      </c>
      <c r="ER24" s="19">
        <f t="shared" si="114"/>
        <v>104.83538566563968</v>
      </c>
      <c r="ES24" s="10">
        <f t="shared" si="115"/>
        <v>5.8665576757492826</v>
      </c>
      <c r="ET24" s="10">
        <f t="shared" si="116"/>
        <v>58.284250508569123</v>
      </c>
      <c r="EU24" s="539">
        <f t="shared" si="117"/>
        <v>1041.5395565881304</v>
      </c>
      <c r="EV24" s="19">
        <f t="shared" si="118"/>
        <v>116.56850101713825</v>
      </c>
      <c r="EW24" s="10">
        <f t="shared" si="119"/>
        <v>6.5231393965941935</v>
      </c>
      <c r="EX24" s="10">
        <f t="shared" si="120"/>
        <v>64.807389905163319</v>
      </c>
      <c r="EY24" s="539">
        <f t="shared" si="121"/>
        <v>1158.1080576052686</v>
      </c>
      <c r="EZ24" s="19">
        <f t="shared" si="122"/>
        <v>129.61477981032664</v>
      </c>
      <c r="FA24" s="10">
        <f t="shared" si="123"/>
        <v>7.2532053615179981</v>
      </c>
      <c r="FB24" s="10">
        <f t="shared" si="124"/>
        <v>72.060595266681318</v>
      </c>
      <c r="FC24" s="539">
        <f t="shared" si="125"/>
        <v>1287.7228374155952</v>
      </c>
      <c r="FD24" s="19">
        <f t="shared" si="126"/>
        <v>144.12119053336264</v>
      </c>
      <c r="FE24" s="10">
        <f t="shared" si="127"/>
        <v>8.0649798843515743</v>
      </c>
      <c r="FF24" s="10">
        <f t="shared" si="128"/>
        <v>80.125575151032891</v>
      </c>
      <c r="FG24" s="539">
        <f t="shared" si="129"/>
        <v>1431.8440279489578</v>
      </c>
      <c r="FH24" s="19">
        <f t="shared" si="130"/>
        <v>160.25115030206578</v>
      </c>
      <c r="FI24" s="10">
        <f t="shared" si="131"/>
        <v>8.9676077393433555</v>
      </c>
      <c r="FJ24" s="10">
        <f t="shared" si="132"/>
        <v>89.093182890376241</v>
      </c>
      <c r="FK24" s="539">
        <f t="shared" si="133"/>
        <v>1592.0951782510235</v>
      </c>
      <c r="FL24" s="19">
        <f t="shared" si="134"/>
        <v>178.18636578075248</v>
      </c>
      <c r="FM24" s="10">
        <f t="shared" si="135"/>
        <v>9.9712571785535804</v>
      </c>
      <c r="FN24" s="10">
        <f t="shared" si="136"/>
        <v>99.064440068929827</v>
      </c>
      <c r="FO24" s="539">
        <f t="shared" si="137"/>
        <v>1770.2815440317761</v>
      </c>
      <c r="FP24" s="19">
        <f t="shared" si="138"/>
        <v>198.12888013785965</v>
      </c>
      <c r="FQ24" s="10">
        <f t="shared" si="139"/>
        <v>11.087234478895335</v>
      </c>
      <c r="FR24" s="10">
        <f t="shared" si="140"/>
        <v>110.15167454782517</v>
      </c>
      <c r="FS24" s="539">
        <f t="shared" si="141"/>
        <v>1968.4104241696359</v>
      </c>
      <c r="FT24" s="19">
        <f t="shared" si="142"/>
        <v>220.30334909565033</v>
      </c>
      <c r="FU24" s="10">
        <f t="shared" si="143"/>
        <v>12.328111309213783</v>
      </c>
      <c r="FV24" s="10">
        <f t="shared" si="144"/>
        <v>122.47978585703895</v>
      </c>
      <c r="FW24" s="539">
        <f t="shared" si="145"/>
        <v>2188.7137732652859</v>
      </c>
      <c r="FX24" s="19">
        <f t="shared" si="146"/>
        <v>244.9595717140779</v>
      </c>
      <c r="FY24" s="10">
        <f t="shared" si="147"/>
        <v>13.707866352214767</v>
      </c>
      <c r="FZ24" s="10">
        <f t="shared" si="148"/>
        <v>136.18765220925371</v>
      </c>
      <c r="GA24" s="539">
        <f t="shared" si="149"/>
        <v>2433.6733449793642</v>
      </c>
      <c r="GB24" s="19">
        <f t="shared" si="150"/>
        <v>272.37530441850743</v>
      </c>
      <c r="GC24" s="10">
        <f t="shared" si="151"/>
        <v>15.242042776637236</v>
      </c>
      <c r="GD24" s="10">
        <f t="shared" si="152"/>
        <v>151.42969498589096</v>
      </c>
      <c r="GE24" s="539">
        <f t="shared" si="153"/>
        <v>2706.0486493978715</v>
      </c>
      <c r="GF24" s="19">
        <f t="shared" si="154"/>
        <v>302.85938997178192</v>
      </c>
      <c r="GG24" s="10">
        <f t="shared" si="155"/>
        <v>16.947923333619581</v>
      </c>
      <c r="GH24" s="10">
        <f t="shared" si="156"/>
        <v>168.37761831951053</v>
      </c>
      <c r="GI24" s="539">
        <f t="shared" si="157"/>
        <v>3008.9080393696536</v>
      </c>
      <c r="GJ24" s="19">
        <f t="shared" si="158"/>
        <v>336.75523663902106</v>
      </c>
      <c r="GK24" s="10">
        <f t="shared" si="159"/>
        <v>18.844725049749361</v>
      </c>
      <c r="GL24" s="10">
        <f t="shared" si="160"/>
        <v>187.2223433692599</v>
      </c>
      <c r="GM24" s="539">
        <f t="shared" si="161"/>
        <v>3345.6632760086745</v>
      </c>
      <c r="GN24" s="19">
        <f t="shared" si="162"/>
        <v>374.44468673851981</v>
      </c>
      <c r="GO24" s="10">
        <f t="shared" si="163"/>
        <v>20.953815710045873</v>
      </c>
      <c r="GP24" s="10">
        <f t="shared" si="164"/>
        <v>208.17615907930576</v>
      </c>
      <c r="GQ24" s="539">
        <f t="shared" si="165"/>
        <v>3720.1079627471941</v>
      </c>
      <c r="GR24" s="19">
        <f t="shared" si="166"/>
        <v>416.35231815861152</v>
      </c>
      <c r="GS24" s="10">
        <f t="shared" si="167"/>
        <v>23.298954569592137</v>
      </c>
      <c r="GT24" s="10">
        <f t="shared" si="168"/>
        <v>231.47511364889789</v>
      </c>
      <c r="GU24" s="539">
        <f t="shared" si="169"/>
        <v>4136.4602809058051</v>
      </c>
      <c r="GV24" s="19">
        <f t="shared" si="170"/>
        <v>462.95022729779578</v>
      </c>
      <c r="GW24" s="10">
        <f t="shared" si="171"/>
        <v>25.90656000547262</v>
      </c>
      <c r="GX24" s="10">
        <f t="shared" si="172"/>
        <v>257.3816736543705</v>
      </c>
      <c r="GY24" s="539">
        <f t="shared" si="173"/>
        <v>4599.4105082036012</v>
      </c>
      <c r="GZ24" s="19">
        <f t="shared" si="174"/>
        <v>514.763347308741</v>
      </c>
      <c r="HA24" s="10">
        <f t="shared" si="175"/>
        <v>28.8060071241601</v>
      </c>
      <c r="HB24" s="10">
        <f t="shared" si="176"/>
        <v>286.18768077853059</v>
      </c>
      <c r="HC24" s="539">
        <f t="shared" si="177"/>
        <v>5114.173855512342</v>
      </c>
      <c r="HD24" s="19">
        <f t="shared" si="178"/>
        <v>572.37536155706118</v>
      </c>
      <c r="HE24" s="10">
        <f t="shared" si="179"/>
        <v>32.02995867694802</v>
      </c>
      <c r="HF24" s="10">
        <f t="shared" si="180"/>
        <v>318.2176394554786</v>
      </c>
      <c r="HG24" s="539">
        <f t="shared" si="181"/>
        <v>5686.5492170694033</v>
      </c>
      <c r="HH24" s="19">
        <f t="shared" si="182"/>
        <v>636.43527891095721</v>
      </c>
      <c r="HI24" s="10">
        <f t="shared" si="183"/>
        <v>35.614733011245505</v>
      </c>
      <c r="HJ24" s="10">
        <f t="shared" si="184"/>
        <v>353.83237246672411</v>
      </c>
      <c r="HK24" s="539">
        <f t="shared" si="185"/>
        <v>6322.9844959803604</v>
      </c>
      <c r="HL24" s="19">
        <f t="shared" si="186"/>
        <v>707.66474493344822</v>
      </c>
      <c r="HM24" s="10">
        <f t="shared" si="187"/>
        <v>39.600713202767103</v>
      </c>
      <c r="HN24" s="10">
        <f t="shared" si="188"/>
        <v>393.43308566949122</v>
      </c>
      <c r="HO24" s="539">
        <f t="shared" si="189"/>
        <v>7030.6492409138082</v>
      </c>
      <c r="HP24" s="19">
        <f t="shared" si="190"/>
        <v>786.86617133898244</v>
      </c>
      <c r="HQ24" s="10">
        <f t="shared" si="191"/>
        <v>44.032801977559174</v>
      </c>
      <c r="HR24" s="10">
        <f t="shared" si="192"/>
        <v>437.46588764705041</v>
      </c>
      <c r="HS24" s="539">
        <f t="shared" si="193"/>
        <v>7817.5154122527911</v>
      </c>
      <c r="HT24" s="19">
        <f t="shared" si="194"/>
        <v>874.93177529410082</v>
      </c>
      <c r="HU24" s="10">
        <f t="shared" si="195"/>
        <v>48.960927548634629</v>
      </c>
      <c r="HV24" s="10">
        <f t="shared" si="196"/>
        <v>486.42681519568504</v>
      </c>
      <c r="HW24" s="539">
        <f t="shared" si="197"/>
        <v>8692.4471875468917</v>
      </c>
      <c r="HX24" s="19">
        <f t="shared" si="198"/>
        <v>972.85363039137007</v>
      </c>
      <c r="HY24" s="10">
        <f t="shared" si="199"/>
        <v>54.440606065549524</v>
      </c>
      <c r="HZ24" s="10">
        <f t="shared" si="200"/>
        <v>540.86742126123454</v>
      </c>
      <c r="IA24" s="539">
        <f t="shared" si="201"/>
        <v>9665.3008179382614</v>
      </c>
      <c r="IB24" s="19">
        <f t="shared" si="202"/>
        <v>1081.7348425224691</v>
      </c>
      <c r="IC24" s="420"/>
      <c r="IF24" s="662"/>
      <c r="IG24" s="1301"/>
      <c r="IH24" s="1304"/>
      <c r="II24" s="1301"/>
      <c r="IJ24" s="1301"/>
      <c r="IK24" s="1301"/>
      <c r="IL24" s="540"/>
      <c r="IM24" s="1382">
        <f>IM12+IM18*IM15</f>
        <v>7.5200000000000003E-2</v>
      </c>
      <c r="IN24" s="1376">
        <f>G38</f>
        <v>83291745.683201924</v>
      </c>
      <c r="IO24" s="666"/>
      <c r="IP24" s="236"/>
      <c r="IU24" s="420"/>
      <c r="IY24"/>
      <c r="JC24" s="420"/>
    </row>
    <row r="25" spans="1:263">
      <c r="A25" s="20"/>
      <c r="B25" s="20"/>
      <c r="C25" s="826" t="s">
        <v>2344</v>
      </c>
      <c r="D25" s="47" t="s">
        <v>389</v>
      </c>
      <c r="E25" s="396">
        <f t="shared" si="0"/>
        <v>26</v>
      </c>
      <c r="F25" s="242">
        <v>14</v>
      </c>
      <c r="G25" s="48">
        <f>'Update Stock Prices'!S25</f>
        <v>10665730.337078651</v>
      </c>
      <c r="H25" s="991">
        <f t="shared" si="27"/>
        <v>1.3126152225441137E-6</v>
      </c>
      <c r="I25" s="49">
        <f>'Update Stock Prices'!D25</f>
        <v>24.92</v>
      </c>
      <c r="J25" s="49">
        <f t="shared" si="1"/>
        <v>348.88</v>
      </c>
      <c r="K25" s="30">
        <v>240.71</v>
      </c>
      <c r="L25" s="49">
        <f t="shared" si="28"/>
        <v>108.16999999999999</v>
      </c>
      <c r="M25" s="50">
        <f t="shared" si="29"/>
        <v>0.44937892069294993</v>
      </c>
      <c r="N25" s="49">
        <f t="shared" si="30"/>
        <v>17.193571428571428</v>
      </c>
      <c r="O25" s="48">
        <f t="shared" si="2"/>
        <v>12</v>
      </c>
      <c r="P25" s="49">
        <f t="shared" si="247"/>
        <v>21.96999999999997</v>
      </c>
      <c r="Q25" s="30">
        <f>0.35*4</f>
        <v>1.4</v>
      </c>
      <c r="R25" s="49">
        <f t="shared" si="242"/>
        <v>5.3661875427789177E-2</v>
      </c>
      <c r="S25" s="49">
        <f t="shared" si="4"/>
        <v>19.599999999999998</v>
      </c>
      <c r="T25" s="49">
        <f t="shared" si="31"/>
        <v>1.6333333333333331</v>
      </c>
      <c r="U25" s="49" t="s">
        <v>54</v>
      </c>
      <c r="V25" s="50">
        <f t="shared" si="6"/>
        <v>5.6179775280898868E-2</v>
      </c>
      <c r="W25" s="50">
        <f t="shared" si="7"/>
        <v>8.1425782061401678E-2</v>
      </c>
      <c r="X25" s="49">
        <f t="shared" si="246"/>
        <v>16.8</v>
      </c>
      <c r="Y25" s="49">
        <f t="shared" si="32"/>
        <v>4.8999999999999995</v>
      </c>
      <c r="Z25" s="860">
        <f t="shared" si="9"/>
        <v>0</v>
      </c>
      <c r="AA25" s="860">
        <f t="shared" si="10"/>
        <v>57.2</v>
      </c>
      <c r="AB25" s="49">
        <f t="shared" si="11"/>
        <v>1425.4240000000002</v>
      </c>
      <c r="AC25" s="48">
        <v>1</v>
      </c>
      <c r="AD25" s="47" t="str">
        <f t="shared" si="12"/>
        <v>CLCT</v>
      </c>
      <c r="AE25" s="49">
        <f t="shared" si="13"/>
        <v>348.88</v>
      </c>
      <c r="AF25" s="50" t="e">
        <f t="shared" si="14"/>
        <v>#REF!</v>
      </c>
      <c r="AG25" s="890" t="e">
        <f t="shared" si="15"/>
        <v>#REF!</v>
      </c>
      <c r="AH25" s="207" t="s">
        <v>390</v>
      </c>
      <c r="AI25" s="240">
        <f t="shared" si="16"/>
        <v>0.27631246652916758</v>
      </c>
      <c r="AJ25" s="11">
        <f t="shared" si="33"/>
        <v>4</v>
      </c>
      <c r="AK25" s="11"/>
      <c r="AL25" s="11"/>
      <c r="AM25" s="11"/>
      <c r="AN25" s="11"/>
      <c r="AO25" s="11"/>
      <c r="AP25" s="11"/>
      <c r="AQ25" s="11" t="str">
        <f>'Update Stock Prices'!Q25</f>
        <v>micro</v>
      </c>
      <c r="AR25" s="11"/>
      <c r="AS25" s="11">
        <v>1</v>
      </c>
      <c r="AT25" s="176" t="s">
        <v>1153</v>
      </c>
      <c r="AU25" s="11"/>
      <c r="AV25" s="420"/>
      <c r="AW25" s="27"/>
      <c r="AX25" s="27"/>
      <c r="AY25" s="218"/>
      <c r="AZ25" s="603"/>
      <c r="BA25" s="27"/>
      <c r="BC25" s="420"/>
      <c r="BD25" s="932"/>
      <c r="BE25" s="593">
        <f t="shared" si="17"/>
        <v>0</v>
      </c>
      <c r="BF25" s="725">
        <f t="shared" si="221"/>
        <v>545709.53639717761</v>
      </c>
      <c r="BG25" s="420" t="str">
        <f t="shared" ca="1" si="18"/>
        <v>M in college</v>
      </c>
      <c r="BH25" s="593">
        <f t="shared" ca="1" si="34"/>
        <v>26</v>
      </c>
      <c r="BI25" s="420">
        <f t="shared" ca="1" si="35"/>
        <v>60</v>
      </c>
      <c r="BJ25" s="420">
        <f t="shared" ca="1" si="35"/>
        <v>66</v>
      </c>
      <c r="BK25" s="420">
        <f t="shared" ca="1" si="36"/>
        <v>2040</v>
      </c>
      <c r="BL25" s="420" t="s">
        <v>1032</v>
      </c>
      <c r="BM25" s="19">
        <f t="shared" si="19"/>
        <v>739094.56485762424</v>
      </c>
      <c r="BN25" s="19">
        <f>FK149</f>
        <v>193385.02846044666</v>
      </c>
      <c r="BO25" s="19">
        <f>FL149</f>
        <v>11255.357005306803</v>
      </c>
      <c r="BP25" s="183">
        <f t="shared" si="20"/>
        <v>5.8201801323047503E-2</v>
      </c>
      <c r="BQ25" s="19">
        <f t="shared" si="21"/>
        <v>937.94641710890028</v>
      </c>
      <c r="BS25" s="420" t="str">
        <f t="shared" si="37"/>
        <v>CLCT</v>
      </c>
      <c r="BT25" s="425">
        <f t="shared" si="38"/>
        <v>14</v>
      </c>
      <c r="BU25" s="19">
        <f t="shared" si="39"/>
        <v>24.92</v>
      </c>
      <c r="BV25" s="19">
        <f t="shared" si="40"/>
        <v>348.88</v>
      </c>
      <c r="BW25" s="539">
        <f t="shared" si="41"/>
        <v>1.4</v>
      </c>
      <c r="BX25" s="19">
        <f t="shared" si="42"/>
        <v>19.599999999999998</v>
      </c>
      <c r="BY25" s="10">
        <f t="shared" si="43"/>
        <v>0.78651685393258408</v>
      </c>
      <c r="BZ25" s="10">
        <f t="shared" si="44"/>
        <v>14.786516853932584</v>
      </c>
      <c r="CA25" s="539">
        <f t="shared" si="45"/>
        <v>368.48</v>
      </c>
      <c r="CB25" s="19">
        <f t="shared" si="46"/>
        <v>20.701123595505617</v>
      </c>
      <c r="CC25" s="10">
        <f t="shared" si="47"/>
        <v>0.83070319404115633</v>
      </c>
      <c r="CD25" s="10">
        <f t="shared" si="48"/>
        <v>15.61722004797374</v>
      </c>
      <c r="CE25" s="539">
        <f t="shared" si="49"/>
        <v>389.18112359550565</v>
      </c>
      <c r="CF25" s="19">
        <f t="shared" si="50"/>
        <v>21.864108067163237</v>
      </c>
      <c r="CG25" s="10">
        <f t="shared" si="51"/>
        <v>0.87737191280751348</v>
      </c>
      <c r="CH25" s="10">
        <f t="shared" si="52"/>
        <v>16.494591960781253</v>
      </c>
      <c r="CI25" s="539">
        <f t="shared" si="53"/>
        <v>411.04523166266887</v>
      </c>
      <c r="CJ25" s="19">
        <f t="shared" si="54"/>
        <v>23.092428745093752</v>
      </c>
      <c r="CK25" s="10">
        <f t="shared" si="55"/>
        <v>0.92666246970681176</v>
      </c>
      <c r="CL25" s="10">
        <f t="shared" si="56"/>
        <v>17.421254430488066</v>
      </c>
      <c r="CM25" s="539">
        <f t="shared" si="57"/>
        <v>434.13766040776261</v>
      </c>
      <c r="CN25" s="19">
        <f t="shared" si="58"/>
        <v>24.389756202683291</v>
      </c>
      <c r="CO25" s="10">
        <f t="shared" si="59"/>
        <v>0.97872215901618331</v>
      </c>
      <c r="CP25" s="10">
        <f t="shared" si="60"/>
        <v>18.399976589504249</v>
      </c>
      <c r="CQ25" s="539">
        <f t="shared" si="61"/>
        <v>458.52741661044593</v>
      </c>
      <c r="CR25" s="19">
        <f t="shared" si="62"/>
        <v>25.759967225305946</v>
      </c>
      <c r="CS25" s="10">
        <f t="shared" si="63"/>
        <v>1.0337065499721487</v>
      </c>
      <c r="CT25" s="10">
        <f t="shared" si="64"/>
        <v>19.433683139476397</v>
      </c>
      <c r="CU25" s="539">
        <f t="shared" si="65"/>
        <v>484.28738383575183</v>
      </c>
      <c r="CV25" s="19">
        <f t="shared" si="66"/>
        <v>27.207156395266953</v>
      </c>
      <c r="CW25" s="10">
        <f t="shared" si="67"/>
        <v>1.0917799516559772</v>
      </c>
      <c r="CX25" s="10">
        <f t="shared" si="68"/>
        <v>20.525463091132373</v>
      </c>
      <c r="CY25" s="539">
        <f t="shared" si="69"/>
        <v>511.49454023101879</v>
      </c>
      <c r="CZ25" s="19">
        <f t="shared" si="70"/>
        <v>28.73564832758532</v>
      </c>
      <c r="DA25" s="10">
        <f t="shared" si="71"/>
        <v>1.1531159039962007</v>
      </c>
      <c r="DB25" s="10">
        <f t="shared" si="72"/>
        <v>21.678578995128575</v>
      </c>
      <c r="DC25" s="539">
        <f t="shared" si="73"/>
        <v>540.23018855860414</v>
      </c>
      <c r="DD25" s="19">
        <f t="shared" si="74"/>
        <v>30.350010593180002</v>
      </c>
      <c r="DE25" s="10">
        <f t="shared" si="75"/>
        <v>1.2178976963555377</v>
      </c>
      <c r="DF25" s="10">
        <f t="shared" si="76"/>
        <v>22.896476691484114</v>
      </c>
      <c r="DG25" s="539">
        <f t="shared" si="77"/>
        <v>570.5801991517842</v>
      </c>
      <c r="DH25" s="19">
        <f t="shared" si="78"/>
        <v>32.055067368077758</v>
      </c>
      <c r="DI25" s="10">
        <f t="shared" si="79"/>
        <v>1.2863189152519163</v>
      </c>
      <c r="DJ25" s="10">
        <f t="shared" si="80"/>
        <v>24.182795606736029</v>
      </c>
      <c r="DK25" s="539">
        <f t="shared" si="81"/>
        <v>602.63526651986183</v>
      </c>
      <c r="DL25" s="19">
        <f t="shared" si="82"/>
        <v>33.855913849430436</v>
      </c>
      <c r="DM25" s="10">
        <f t="shared" si="83"/>
        <v>1.3585840228503385</v>
      </c>
      <c r="DN25" s="10">
        <f t="shared" si="84"/>
        <v>25.541379629586366</v>
      </c>
      <c r="DO25" s="539">
        <f t="shared" si="85"/>
        <v>636.49118036929224</v>
      </c>
      <c r="DP25" s="19">
        <f t="shared" si="86"/>
        <v>35.757931481420911</v>
      </c>
      <c r="DQ25" s="10">
        <f t="shared" si="87"/>
        <v>1.4349089679542901</v>
      </c>
      <c r="DR25" s="10">
        <f t="shared" si="88"/>
        <v>26.976288597540655</v>
      </c>
      <c r="DS25" s="539">
        <f t="shared" si="89"/>
        <v>672.24911185071323</v>
      </c>
      <c r="DT25" s="19">
        <f t="shared" si="90"/>
        <v>37.766804036556913</v>
      </c>
      <c r="DU25" s="10">
        <f t="shared" si="91"/>
        <v>1.5155218313225085</v>
      </c>
      <c r="DV25" s="10">
        <f t="shared" si="92"/>
        <v>28.491810428863165</v>
      </c>
      <c r="DW25" s="539">
        <f t="shared" si="93"/>
        <v>710.01591588727013</v>
      </c>
      <c r="DX25" s="19">
        <f t="shared" si="94"/>
        <v>39.888534600408427</v>
      </c>
      <c r="DY25" s="10">
        <f t="shared" si="95"/>
        <v>1.6006635072395035</v>
      </c>
      <c r="DZ25" s="10">
        <f t="shared" si="96"/>
        <v>30.092473936102667</v>
      </c>
      <c r="EA25" s="539">
        <f t="shared" si="97"/>
        <v>749.90445048767856</v>
      </c>
      <c r="EB25" s="19">
        <f t="shared" si="98"/>
        <v>42.129463510543729</v>
      </c>
      <c r="EC25" s="10">
        <f t="shared" si="99"/>
        <v>1.690588423376554</v>
      </c>
      <c r="ED25" s="10">
        <f t="shared" si="100"/>
        <v>31.783062359479221</v>
      </c>
      <c r="EE25" s="539">
        <f t="shared" si="101"/>
        <v>792.03391399822226</v>
      </c>
      <c r="EF25" s="19">
        <f t="shared" si="102"/>
        <v>44.496287303270904</v>
      </c>
      <c r="EG25" s="10">
        <f t="shared" si="103"/>
        <v>1.785565301094338</v>
      </c>
      <c r="EH25" s="10">
        <f t="shared" si="104"/>
        <v>33.568627660573561</v>
      </c>
      <c r="EI25" s="539">
        <f t="shared" si="105"/>
        <v>836.53020130149321</v>
      </c>
      <c r="EJ25" s="19">
        <f t="shared" si="106"/>
        <v>46.996078724802985</v>
      </c>
      <c r="EK25" s="10">
        <f t="shared" si="107"/>
        <v>1.8858779584591887</v>
      </c>
      <c r="EL25" s="10">
        <f t="shared" si="108"/>
        <v>35.454505619032751</v>
      </c>
      <c r="EM25" s="539">
        <f t="shared" si="109"/>
        <v>883.52628002629626</v>
      </c>
      <c r="EN25" s="19">
        <f t="shared" si="110"/>
        <v>49.636307866645851</v>
      </c>
      <c r="EO25" s="10">
        <f t="shared" si="111"/>
        <v>1.9918261583726262</v>
      </c>
      <c r="EP25" s="10">
        <f t="shared" si="112"/>
        <v>37.446331777405376</v>
      </c>
      <c r="EQ25" s="539">
        <f t="shared" si="113"/>
        <v>933.16258789294204</v>
      </c>
      <c r="ER25" s="19">
        <f t="shared" si="114"/>
        <v>52.424864488367525</v>
      </c>
      <c r="ES25" s="10">
        <f t="shared" si="115"/>
        <v>2.1037265043486166</v>
      </c>
      <c r="ET25" s="10">
        <f t="shared" si="116"/>
        <v>39.550058281753991</v>
      </c>
      <c r="EU25" s="539">
        <f t="shared" si="117"/>
        <v>985.5874523813095</v>
      </c>
      <c r="EV25" s="19">
        <f t="shared" si="118"/>
        <v>55.370081594455584</v>
      </c>
      <c r="EW25" s="10">
        <f t="shared" si="119"/>
        <v>2.2219133866153924</v>
      </c>
      <c r="EX25" s="10">
        <f t="shared" si="120"/>
        <v>41.771971668369382</v>
      </c>
      <c r="EY25" s="539">
        <f t="shared" si="121"/>
        <v>1040.957533975765</v>
      </c>
      <c r="EZ25" s="19">
        <f t="shared" si="122"/>
        <v>58.480760335717129</v>
      </c>
      <c r="FA25" s="10">
        <f t="shared" si="123"/>
        <v>2.3467399813690659</v>
      </c>
      <c r="FB25" s="10">
        <f t="shared" si="124"/>
        <v>44.118711649738451</v>
      </c>
      <c r="FC25" s="539">
        <f t="shared" si="125"/>
        <v>1099.4382943114822</v>
      </c>
      <c r="FD25" s="19">
        <f t="shared" si="126"/>
        <v>61.766196309633827</v>
      </c>
      <c r="FE25" s="10">
        <f t="shared" si="127"/>
        <v>2.4785793061650812</v>
      </c>
      <c r="FF25" s="10">
        <f t="shared" si="128"/>
        <v>46.597290955903532</v>
      </c>
      <c r="FG25" s="539">
        <f t="shared" si="129"/>
        <v>1161.2044906211161</v>
      </c>
      <c r="FH25" s="19">
        <f t="shared" si="130"/>
        <v>65.236207338264947</v>
      </c>
      <c r="FI25" s="10">
        <f t="shared" si="131"/>
        <v>2.6178253346013221</v>
      </c>
      <c r="FJ25" s="10">
        <f t="shared" si="132"/>
        <v>49.215116290504852</v>
      </c>
      <c r="FK25" s="539">
        <f t="shared" si="133"/>
        <v>1226.4406979593809</v>
      </c>
      <c r="FL25" s="19">
        <f t="shared" si="134"/>
        <v>68.901162806706793</v>
      </c>
      <c r="FM25" s="10">
        <f t="shared" si="135"/>
        <v>2.7648941736238681</v>
      </c>
      <c r="FN25" s="10">
        <f t="shared" si="136"/>
        <v>51.980010464128718</v>
      </c>
      <c r="FO25" s="539">
        <f t="shared" si="137"/>
        <v>1295.3418607660878</v>
      </c>
      <c r="FP25" s="19">
        <f t="shared" si="138"/>
        <v>72.772014649780203</v>
      </c>
      <c r="FQ25" s="10">
        <f t="shared" si="139"/>
        <v>2.9202253069735233</v>
      </c>
      <c r="FR25" s="10">
        <f t="shared" si="140"/>
        <v>54.900235771102238</v>
      </c>
      <c r="FS25" s="539">
        <f t="shared" si="141"/>
        <v>1368.1138754158678</v>
      </c>
      <c r="FT25" s="19">
        <f t="shared" si="142"/>
        <v>76.860330079543132</v>
      </c>
      <c r="FU25" s="10">
        <f t="shared" si="143"/>
        <v>3.0842829084888894</v>
      </c>
      <c r="FV25" s="10">
        <f t="shared" si="144"/>
        <v>57.984518679591126</v>
      </c>
      <c r="FW25" s="539">
        <f t="shared" si="145"/>
        <v>1444.9742054954111</v>
      </c>
      <c r="FX25" s="19">
        <f t="shared" si="146"/>
        <v>81.178326151427569</v>
      </c>
      <c r="FY25" s="10">
        <f t="shared" si="147"/>
        <v>3.2575572291905122</v>
      </c>
      <c r="FZ25" s="10">
        <f t="shared" si="148"/>
        <v>61.242075908781636</v>
      </c>
      <c r="GA25" s="539">
        <f t="shared" si="149"/>
        <v>1526.1525316468385</v>
      </c>
      <c r="GB25" s="19">
        <f t="shared" si="150"/>
        <v>85.738906272294287</v>
      </c>
      <c r="GC25" s="10">
        <f t="shared" si="151"/>
        <v>3.440566062291103</v>
      </c>
      <c r="GD25" s="10">
        <f t="shared" si="152"/>
        <v>64.682641971072741</v>
      </c>
      <c r="GE25" s="539">
        <f t="shared" si="153"/>
        <v>1611.8914379191328</v>
      </c>
      <c r="GF25" s="19">
        <f t="shared" si="154"/>
        <v>90.555698759501837</v>
      </c>
      <c r="GG25" s="10">
        <f t="shared" si="155"/>
        <v>3.6338562905097045</v>
      </c>
      <c r="GH25" s="10">
        <f t="shared" si="156"/>
        <v>68.316498261582439</v>
      </c>
      <c r="GI25" s="539">
        <f t="shared" si="157"/>
        <v>1702.4471366786345</v>
      </c>
      <c r="GJ25" s="19">
        <f t="shared" si="158"/>
        <v>95.643097566215403</v>
      </c>
      <c r="GK25" s="10">
        <f t="shared" si="159"/>
        <v>3.8380055203136196</v>
      </c>
      <c r="GL25" s="10">
        <f t="shared" si="160"/>
        <v>72.154503781896054</v>
      </c>
      <c r="GM25" s="539">
        <f t="shared" si="161"/>
        <v>1798.0902342448499</v>
      </c>
      <c r="GN25" s="19">
        <f t="shared" si="162"/>
        <v>101.01630529465447</v>
      </c>
      <c r="GO25" s="10">
        <f t="shared" si="163"/>
        <v>4.0536238079716878</v>
      </c>
      <c r="GP25" s="10">
        <f t="shared" si="164"/>
        <v>76.208127589867743</v>
      </c>
      <c r="GQ25" s="539">
        <f t="shared" si="165"/>
        <v>1899.1065395395042</v>
      </c>
      <c r="GR25" s="19">
        <f t="shared" si="166"/>
        <v>106.69137862581483</v>
      </c>
      <c r="GS25" s="10">
        <f t="shared" si="167"/>
        <v>4.2813554825768394</v>
      </c>
      <c r="GT25" s="10">
        <f t="shared" si="168"/>
        <v>80.489483072444585</v>
      </c>
      <c r="GU25" s="539">
        <f t="shared" si="169"/>
        <v>2005.7979181653193</v>
      </c>
      <c r="GV25" s="19">
        <f t="shared" si="170"/>
        <v>112.68527630142241</v>
      </c>
      <c r="GW25" s="10">
        <f t="shared" si="171"/>
        <v>4.5218810714856499</v>
      </c>
      <c r="GX25" s="10">
        <f t="shared" si="172"/>
        <v>85.011364143930237</v>
      </c>
      <c r="GY25" s="539">
        <f t="shared" si="173"/>
        <v>2118.4831944667417</v>
      </c>
      <c r="GZ25" s="19">
        <f t="shared" si="174"/>
        <v>119.01590980150232</v>
      </c>
      <c r="HA25" s="10">
        <f t="shared" si="175"/>
        <v>4.7759193339286643</v>
      </c>
      <c r="HB25" s="10">
        <f t="shared" si="176"/>
        <v>89.787283477858907</v>
      </c>
      <c r="HC25" s="539">
        <f t="shared" si="177"/>
        <v>2237.4991042682441</v>
      </c>
      <c r="HD25" s="19">
        <f t="shared" si="178"/>
        <v>125.70219686900246</v>
      </c>
      <c r="HE25" s="10">
        <f t="shared" si="179"/>
        <v>5.0442294088684774</v>
      </c>
      <c r="HF25" s="10">
        <f t="shared" si="180"/>
        <v>94.831512886727381</v>
      </c>
      <c r="HG25" s="539">
        <f t="shared" si="181"/>
        <v>2363.2013011372464</v>
      </c>
      <c r="HH25" s="19">
        <f t="shared" si="182"/>
        <v>132.76411804141833</v>
      </c>
      <c r="HI25" s="10">
        <f t="shared" si="183"/>
        <v>5.3276130835240094</v>
      </c>
      <c r="HJ25" s="10">
        <f t="shared" si="184"/>
        <v>100.1591259702514</v>
      </c>
      <c r="HK25" s="539">
        <f t="shared" si="185"/>
        <v>2495.9654191786649</v>
      </c>
      <c r="HL25" s="19">
        <f t="shared" si="186"/>
        <v>140.22277635835195</v>
      </c>
      <c r="HM25" s="10">
        <f t="shared" si="187"/>
        <v>5.6269171893399657</v>
      </c>
      <c r="HN25" s="10">
        <f t="shared" si="188"/>
        <v>105.78604315959136</v>
      </c>
      <c r="HO25" s="539">
        <f t="shared" si="189"/>
        <v>2636.1881955370168</v>
      </c>
      <c r="HP25" s="19">
        <f t="shared" si="190"/>
        <v>148.1004604234279</v>
      </c>
      <c r="HQ25" s="10">
        <f t="shared" si="191"/>
        <v>5.9430361325613124</v>
      </c>
      <c r="HR25" s="10">
        <f t="shared" si="192"/>
        <v>111.72907929215268</v>
      </c>
      <c r="HS25" s="539">
        <f t="shared" si="193"/>
        <v>2784.2886559604449</v>
      </c>
      <c r="HT25" s="19">
        <f t="shared" si="194"/>
        <v>156.42071100901373</v>
      </c>
      <c r="HU25" s="10">
        <f t="shared" si="195"/>
        <v>6.2769145669748685</v>
      </c>
      <c r="HV25" s="10">
        <f t="shared" si="196"/>
        <v>118.00599385912754</v>
      </c>
      <c r="HW25" s="539">
        <f t="shared" si="197"/>
        <v>2940.7093669694586</v>
      </c>
      <c r="HX25" s="19">
        <f t="shared" si="198"/>
        <v>165.20839140277855</v>
      </c>
      <c r="HY25" s="10">
        <f t="shared" si="199"/>
        <v>6.6295502168049172</v>
      </c>
      <c r="HZ25" s="10">
        <f t="shared" si="200"/>
        <v>124.63554407593246</v>
      </c>
      <c r="IA25" s="539">
        <f t="shared" si="201"/>
        <v>3105.9177583722371</v>
      </c>
      <c r="IB25" s="19">
        <f t="shared" si="202"/>
        <v>174.48976170630544</v>
      </c>
      <c r="IF25" s="660"/>
      <c r="IG25" s="540"/>
      <c r="IH25" s="1304"/>
      <c r="II25" s="1301"/>
      <c r="IJ25" s="1301"/>
      <c r="IK25" s="1301"/>
      <c r="IL25" s="540"/>
      <c r="IM25" s="1301"/>
      <c r="IN25" s="1301"/>
      <c r="IO25" s="666"/>
      <c r="IP25" s="236"/>
      <c r="IR25" s="11"/>
      <c r="IY25"/>
    </row>
    <row r="26" spans="1:263">
      <c r="A26" s="20"/>
      <c r="B26" s="20"/>
      <c r="C26" s="826" t="s">
        <v>2342</v>
      </c>
      <c r="D26" s="47" t="s">
        <v>359</v>
      </c>
      <c r="E26" s="396">
        <f t="shared" si="0"/>
        <v>17.096399999999999</v>
      </c>
      <c r="F26" s="242">
        <v>2.0964</v>
      </c>
      <c r="G26" s="48">
        <f>'Update Stock Prices'!S26</f>
        <v>39186217.008797653</v>
      </c>
      <c r="H26" s="991">
        <f t="shared" si="27"/>
        <v>5.3498402245088874E-8</v>
      </c>
      <c r="I26" s="49">
        <f>'Update Stock Prices'!D26</f>
        <v>20.46</v>
      </c>
      <c r="J26" s="49">
        <f t="shared" si="1"/>
        <v>42.892344000000001</v>
      </c>
      <c r="K26" s="30">
        <v>37.64</v>
      </c>
      <c r="L26" s="49">
        <f t="shared" si="28"/>
        <v>5.2523440000000008</v>
      </c>
      <c r="M26" s="50">
        <f t="shared" si="29"/>
        <v>0.13954155154091394</v>
      </c>
      <c r="N26" s="49">
        <f t="shared" si="30"/>
        <v>17.954588818927686</v>
      </c>
      <c r="O26" s="48">
        <f t="shared" si="2"/>
        <v>15</v>
      </c>
      <c r="P26" s="49">
        <f t="shared" si="247"/>
        <v>14.109999999999957</v>
      </c>
      <c r="Q26" s="30">
        <f>0.11*12</f>
        <v>1.32</v>
      </c>
      <c r="R26" s="49">
        <f t="shared" si="242"/>
        <v>7.5763121149897339E-3</v>
      </c>
      <c r="S26" s="49">
        <f t="shared" si="4"/>
        <v>2.7672480000000004</v>
      </c>
      <c r="T26" s="49">
        <f t="shared" si="31"/>
        <v>0.23060400000000003</v>
      </c>
      <c r="U26" s="49" t="s">
        <v>56</v>
      </c>
      <c r="V26" s="50">
        <f t="shared" si="6"/>
        <v>6.4516129032258063E-2</v>
      </c>
      <c r="W26" s="50">
        <f t="shared" si="7"/>
        <v>7.3518809776833172E-2</v>
      </c>
      <c r="X26" s="49">
        <f t="shared" si="246"/>
        <v>19.799999999999997</v>
      </c>
      <c r="Y26" s="49">
        <f t="shared" si="32"/>
        <v>0.23060400000000003</v>
      </c>
      <c r="Z26" s="860">
        <f t="shared" si="9"/>
        <v>0</v>
      </c>
      <c r="AA26" s="860">
        <f t="shared" si="10"/>
        <v>183.90359999999998</v>
      </c>
      <c r="AB26" s="49">
        <f t="shared" si="11"/>
        <v>3762.6676559999996</v>
      </c>
      <c r="AC26" s="48">
        <v>1</v>
      </c>
      <c r="AD26" s="47" t="str">
        <f t="shared" si="12"/>
        <v>CLDT</v>
      </c>
      <c r="AE26" s="49">
        <f t="shared" si="13"/>
        <v>42.892344000000001</v>
      </c>
      <c r="AF26" s="50" t="e">
        <f t="shared" si="14"/>
        <v>#REF!</v>
      </c>
      <c r="AG26" s="890" t="e">
        <f t="shared" si="15"/>
        <v>#REF!</v>
      </c>
      <c r="AH26" s="207" t="s">
        <v>358</v>
      </c>
      <c r="AI26" s="240">
        <f t="shared" si="16"/>
        <v>4.1764558341985036E-3</v>
      </c>
      <c r="AJ26" s="11">
        <f t="shared" si="33"/>
        <v>4</v>
      </c>
      <c r="AK26" s="11"/>
      <c r="AL26" s="11"/>
      <c r="AM26" s="11"/>
      <c r="AN26" s="11"/>
      <c r="AO26" s="11"/>
      <c r="AP26" s="11"/>
      <c r="AQ26" s="11" t="str">
        <f>'Update Stock Prices'!Q26</f>
        <v>small</v>
      </c>
      <c r="AR26" s="11"/>
      <c r="AS26" s="11"/>
      <c r="AT26" s="176" t="s">
        <v>1682</v>
      </c>
      <c r="AU26" s="420"/>
      <c r="AV26" s="420"/>
      <c r="AW26" s="27"/>
      <c r="AX26" s="27"/>
      <c r="AY26" s="402" t="s">
        <v>1223</v>
      </c>
      <c r="AZ26" s="604">
        <f>SUM(AZ12,AZ15,AZ18,AZ21,AZ24)</f>
        <v>42.227535401977001</v>
      </c>
      <c r="BA26" s="779">
        <f>AZ26/AZ8</f>
        <v>2.8999999999999995E-4</v>
      </c>
      <c r="BC26" s="420"/>
      <c r="BD26" s="932"/>
      <c r="BE26" s="593">
        <f t="shared" si="17"/>
        <v>0</v>
      </c>
      <c r="BF26" s="725">
        <f t="shared" si="221"/>
        <v>567582.09712512116</v>
      </c>
      <c r="BG26" s="420" t="str">
        <f t="shared" ca="1" si="18"/>
        <v>M in college</v>
      </c>
      <c r="BH26" s="593">
        <f t="shared" ca="1" si="34"/>
        <v>27</v>
      </c>
      <c r="BI26" s="420">
        <f t="shared" ca="1" si="35"/>
        <v>61</v>
      </c>
      <c r="BJ26" s="420">
        <f t="shared" ca="1" si="35"/>
        <v>67</v>
      </c>
      <c r="BK26" s="420">
        <f t="shared" ca="1" si="36"/>
        <v>2041</v>
      </c>
      <c r="BL26" s="420" t="s">
        <v>1033</v>
      </c>
      <c r="BM26" s="19">
        <f t="shared" si="19"/>
        <v>772222.48259087466</v>
      </c>
      <c r="BN26" s="19">
        <f>FO149</f>
        <v>204640.38546575356</v>
      </c>
      <c r="BO26" s="19">
        <f>FP149</f>
        <v>12113.267504913207</v>
      </c>
      <c r="BP26" s="183">
        <f t="shared" si="20"/>
        <v>5.919294706831147E-2</v>
      </c>
      <c r="BQ26" s="19">
        <f t="shared" si="21"/>
        <v>1009.4389587427672</v>
      </c>
      <c r="BS26" s="420" t="str">
        <f t="shared" si="37"/>
        <v>CLDT</v>
      </c>
      <c r="BT26" s="425">
        <f t="shared" si="38"/>
        <v>2.0964</v>
      </c>
      <c r="BU26" s="19">
        <f t="shared" si="39"/>
        <v>20.46</v>
      </c>
      <c r="BV26" s="19">
        <f t="shared" si="40"/>
        <v>42.892344000000001</v>
      </c>
      <c r="BW26" s="539">
        <f t="shared" si="41"/>
        <v>1.32</v>
      </c>
      <c r="BX26" s="19">
        <f t="shared" si="42"/>
        <v>2.7672480000000004</v>
      </c>
      <c r="BY26" s="10">
        <f t="shared" si="43"/>
        <v>0.13525161290322582</v>
      </c>
      <c r="BZ26" s="10">
        <f t="shared" si="44"/>
        <v>2.2316516129032258</v>
      </c>
      <c r="CA26" s="539">
        <f t="shared" si="45"/>
        <v>45.659592000000004</v>
      </c>
      <c r="CB26" s="19">
        <f t="shared" si="46"/>
        <v>2.9457801290322583</v>
      </c>
      <c r="CC26" s="10">
        <f t="shared" si="47"/>
        <v>0.14397752341311135</v>
      </c>
      <c r="CD26" s="10">
        <f t="shared" si="48"/>
        <v>2.3756291363163373</v>
      </c>
      <c r="CE26" s="539">
        <f t="shared" si="49"/>
        <v>48.605372129032261</v>
      </c>
      <c r="CF26" s="19">
        <f t="shared" si="50"/>
        <v>3.1358304599375653</v>
      </c>
      <c r="CG26" s="10">
        <f t="shared" si="51"/>
        <v>0.15326639589137658</v>
      </c>
      <c r="CH26" s="10">
        <f t="shared" si="52"/>
        <v>2.5288955322077138</v>
      </c>
      <c r="CI26" s="539">
        <f t="shared" si="53"/>
        <v>51.741202588969827</v>
      </c>
      <c r="CJ26" s="19">
        <f t="shared" si="54"/>
        <v>3.3381421025141824</v>
      </c>
      <c r="CK26" s="10">
        <f t="shared" si="55"/>
        <v>0.16315455046501379</v>
      </c>
      <c r="CL26" s="10">
        <f t="shared" si="56"/>
        <v>2.6920500826727274</v>
      </c>
      <c r="CM26" s="539">
        <f t="shared" si="57"/>
        <v>55.079344691484003</v>
      </c>
      <c r="CN26" s="19">
        <f t="shared" si="58"/>
        <v>3.5535061091280005</v>
      </c>
      <c r="CO26" s="10">
        <f t="shared" si="59"/>
        <v>0.17368065049501469</v>
      </c>
      <c r="CP26" s="10">
        <f t="shared" si="60"/>
        <v>2.8657307331677422</v>
      </c>
      <c r="CQ26" s="539">
        <f t="shared" si="61"/>
        <v>58.632850800612005</v>
      </c>
      <c r="CR26" s="19">
        <f t="shared" si="62"/>
        <v>3.7827645677814199</v>
      </c>
      <c r="CS26" s="10">
        <f t="shared" si="63"/>
        <v>0.18488585375275757</v>
      </c>
      <c r="CT26" s="10">
        <f t="shared" si="64"/>
        <v>3.0506165869204995</v>
      </c>
      <c r="CU26" s="539">
        <f t="shared" si="65"/>
        <v>62.415615368393425</v>
      </c>
      <c r="CV26" s="19">
        <f t="shared" si="66"/>
        <v>4.0268138947350591</v>
      </c>
      <c r="CW26" s="10">
        <f t="shared" si="67"/>
        <v>0.19681397334970963</v>
      </c>
      <c r="CX26" s="10">
        <f t="shared" si="68"/>
        <v>3.2474305602702094</v>
      </c>
      <c r="CY26" s="539">
        <f t="shared" si="69"/>
        <v>66.442429263128489</v>
      </c>
      <c r="CZ26" s="19">
        <f t="shared" si="70"/>
        <v>4.2866083395566763</v>
      </c>
      <c r="DA26" s="10">
        <f t="shared" si="71"/>
        <v>0.20951164904969091</v>
      </c>
      <c r="DB26" s="10">
        <f t="shared" si="72"/>
        <v>3.4569422093199003</v>
      </c>
      <c r="DC26" s="539">
        <f t="shared" si="73"/>
        <v>70.729037602685167</v>
      </c>
      <c r="DD26" s="19">
        <f t="shared" si="74"/>
        <v>4.5631637163022685</v>
      </c>
      <c r="DE26" s="10">
        <f t="shared" si="75"/>
        <v>0.22302852963354194</v>
      </c>
      <c r="DF26" s="10">
        <f t="shared" si="76"/>
        <v>3.6799707389534424</v>
      </c>
      <c r="DG26" s="539">
        <f t="shared" si="77"/>
        <v>75.292201318987438</v>
      </c>
      <c r="DH26" s="19">
        <f t="shared" si="78"/>
        <v>4.8575613754185438</v>
      </c>
      <c r="DI26" s="10">
        <f t="shared" si="79"/>
        <v>0.23741746702925434</v>
      </c>
      <c r="DJ26" s="10">
        <f t="shared" si="80"/>
        <v>3.9173882059826965</v>
      </c>
      <c r="DK26" s="539">
        <f t="shared" si="81"/>
        <v>80.149762694405979</v>
      </c>
      <c r="DL26" s="19">
        <f t="shared" si="82"/>
        <v>5.1709524318971596</v>
      </c>
      <c r="DM26" s="10">
        <f t="shared" si="83"/>
        <v>0.25273472296662558</v>
      </c>
      <c r="DN26" s="10">
        <f t="shared" si="84"/>
        <v>4.170122928949322</v>
      </c>
      <c r="DO26" s="539">
        <f t="shared" si="85"/>
        <v>85.320715126303128</v>
      </c>
      <c r="DP26" s="19">
        <f t="shared" si="86"/>
        <v>5.5045622662131057</v>
      </c>
      <c r="DQ26" s="10">
        <f t="shared" si="87"/>
        <v>0.2690401889644724</v>
      </c>
      <c r="DR26" s="10">
        <f t="shared" si="88"/>
        <v>4.439163117913794</v>
      </c>
      <c r="DS26" s="539">
        <f t="shared" si="89"/>
        <v>90.825277392516227</v>
      </c>
      <c r="DT26" s="19">
        <f t="shared" si="90"/>
        <v>5.8596953156462082</v>
      </c>
      <c r="DU26" s="10">
        <f t="shared" si="91"/>
        <v>0.28639762051056733</v>
      </c>
      <c r="DV26" s="10">
        <f t="shared" si="92"/>
        <v>4.7255607384243614</v>
      </c>
      <c r="DW26" s="539">
        <f t="shared" si="93"/>
        <v>96.684972708162434</v>
      </c>
      <c r="DX26" s="19">
        <f t="shared" si="94"/>
        <v>6.2377401747201571</v>
      </c>
      <c r="DY26" s="10">
        <f t="shared" si="95"/>
        <v>0.3048748863499588</v>
      </c>
      <c r="DZ26" s="10">
        <f t="shared" si="96"/>
        <v>5.03043562477432</v>
      </c>
      <c r="EA26" s="539">
        <f t="shared" si="97"/>
        <v>102.92271288288259</v>
      </c>
      <c r="EB26" s="19">
        <f t="shared" si="98"/>
        <v>6.6401750247021027</v>
      </c>
      <c r="EC26" s="10">
        <f t="shared" si="99"/>
        <v>0.32454423385640774</v>
      </c>
      <c r="ED26" s="10">
        <f t="shared" si="100"/>
        <v>5.3549798586307276</v>
      </c>
      <c r="EE26" s="539">
        <f t="shared" si="101"/>
        <v>109.5628879075847</v>
      </c>
      <c r="EF26" s="19">
        <f t="shared" si="102"/>
        <v>7.0685734133925608</v>
      </c>
      <c r="EG26" s="10">
        <f t="shared" si="103"/>
        <v>0.34548257152456308</v>
      </c>
      <c r="EH26" s="10">
        <f t="shared" si="104"/>
        <v>5.7004624301552909</v>
      </c>
      <c r="EI26" s="539">
        <f t="shared" si="105"/>
        <v>116.63146132097725</v>
      </c>
      <c r="EJ26" s="19">
        <f t="shared" si="106"/>
        <v>7.5246104078049845</v>
      </c>
      <c r="EK26" s="10">
        <f t="shared" si="107"/>
        <v>0.36777176968743813</v>
      </c>
      <c r="EL26" s="10">
        <f t="shared" si="108"/>
        <v>6.0682341998427294</v>
      </c>
      <c r="EM26" s="539">
        <f t="shared" si="109"/>
        <v>124.15607172878225</v>
      </c>
      <c r="EN26" s="19">
        <f t="shared" si="110"/>
        <v>8.0100691437924034</v>
      </c>
      <c r="EO26" s="10">
        <f t="shared" si="111"/>
        <v>0.39149898063501481</v>
      </c>
      <c r="EP26" s="10">
        <f t="shared" si="112"/>
        <v>6.4597331804777438</v>
      </c>
      <c r="EQ26" s="539">
        <f t="shared" si="113"/>
        <v>132.16614087257463</v>
      </c>
      <c r="ER26" s="19">
        <f t="shared" si="114"/>
        <v>8.526847798230623</v>
      </c>
      <c r="ES26" s="10">
        <f t="shared" si="115"/>
        <v>0.41675697938566092</v>
      </c>
      <c r="ET26" s="10">
        <f t="shared" si="116"/>
        <v>6.8764901598634047</v>
      </c>
      <c r="EU26" s="539">
        <f t="shared" si="117"/>
        <v>140.69298867080528</v>
      </c>
      <c r="EV26" s="19">
        <f t="shared" si="118"/>
        <v>9.0769670110196952</v>
      </c>
      <c r="EW26" s="10">
        <f t="shared" si="119"/>
        <v>0.44364452644280034</v>
      </c>
      <c r="EX26" s="10">
        <f t="shared" si="120"/>
        <v>7.3201346863062051</v>
      </c>
      <c r="EY26" s="539">
        <f t="shared" si="121"/>
        <v>149.76995568182497</v>
      </c>
      <c r="EZ26" s="19">
        <f t="shared" si="122"/>
        <v>9.6625777859241904</v>
      </c>
      <c r="FA26" s="10">
        <f t="shared" si="123"/>
        <v>0.47226675395523898</v>
      </c>
      <c r="FB26" s="10">
        <f t="shared" si="124"/>
        <v>7.7924014402614441</v>
      </c>
      <c r="FC26" s="539">
        <f t="shared" si="125"/>
        <v>159.43253346774915</v>
      </c>
      <c r="FD26" s="19">
        <f t="shared" si="126"/>
        <v>10.285969901145107</v>
      </c>
      <c r="FE26" s="10">
        <f t="shared" si="127"/>
        <v>0.50273557679106096</v>
      </c>
      <c r="FF26" s="10">
        <f t="shared" si="128"/>
        <v>8.2951370170525056</v>
      </c>
      <c r="FG26" s="539">
        <f t="shared" si="129"/>
        <v>169.71850336889426</v>
      </c>
      <c r="FH26" s="19">
        <f t="shared" si="130"/>
        <v>10.949580862509308</v>
      </c>
      <c r="FI26" s="10">
        <f t="shared" si="131"/>
        <v>0.53517013013241965</v>
      </c>
      <c r="FJ26" s="10">
        <f t="shared" si="132"/>
        <v>8.830307147184925</v>
      </c>
      <c r="FK26" s="539">
        <f t="shared" si="133"/>
        <v>180.66808423140358</v>
      </c>
      <c r="FL26" s="19">
        <f t="shared" si="134"/>
        <v>11.656005434284102</v>
      </c>
      <c r="FM26" s="10">
        <f t="shared" si="135"/>
        <v>0.56969723530225325</v>
      </c>
      <c r="FN26" s="10">
        <f t="shared" si="136"/>
        <v>9.4000043824871788</v>
      </c>
      <c r="FO26" s="539">
        <f t="shared" si="137"/>
        <v>192.32408966568769</v>
      </c>
      <c r="FP26" s="19">
        <f t="shared" si="138"/>
        <v>12.408005784883077</v>
      </c>
      <c r="FQ26" s="10">
        <f t="shared" si="139"/>
        <v>0.6064518956443341</v>
      </c>
      <c r="FR26" s="10">
        <f t="shared" si="140"/>
        <v>10.006456278131513</v>
      </c>
      <c r="FS26" s="539">
        <f t="shared" si="141"/>
        <v>204.73209545057077</v>
      </c>
      <c r="FT26" s="19">
        <f t="shared" si="142"/>
        <v>13.208522287133597</v>
      </c>
      <c r="FU26" s="10">
        <f t="shared" si="143"/>
        <v>0.64557782439558142</v>
      </c>
      <c r="FV26" s="10">
        <f t="shared" si="144"/>
        <v>10.652034102527093</v>
      </c>
      <c r="FW26" s="539">
        <f t="shared" si="145"/>
        <v>217.94061773770434</v>
      </c>
      <c r="FX26" s="19">
        <f t="shared" si="146"/>
        <v>14.060685015335764</v>
      </c>
      <c r="FY26" s="10">
        <f t="shared" si="147"/>
        <v>0.68722800661465122</v>
      </c>
      <c r="FZ26" s="10">
        <f t="shared" si="148"/>
        <v>11.339262109141744</v>
      </c>
      <c r="GA26" s="539">
        <f t="shared" si="149"/>
        <v>232.00130275304011</v>
      </c>
      <c r="GB26" s="19">
        <f t="shared" si="150"/>
        <v>14.967825984067103</v>
      </c>
      <c r="GC26" s="10">
        <f t="shared" si="151"/>
        <v>0.73156529736398346</v>
      </c>
      <c r="GD26" s="10">
        <f t="shared" si="152"/>
        <v>12.070827406505728</v>
      </c>
      <c r="GE26" s="539">
        <f t="shared" si="153"/>
        <v>246.96912873710721</v>
      </c>
      <c r="GF26" s="19">
        <f t="shared" si="154"/>
        <v>15.933492176587562</v>
      </c>
      <c r="GG26" s="10">
        <f t="shared" si="155"/>
        <v>0.77876305848424054</v>
      </c>
      <c r="GH26" s="10">
        <f t="shared" si="156"/>
        <v>12.849590464989969</v>
      </c>
      <c r="GI26" s="539">
        <f t="shared" si="157"/>
        <v>262.90262091369476</v>
      </c>
      <c r="GJ26" s="19">
        <f t="shared" si="158"/>
        <v>16.961459413786759</v>
      </c>
      <c r="GK26" s="10">
        <f t="shared" si="159"/>
        <v>0.82900583645096571</v>
      </c>
      <c r="GL26" s="10">
        <f t="shared" si="160"/>
        <v>13.678596301440935</v>
      </c>
      <c r="GM26" s="539">
        <f t="shared" si="161"/>
        <v>279.86408032748153</v>
      </c>
      <c r="GN26" s="19">
        <f t="shared" si="162"/>
        <v>18.055747117902037</v>
      </c>
      <c r="GO26" s="10">
        <f t="shared" si="163"/>
        <v>0.88249008396393136</v>
      </c>
      <c r="GP26" s="10">
        <f t="shared" si="164"/>
        <v>14.561086385404867</v>
      </c>
      <c r="GQ26" s="539">
        <f t="shared" si="165"/>
        <v>297.91982744538359</v>
      </c>
      <c r="GR26" s="19">
        <f t="shared" si="166"/>
        <v>19.220634028734423</v>
      </c>
      <c r="GS26" s="10">
        <f t="shared" si="167"/>
        <v>0.93942492809063649</v>
      </c>
      <c r="GT26" s="10">
        <f t="shared" si="168"/>
        <v>15.500511313495503</v>
      </c>
      <c r="GU26" s="539">
        <f t="shared" si="169"/>
        <v>317.14046147411801</v>
      </c>
      <c r="GV26" s="19">
        <f t="shared" si="170"/>
        <v>20.460674933814065</v>
      </c>
      <c r="GW26" s="10">
        <f t="shared" si="171"/>
        <v>1.0000329879674519</v>
      </c>
      <c r="GX26" s="10">
        <f t="shared" si="172"/>
        <v>16.500544301462956</v>
      </c>
      <c r="GY26" s="539">
        <f t="shared" si="173"/>
        <v>337.60113640793207</v>
      </c>
      <c r="GZ26" s="19">
        <f t="shared" si="174"/>
        <v>21.780718477931103</v>
      </c>
      <c r="HA26" s="10">
        <f t="shared" si="175"/>
        <v>1.0645512452556747</v>
      </c>
      <c r="HB26" s="10">
        <f t="shared" si="176"/>
        <v>17.565095546718631</v>
      </c>
      <c r="HC26" s="539">
        <f t="shared" si="177"/>
        <v>359.38185488586322</v>
      </c>
      <c r="HD26" s="19">
        <f t="shared" si="178"/>
        <v>23.185926121668594</v>
      </c>
      <c r="HE26" s="10">
        <f t="shared" si="179"/>
        <v>1.1332319707560408</v>
      </c>
      <c r="HF26" s="10">
        <f t="shared" si="180"/>
        <v>18.69832751747467</v>
      </c>
      <c r="HG26" s="539">
        <f t="shared" si="181"/>
        <v>382.56778100753178</v>
      </c>
      <c r="HH26" s="19">
        <f t="shared" si="182"/>
        <v>24.681792323066567</v>
      </c>
      <c r="HI26" s="10">
        <f t="shared" si="183"/>
        <v>1.2063437108048174</v>
      </c>
      <c r="HJ26" s="10">
        <f t="shared" si="184"/>
        <v>19.904671228279486</v>
      </c>
      <c r="HK26" s="539">
        <f t="shared" si="185"/>
        <v>407.24957333059831</v>
      </c>
      <c r="HL26" s="19">
        <f t="shared" si="186"/>
        <v>26.274166021328924</v>
      </c>
      <c r="HM26" s="10">
        <f t="shared" si="187"/>
        <v>1.284172337308354</v>
      </c>
      <c r="HN26" s="10">
        <f t="shared" si="188"/>
        <v>21.188843565587842</v>
      </c>
      <c r="HO26" s="539">
        <f t="shared" si="189"/>
        <v>433.52373935192725</v>
      </c>
      <c r="HP26" s="19">
        <f t="shared" si="190"/>
        <v>27.969273506575952</v>
      </c>
      <c r="HQ26" s="10">
        <f t="shared" si="191"/>
        <v>1.3670221655217962</v>
      </c>
      <c r="HR26" s="10">
        <f t="shared" si="192"/>
        <v>22.555865731109638</v>
      </c>
      <c r="HS26" s="539">
        <f t="shared" si="193"/>
        <v>461.49301285850322</v>
      </c>
      <c r="HT26" s="19">
        <f t="shared" si="194"/>
        <v>29.773742765064721</v>
      </c>
      <c r="HU26" s="10">
        <f t="shared" si="195"/>
        <v>1.4552171439425572</v>
      </c>
      <c r="HV26" s="10">
        <f t="shared" si="196"/>
        <v>24.011082875052196</v>
      </c>
      <c r="HW26" s="539">
        <f t="shared" si="197"/>
        <v>491.26675562356797</v>
      </c>
      <c r="HX26" s="19">
        <f t="shared" si="198"/>
        <v>31.694629395068901</v>
      </c>
      <c r="HY26" s="10">
        <f t="shared" si="199"/>
        <v>1.5491021209711096</v>
      </c>
      <c r="HZ26" s="10">
        <f t="shared" si="200"/>
        <v>25.560184996023306</v>
      </c>
      <c r="IA26" s="539">
        <f t="shared" si="201"/>
        <v>522.96138501863686</v>
      </c>
      <c r="IB26" s="19">
        <f t="shared" si="202"/>
        <v>33.739444194750767</v>
      </c>
      <c r="IF26" s="660"/>
      <c r="IG26" s="540"/>
      <c r="IH26" s="1304"/>
      <c r="II26" s="1301"/>
      <c r="IJ26" s="1301"/>
      <c r="IK26" s="1301"/>
      <c r="IL26" s="540"/>
      <c r="IM26" s="1377" t="s">
        <v>1328</v>
      </c>
      <c r="IN26" s="1377" t="s">
        <v>1328</v>
      </c>
      <c r="IO26" s="666"/>
      <c r="IP26" s="236"/>
      <c r="IR26" s="11"/>
      <c r="IY26"/>
    </row>
    <row r="27" spans="1:263" ht="13.5" thickBot="1">
      <c r="A27" s="11"/>
      <c r="B27" s="20"/>
      <c r="C27" s="826" t="s">
        <v>2345</v>
      </c>
      <c r="D27" s="47" t="s">
        <v>828</v>
      </c>
      <c r="E27" s="396">
        <f t="shared" si="0"/>
        <v>30.0471</v>
      </c>
      <c r="F27" s="242">
        <v>2.0470999999999999</v>
      </c>
      <c r="G27" s="48">
        <f>'Update Stock Prices'!S27</f>
        <v>541446208.11287475</v>
      </c>
      <c r="H27" s="991">
        <f t="shared" si="27"/>
        <v>3.7808003257328991E-9</v>
      </c>
      <c r="I27" s="49">
        <f>'Update Stock Prices'!D27</f>
        <v>11.34</v>
      </c>
      <c r="J27" s="49">
        <f t="shared" si="1"/>
        <v>23.214113999999999</v>
      </c>
      <c r="K27" s="30">
        <v>63.47</v>
      </c>
      <c r="L27" s="49">
        <f t="shared" si="28"/>
        <v>-40.255886000000004</v>
      </c>
      <c r="M27" s="50">
        <f t="shared" si="29"/>
        <v>-0.63425060658578858</v>
      </c>
      <c r="N27" s="49">
        <f t="shared" si="30"/>
        <v>31.004836109618484</v>
      </c>
      <c r="O27" s="48">
        <f t="shared" si="2"/>
        <v>28</v>
      </c>
      <c r="P27" s="49">
        <f t="shared" si="3"/>
        <v>3.4900000000000091</v>
      </c>
      <c r="Q27" s="30">
        <f>0.02*12</f>
        <v>0.24</v>
      </c>
      <c r="R27" s="49">
        <f t="shared" ref="R27:R31" si="268">S27/365.25</f>
        <v>1.3451170431211497E-3</v>
      </c>
      <c r="S27" s="49">
        <f t="shared" si="4"/>
        <v>0.49130399999999996</v>
      </c>
      <c r="T27" s="49">
        <f t="shared" ref="T27:T31" si="269">S27/12</f>
        <v>4.0941999999999999E-2</v>
      </c>
      <c r="U27" s="49" t="s">
        <v>56</v>
      </c>
      <c r="V27" s="50">
        <f t="shared" si="6"/>
        <v>2.1164021164021163E-2</v>
      </c>
      <c r="W27" s="50">
        <f t="shared" si="7"/>
        <v>7.7407279029462735E-3</v>
      </c>
      <c r="X27" s="49">
        <f t="shared" si="8"/>
        <v>6.7199999999999989</v>
      </c>
      <c r="Y27" s="49">
        <f t="shared" si="32"/>
        <v>4.0941999999999999E-2</v>
      </c>
      <c r="Z27" s="860">
        <f t="shared" si="9"/>
        <v>0</v>
      </c>
      <c r="AA27" s="860">
        <f t="shared" si="10"/>
        <v>564.9529</v>
      </c>
      <c r="AB27" s="49">
        <f t="shared" si="11"/>
        <v>6406.5658860000003</v>
      </c>
      <c r="AC27" s="48">
        <v>1</v>
      </c>
      <c r="AD27" s="47" t="str">
        <f t="shared" si="12"/>
        <v>CPG</v>
      </c>
      <c r="AE27" s="49">
        <f t="shared" si="13"/>
        <v>23.214113999999999</v>
      </c>
      <c r="AF27" s="50" t="e">
        <f t="shared" si="14"/>
        <v>#REF!</v>
      </c>
      <c r="AG27" s="890" t="e">
        <f t="shared" si="15"/>
        <v>#REF!</v>
      </c>
      <c r="AH27" s="207" t="s">
        <v>321</v>
      </c>
      <c r="AI27" s="240">
        <f t="shared" si="16"/>
        <v>1.2233551596458228E-3</v>
      </c>
      <c r="AJ27" s="11">
        <f t="shared" si="33"/>
        <v>3</v>
      </c>
      <c r="AK27" s="11"/>
      <c r="AL27" s="11"/>
      <c r="AM27" s="11"/>
      <c r="AN27" s="11"/>
      <c r="AO27" s="11"/>
      <c r="AP27" s="11"/>
      <c r="AQ27" s="11" t="str">
        <f>'Update Stock Prices'!Q27</f>
        <v>mid</v>
      </c>
      <c r="AR27" s="11"/>
      <c r="AS27" s="11"/>
      <c r="AT27" s="176" t="s">
        <v>1683</v>
      </c>
      <c r="AU27" s="420"/>
      <c r="AV27" s="420"/>
      <c r="AW27" s="27"/>
      <c r="AX27" s="27"/>
      <c r="AY27" s="605"/>
      <c r="AZ27" s="606" t="s">
        <v>1224</v>
      </c>
      <c r="BA27" s="27"/>
      <c r="BC27" s="420"/>
      <c r="BD27" s="932"/>
      <c r="BE27" s="593">
        <f t="shared" si="17"/>
        <v>0</v>
      </c>
      <c r="BF27" s="725">
        <f t="shared" si="221"/>
        <v>589892.10906762362</v>
      </c>
      <c r="BG27" s="420" t="str">
        <f t="shared" ca="1" si="18"/>
        <v/>
      </c>
      <c r="BH27" s="593">
        <f t="shared" ca="1" si="34"/>
        <v>28</v>
      </c>
      <c r="BI27" s="420">
        <f t="shared" ca="1" si="35"/>
        <v>62</v>
      </c>
      <c r="BJ27" s="420">
        <f t="shared" ca="1" si="35"/>
        <v>68</v>
      </c>
      <c r="BK27" s="420">
        <f t="shared" ca="1" si="36"/>
        <v>2042</v>
      </c>
      <c r="BL27" s="420" t="s">
        <v>1034</v>
      </c>
      <c r="BM27" s="19">
        <f t="shared" si="19"/>
        <v>806645.76203829038</v>
      </c>
      <c r="BN27" s="19">
        <f>FS149</f>
        <v>216753.65297066674</v>
      </c>
      <c r="BO27" s="19">
        <f>FT149</f>
        <v>13047.834244098309</v>
      </c>
      <c r="BP27" s="183">
        <f t="shared" si="20"/>
        <v>6.019660598690843E-2</v>
      </c>
      <c r="BQ27" s="19">
        <f t="shared" si="21"/>
        <v>1087.3195203415257</v>
      </c>
      <c r="BS27" s="420" t="str">
        <f t="shared" si="37"/>
        <v>CPG</v>
      </c>
      <c r="BT27" s="425">
        <f t="shared" si="38"/>
        <v>2.0470999999999999</v>
      </c>
      <c r="BU27" s="19">
        <f t="shared" si="39"/>
        <v>11.34</v>
      </c>
      <c r="BV27" s="19">
        <f t="shared" si="40"/>
        <v>23.214113999999999</v>
      </c>
      <c r="BW27" s="539">
        <f t="shared" si="41"/>
        <v>0.24</v>
      </c>
      <c r="BX27" s="19">
        <f t="shared" si="42"/>
        <v>0.49130399999999996</v>
      </c>
      <c r="BY27" s="10">
        <f t="shared" si="43"/>
        <v>4.3324867724867724E-2</v>
      </c>
      <c r="BZ27" s="10">
        <f t="shared" si="44"/>
        <v>2.0904248677248676</v>
      </c>
      <c r="CA27" s="539">
        <f t="shared" si="45"/>
        <v>23.705417999999998</v>
      </c>
      <c r="CB27" s="19">
        <f t="shared" si="46"/>
        <v>0.50170196825396818</v>
      </c>
      <c r="CC27" s="10">
        <f t="shared" si="47"/>
        <v>4.4241796142325235E-2</v>
      </c>
      <c r="CD27" s="10">
        <f t="shared" si="48"/>
        <v>2.1346666638671929</v>
      </c>
      <c r="CE27" s="539">
        <f t="shared" si="49"/>
        <v>24.207119968253966</v>
      </c>
      <c r="CF27" s="19">
        <f t="shared" si="50"/>
        <v>0.51231999932812633</v>
      </c>
      <c r="CG27" s="10">
        <f t="shared" si="51"/>
        <v>4.5178130452215727E-2</v>
      </c>
      <c r="CH27" s="10">
        <f t="shared" si="52"/>
        <v>2.1798447943194086</v>
      </c>
      <c r="CI27" s="539">
        <f t="shared" si="53"/>
        <v>24.719439967582094</v>
      </c>
      <c r="CJ27" s="19">
        <f t="shared" si="54"/>
        <v>0.52316275063665807</v>
      </c>
      <c r="CK27" s="10">
        <f t="shared" si="55"/>
        <v>4.6134281361257329E-2</v>
      </c>
      <c r="CL27" s="10">
        <f t="shared" si="56"/>
        <v>2.2259790756806659</v>
      </c>
      <c r="CM27" s="539">
        <f t="shared" si="57"/>
        <v>25.242602718218752</v>
      </c>
      <c r="CN27" s="19">
        <f t="shared" si="58"/>
        <v>0.53423497816335974</v>
      </c>
      <c r="CO27" s="10">
        <f t="shared" si="59"/>
        <v>4.7110668268373873E-2</v>
      </c>
      <c r="CP27" s="10">
        <f t="shared" si="60"/>
        <v>2.2730897439490398</v>
      </c>
      <c r="CQ27" s="539">
        <f t="shared" si="61"/>
        <v>25.77683769638211</v>
      </c>
      <c r="CR27" s="19">
        <f t="shared" si="62"/>
        <v>0.54554153854776954</v>
      </c>
      <c r="CS27" s="10">
        <f t="shared" si="63"/>
        <v>4.8107719448656924E-2</v>
      </c>
      <c r="CT27" s="10">
        <f t="shared" si="64"/>
        <v>2.3211974633976968</v>
      </c>
      <c r="CU27" s="539">
        <f t="shared" si="65"/>
        <v>26.322379234929883</v>
      </c>
      <c r="CV27" s="19">
        <f t="shared" si="66"/>
        <v>0.55708739121544726</v>
      </c>
      <c r="CW27" s="10">
        <f t="shared" si="67"/>
        <v>4.91258722412211E-2</v>
      </c>
      <c r="CX27" s="10">
        <f t="shared" si="68"/>
        <v>2.3703233356389179</v>
      </c>
      <c r="CY27" s="539">
        <f t="shared" si="69"/>
        <v>26.87946662614533</v>
      </c>
      <c r="CZ27" s="19">
        <f t="shared" si="70"/>
        <v>0.56887760055334025</v>
      </c>
      <c r="DA27" s="10">
        <f t="shared" si="71"/>
        <v>5.0165573241035294E-2</v>
      </c>
      <c r="DB27" s="10">
        <f t="shared" si="72"/>
        <v>2.4204889088799533</v>
      </c>
      <c r="DC27" s="539">
        <f t="shared" si="73"/>
        <v>27.448344226698669</v>
      </c>
      <c r="DD27" s="19">
        <f t="shared" si="74"/>
        <v>0.58091733813118873</v>
      </c>
      <c r="DE27" s="10">
        <f t="shared" si="75"/>
        <v>5.1227278494813823E-2</v>
      </c>
      <c r="DF27" s="10">
        <f t="shared" si="76"/>
        <v>2.4717161873747671</v>
      </c>
      <c r="DG27" s="539">
        <f t="shared" si="77"/>
        <v>28.029261564829859</v>
      </c>
      <c r="DH27" s="19">
        <f t="shared" si="78"/>
        <v>0.59321188496994404</v>
      </c>
      <c r="DI27" s="10">
        <f t="shared" si="79"/>
        <v>5.2311453701053265E-2</v>
      </c>
      <c r="DJ27" s="10">
        <f t="shared" si="80"/>
        <v>2.5240276410758202</v>
      </c>
      <c r="DK27" s="539">
        <f t="shared" si="81"/>
        <v>28.622473449799802</v>
      </c>
      <c r="DL27" s="19">
        <f t="shared" si="82"/>
        <v>0.60576663385819685</v>
      </c>
      <c r="DM27" s="10">
        <f t="shared" si="83"/>
        <v>5.3418574414303074E-2</v>
      </c>
      <c r="DN27" s="10">
        <f t="shared" si="84"/>
        <v>2.5774462154901232</v>
      </c>
      <c r="DO27" s="539">
        <f t="shared" si="85"/>
        <v>29.228240083657997</v>
      </c>
      <c r="DP27" s="19">
        <f t="shared" si="86"/>
        <v>0.6185870917176296</v>
      </c>
      <c r="DQ27" s="10">
        <f t="shared" si="87"/>
        <v>5.4549126253759225E-2</v>
      </c>
      <c r="DR27" s="10">
        <f t="shared" si="88"/>
        <v>2.6319953417438824</v>
      </c>
      <c r="DS27" s="539">
        <f t="shared" si="89"/>
        <v>29.846827175375626</v>
      </c>
      <c r="DT27" s="19">
        <f t="shared" si="90"/>
        <v>0.63167888201853173</v>
      </c>
      <c r="DU27" s="10">
        <f t="shared" si="91"/>
        <v>5.5703605116272641E-2</v>
      </c>
      <c r="DV27" s="10">
        <f t="shared" si="92"/>
        <v>2.6876989468601549</v>
      </c>
      <c r="DW27" s="539">
        <f t="shared" si="93"/>
        <v>30.478506057394156</v>
      </c>
      <c r="DX27" s="19">
        <f t="shared" si="94"/>
        <v>0.6450477472464371</v>
      </c>
      <c r="DY27" s="10">
        <f t="shared" si="95"/>
        <v>5.6882517393865704E-2</v>
      </c>
      <c r="DZ27" s="10">
        <f t="shared" si="96"/>
        <v>2.7445814642540207</v>
      </c>
      <c r="EA27" s="539">
        <f t="shared" si="97"/>
        <v>31.123553804640594</v>
      </c>
      <c r="EB27" s="19">
        <f t="shared" si="98"/>
        <v>0.65869955142096492</v>
      </c>
      <c r="EC27" s="10">
        <f t="shared" si="99"/>
        <v>5.8086380195852286E-2</v>
      </c>
      <c r="ED27" s="10">
        <f t="shared" si="100"/>
        <v>2.8026678444498732</v>
      </c>
      <c r="EE27" s="539">
        <f t="shared" si="101"/>
        <v>31.78225335606156</v>
      </c>
      <c r="EF27" s="19">
        <f t="shared" si="102"/>
        <v>0.67264028266796949</v>
      </c>
      <c r="EG27" s="10">
        <f t="shared" si="103"/>
        <v>5.9315721575658689E-2</v>
      </c>
      <c r="EH27" s="10">
        <f t="shared" si="104"/>
        <v>2.8619835660255317</v>
      </c>
      <c r="EI27" s="539">
        <f t="shared" si="105"/>
        <v>32.45489363872953</v>
      </c>
      <c r="EJ27" s="19">
        <f t="shared" si="106"/>
        <v>0.68687605584612754</v>
      </c>
      <c r="EK27" s="10">
        <f t="shared" si="107"/>
        <v>6.0571080762445113E-2</v>
      </c>
      <c r="EL27" s="10">
        <f t="shared" si="108"/>
        <v>2.9225546467879768</v>
      </c>
      <c r="EM27" s="539">
        <f t="shared" si="109"/>
        <v>33.141769694575657</v>
      </c>
      <c r="EN27" s="19">
        <f t="shared" si="110"/>
        <v>0.70141311522911443</v>
      </c>
      <c r="EO27" s="10">
        <f t="shared" si="111"/>
        <v>6.1853008397629139E-2</v>
      </c>
      <c r="EP27" s="10">
        <f t="shared" si="112"/>
        <v>2.9844076551856058</v>
      </c>
      <c r="EQ27" s="539">
        <f t="shared" si="113"/>
        <v>33.843182809804766</v>
      </c>
      <c r="ER27" s="19">
        <f t="shared" si="114"/>
        <v>0.71625783724454539</v>
      </c>
      <c r="ES27" s="10">
        <f t="shared" si="115"/>
        <v>6.3162066776414935E-2</v>
      </c>
      <c r="ET27" s="10">
        <f t="shared" si="116"/>
        <v>3.0475697219620206</v>
      </c>
      <c r="EU27" s="539">
        <f t="shared" si="117"/>
        <v>34.559440647049314</v>
      </c>
      <c r="EV27" s="19">
        <f t="shared" si="118"/>
        <v>0.73141673327088497</v>
      </c>
      <c r="EW27" s="10">
        <f t="shared" si="119"/>
        <v>6.4498830094434301E-2</v>
      </c>
      <c r="EX27" s="10">
        <f t="shared" si="120"/>
        <v>3.1120685520564551</v>
      </c>
      <c r="EY27" s="539">
        <f t="shared" si="121"/>
        <v>35.290857380320197</v>
      </c>
      <c r="EZ27" s="19">
        <f t="shared" si="122"/>
        <v>0.74689645249354919</v>
      </c>
      <c r="FA27" s="10">
        <f t="shared" si="123"/>
        <v>6.5863884699607508E-2</v>
      </c>
      <c r="FB27" s="10">
        <f t="shared" si="124"/>
        <v>3.1779324367560626</v>
      </c>
      <c r="FC27" s="539">
        <f t="shared" si="125"/>
        <v>36.037753832813749</v>
      </c>
      <c r="FD27" s="19">
        <f t="shared" si="126"/>
        <v>0.76270378482145496</v>
      </c>
      <c r="FE27" s="10">
        <f t="shared" si="127"/>
        <v>6.725782934933465E-2</v>
      </c>
      <c r="FF27" s="10">
        <f t="shared" si="128"/>
        <v>3.2451902661053973</v>
      </c>
      <c r="FG27" s="539">
        <f t="shared" si="129"/>
        <v>36.800457617635203</v>
      </c>
      <c r="FH27" s="19">
        <f t="shared" si="130"/>
        <v>0.7788456638652953</v>
      </c>
      <c r="FI27" s="10">
        <f t="shared" si="131"/>
        <v>6.8681275473130105E-2</v>
      </c>
      <c r="FJ27" s="10">
        <f t="shared" si="132"/>
        <v>3.3138715415785276</v>
      </c>
      <c r="FK27" s="539">
        <f t="shared" si="133"/>
        <v>37.579303281500501</v>
      </c>
      <c r="FL27" s="19">
        <f t="shared" si="134"/>
        <v>0.79532916997884662</v>
      </c>
      <c r="FM27" s="10">
        <f t="shared" si="135"/>
        <v>7.0134847440815398E-2</v>
      </c>
      <c r="FN27" s="10">
        <f t="shared" si="136"/>
        <v>3.3840063890193428</v>
      </c>
      <c r="FO27" s="539">
        <f t="shared" si="137"/>
        <v>38.37463245147935</v>
      </c>
      <c r="FP27" s="19">
        <f t="shared" si="138"/>
        <v>0.81216153336464225</v>
      </c>
      <c r="FQ27" s="10">
        <f t="shared" si="139"/>
        <v>7.1619182836388212E-2</v>
      </c>
      <c r="FR27" s="10">
        <f t="shared" si="140"/>
        <v>3.4556255718557312</v>
      </c>
      <c r="FS27" s="539">
        <f t="shared" si="141"/>
        <v>39.186793984843987</v>
      </c>
      <c r="FT27" s="19">
        <f t="shared" si="142"/>
        <v>0.82935013724537543</v>
      </c>
      <c r="FU27" s="10">
        <f t="shared" si="143"/>
        <v>7.3134932737687425E-2</v>
      </c>
      <c r="FV27" s="10">
        <f t="shared" si="144"/>
        <v>3.5287605045934187</v>
      </c>
      <c r="FW27" s="539">
        <f t="shared" si="145"/>
        <v>40.016144122089365</v>
      </c>
      <c r="FX27" s="19">
        <f t="shared" si="146"/>
        <v>0.84690252110242048</v>
      </c>
      <c r="FY27" s="10">
        <f t="shared" si="147"/>
        <v>7.4682762001977113E-2</v>
      </c>
      <c r="FZ27" s="10">
        <f t="shared" si="148"/>
        <v>3.6034432665953959</v>
      </c>
      <c r="GA27" s="539">
        <f t="shared" si="149"/>
        <v>40.863046643191787</v>
      </c>
      <c r="GB27" s="19">
        <f t="shared" si="150"/>
        <v>0.86482638398289502</v>
      </c>
      <c r="GC27" s="10">
        <f t="shared" si="151"/>
        <v>7.6263349557574522E-2</v>
      </c>
      <c r="GD27" s="10">
        <f t="shared" si="152"/>
        <v>3.6797066161529703</v>
      </c>
      <c r="GE27" s="539">
        <f t="shared" si="153"/>
        <v>41.727873027174681</v>
      </c>
      <c r="GF27" s="19">
        <f t="shared" si="154"/>
        <v>0.88312958787671281</v>
      </c>
      <c r="GG27" s="10">
        <f t="shared" si="155"/>
        <v>7.787738870165016E-2</v>
      </c>
      <c r="GH27" s="10">
        <f t="shared" si="156"/>
        <v>3.7575840048546203</v>
      </c>
      <c r="GI27" s="539">
        <f t="shared" si="157"/>
        <v>42.61100261505139</v>
      </c>
      <c r="GJ27" s="19">
        <f t="shared" si="158"/>
        <v>0.90182016116510888</v>
      </c>
      <c r="GK27" s="10">
        <f t="shared" si="159"/>
        <v>7.9525587404330592E-2</v>
      </c>
      <c r="GL27" s="10">
        <f t="shared" si="160"/>
        <v>3.8371095922589511</v>
      </c>
      <c r="GM27" s="539">
        <f t="shared" si="161"/>
        <v>43.512822776216503</v>
      </c>
      <c r="GN27" s="19">
        <f t="shared" si="162"/>
        <v>0.92090630214214819</v>
      </c>
      <c r="GO27" s="10">
        <f t="shared" si="163"/>
        <v>8.1208668619237048E-2</v>
      </c>
      <c r="GP27" s="10">
        <f t="shared" si="164"/>
        <v>3.9183182608781881</v>
      </c>
      <c r="GQ27" s="539">
        <f t="shared" si="165"/>
        <v>44.433729078358652</v>
      </c>
      <c r="GR27" s="19">
        <f t="shared" si="166"/>
        <v>0.94039638261076508</v>
      </c>
      <c r="GS27" s="10">
        <f t="shared" si="167"/>
        <v>8.2927370600596573E-2</v>
      </c>
      <c r="GT27" s="10">
        <f t="shared" si="168"/>
        <v>4.0012456314787848</v>
      </c>
      <c r="GU27" s="539">
        <f t="shared" si="169"/>
        <v>45.374125460969417</v>
      </c>
      <c r="GV27" s="19">
        <f t="shared" si="170"/>
        <v>0.9602989515549083</v>
      </c>
      <c r="GW27" s="10">
        <f t="shared" si="171"/>
        <v>8.4682447227064223E-2</v>
      </c>
      <c r="GX27" s="10">
        <f t="shared" si="172"/>
        <v>4.085928078705849</v>
      </c>
      <c r="GY27" s="539">
        <f t="shared" si="173"/>
        <v>46.334424412524328</v>
      </c>
      <c r="GZ27" s="19">
        <f t="shared" si="174"/>
        <v>0.98062273888940377</v>
      </c>
      <c r="HA27" s="10">
        <f t="shared" si="175"/>
        <v>8.6474668332398918E-2</v>
      </c>
      <c r="HB27" s="10">
        <f t="shared" si="176"/>
        <v>4.1724027470382481</v>
      </c>
      <c r="HC27" s="539">
        <f t="shared" si="177"/>
        <v>47.315047151413729</v>
      </c>
      <c r="HD27" s="19">
        <f t="shared" si="178"/>
        <v>1.0013766592891795</v>
      </c>
      <c r="HE27" s="10">
        <f t="shared" si="179"/>
        <v>8.8304820043137527E-2</v>
      </c>
      <c r="HF27" s="10">
        <f t="shared" si="180"/>
        <v>4.2607075670813854</v>
      </c>
      <c r="HG27" s="539">
        <f t="shared" si="181"/>
        <v>48.316423810702908</v>
      </c>
      <c r="HH27" s="19">
        <f t="shared" si="182"/>
        <v>1.0225698160995325</v>
      </c>
      <c r="HI27" s="10">
        <f t="shared" si="183"/>
        <v>9.0173705123415562E-2</v>
      </c>
      <c r="HJ27" s="10">
        <f t="shared" si="184"/>
        <v>4.3508812722048011</v>
      </c>
      <c r="HK27" s="539">
        <f t="shared" si="185"/>
        <v>49.338993626802441</v>
      </c>
      <c r="HL27" s="19">
        <f t="shared" si="186"/>
        <v>1.0442115053291523</v>
      </c>
      <c r="HM27" s="10">
        <f t="shared" si="187"/>
        <v>9.2082143327085739E-2</v>
      </c>
      <c r="HN27" s="10">
        <f t="shared" si="188"/>
        <v>4.4429634155318869</v>
      </c>
      <c r="HO27" s="539">
        <f t="shared" si="189"/>
        <v>50.3832051321316</v>
      </c>
      <c r="HP27" s="19">
        <f t="shared" si="190"/>
        <v>1.0663112197276527</v>
      </c>
      <c r="HQ27" s="10">
        <f t="shared" si="191"/>
        <v>9.4030971757288598E-2</v>
      </c>
      <c r="HR27" s="10">
        <f t="shared" si="192"/>
        <v>4.5369943872891758</v>
      </c>
      <c r="HS27" s="539">
        <f t="shared" si="193"/>
        <v>51.449516351859252</v>
      </c>
      <c r="HT27" s="19">
        <f t="shared" si="194"/>
        <v>1.0888786529494021</v>
      </c>
      <c r="HU27" s="10">
        <f t="shared" si="195"/>
        <v>9.6021045233633348E-2</v>
      </c>
      <c r="HV27" s="10">
        <f t="shared" si="196"/>
        <v>4.633015432522809</v>
      </c>
      <c r="HW27" s="539">
        <f t="shared" si="197"/>
        <v>52.538395004808656</v>
      </c>
      <c r="HX27" s="19">
        <f t="shared" si="198"/>
        <v>1.1119237038054741</v>
      </c>
      <c r="HY27" s="10">
        <f t="shared" si="199"/>
        <v>9.8053236667149393E-2</v>
      </c>
      <c r="HZ27" s="10">
        <f t="shared" si="200"/>
        <v>4.7310686691899582</v>
      </c>
      <c r="IA27" s="539">
        <f t="shared" si="201"/>
        <v>53.650318708614122</v>
      </c>
      <c r="IB27" s="19">
        <f t="shared" si="202"/>
        <v>1.13545648060559</v>
      </c>
      <c r="IF27" s="660"/>
      <c r="IG27" s="540"/>
      <c r="IH27" s="1304"/>
      <c r="II27" s="1301"/>
      <c r="IJ27" s="1301"/>
      <c r="IK27" s="1301"/>
      <c r="IL27" s="540"/>
      <c r="IM27" s="1378">
        <f>IM9/(IM24-IM21)</f>
        <v>72.916666666666714</v>
      </c>
      <c r="IN27" s="1378">
        <f>(IN18-IN21)/IN24</f>
        <v>47.37287304956854</v>
      </c>
      <c r="IO27" s="666"/>
      <c r="IP27" s="236"/>
      <c r="IR27" s="11"/>
      <c r="IY27"/>
    </row>
    <row r="28" spans="1:263" ht="13.5" thickBot="1">
      <c r="A28" s="20"/>
      <c r="B28" s="20"/>
      <c r="C28" s="826" t="s">
        <v>2344</v>
      </c>
      <c r="D28" s="47" t="s">
        <v>1149</v>
      </c>
      <c r="E28" s="396">
        <f t="shared" si="0"/>
        <v>7.0245999999999995</v>
      </c>
      <c r="F28" s="242">
        <v>1.0246</v>
      </c>
      <c r="G28" s="48">
        <f>'Update Stock Prices'!S28</f>
        <v>946356058.98696303</v>
      </c>
      <c r="H28" s="991">
        <f t="shared" si="27"/>
        <v>1.0826791779584462E-9</v>
      </c>
      <c r="I28" s="49">
        <f>'Update Stock Prices'!D28</f>
        <v>46.79</v>
      </c>
      <c r="J28" s="49">
        <f t="shared" si="1"/>
        <v>47.941033999999995</v>
      </c>
      <c r="K28" s="30">
        <v>35.04</v>
      </c>
      <c r="L28" s="49">
        <f t="shared" si="28"/>
        <v>12.901033999999996</v>
      </c>
      <c r="M28" s="50">
        <f t="shared" si="29"/>
        <v>0.36818019406392682</v>
      </c>
      <c r="N28" s="49">
        <f t="shared" si="30"/>
        <v>34.198711692367752</v>
      </c>
      <c r="O28" s="48">
        <f t="shared" si="2"/>
        <v>6</v>
      </c>
      <c r="P28" s="49">
        <f t="shared" si="3"/>
        <v>40.269999999999982</v>
      </c>
      <c r="Q28" s="30">
        <f>0.18*4</f>
        <v>0.72</v>
      </c>
      <c r="R28" s="49">
        <f t="shared" si="268"/>
        <v>2.0197453798767966E-3</v>
      </c>
      <c r="S28" s="49">
        <f t="shared" si="4"/>
        <v>0.73771199999999992</v>
      </c>
      <c r="T28" s="49">
        <f t="shared" si="269"/>
        <v>6.1475999999999996E-2</v>
      </c>
      <c r="U28" s="49" t="s">
        <v>54</v>
      </c>
      <c r="V28" s="50">
        <f t="shared" si="6"/>
        <v>1.5387903398162E-2</v>
      </c>
      <c r="W28" s="50">
        <f t="shared" si="7"/>
        <v>2.1053424657534243E-2</v>
      </c>
      <c r="X28" s="49">
        <f t="shared" si="8"/>
        <v>4.32</v>
      </c>
      <c r="Y28" s="49">
        <f t="shared" ref="Y28" si="270">IF(U28="Q",3*T28,IF(U28="Y",12*T28,IF(U28="B",6*T28,IF(U28="M",T28,0))))</f>
        <v>0.18442799999999998</v>
      </c>
      <c r="Z28" s="860">
        <f t="shared" si="9"/>
        <v>0</v>
      </c>
      <c r="AA28" s="860">
        <f t="shared" si="10"/>
        <v>258.91984444444444</v>
      </c>
      <c r="AB28" s="49">
        <f t="shared" si="11"/>
        <v>12114.859521555554</v>
      </c>
      <c r="AC28" s="48">
        <v>1</v>
      </c>
      <c r="AD28" s="47" t="str">
        <f t="shared" si="12"/>
        <v>CSX</v>
      </c>
      <c r="AE28" s="49">
        <f t="shared" si="13"/>
        <v>47.941033999999995</v>
      </c>
      <c r="AF28" s="50" t="e">
        <f t="shared" si="14"/>
        <v>#REF!</v>
      </c>
      <c r="AG28" s="890" t="e">
        <f t="shared" si="15"/>
        <v>#REF!</v>
      </c>
      <c r="AH28" s="207" t="s">
        <v>1178</v>
      </c>
      <c r="AI28" s="240">
        <f t="shared" si="16"/>
        <v>5.2175080256503152E-3</v>
      </c>
      <c r="AJ28" s="11">
        <f t="shared" si="33"/>
        <v>3</v>
      </c>
      <c r="AK28" s="11"/>
      <c r="AL28" s="11"/>
      <c r="AM28" s="11"/>
      <c r="AN28" s="11"/>
      <c r="AO28" s="11"/>
      <c r="AP28" s="11"/>
      <c r="AQ28" s="11" t="str">
        <f>'Update Stock Prices'!Q28</f>
        <v>big</v>
      </c>
      <c r="AR28" s="11"/>
      <c r="AS28" s="11"/>
      <c r="AT28" s="828" t="s">
        <v>1686</v>
      </c>
      <c r="AU28" s="420"/>
      <c r="AV28" s="420"/>
      <c r="AW28" s="11"/>
      <c r="AX28" s="27"/>
      <c r="BB28" s="15"/>
      <c r="BC28" s="10"/>
      <c r="BD28" s="932"/>
      <c r="BE28" s="593">
        <f t="shared" si="17"/>
        <v>0</v>
      </c>
      <c r="BF28" s="725">
        <f t="shared" si="221"/>
        <v>612648.32124897605</v>
      </c>
      <c r="BG28" s="420" t="str">
        <f t="shared" ca="1" si="18"/>
        <v/>
      </c>
      <c r="BH28" s="593">
        <f t="shared" ca="1" si="34"/>
        <v>29</v>
      </c>
      <c r="BI28" s="420">
        <f t="shared" ca="1" si="35"/>
        <v>63</v>
      </c>
      <c r="BJ28" s="420">
        <f t="shared" ca="1" si="35"/>
        <v>69</v>
      </c>
      <c r="BK28" s="420">
        <f t="shared" ca="1" si="36"/>
        <v>2043</v>
      </c>
      <c r="BL28" s="420" t="s">
        <v>1035</v>
      </c>
      <c r="BM28" s="19">
        <f t="shared" si="19"/>
        <v>842449.80846374109</v>
      </c>
      <c r="BN28" s="19">
        <f>FW149</f>
        <v>229801.48721476499</v>
      </c>
      <c r="BO28" s="19">
        <f>FX149</f>
        <v>14066.721476530205</v>
      </c>
      <c r="BP28" s="183">
        <f t="shared" si="20"/>
        <v>6.1212491037466198E-2</v>
      </c>
      <c r="BQ28" s="19">
        <f t="shared" si="21"/>
        <v>1172.2267897108504</v>
      </c>
      <c r="BS28" s="420" t="str">
        <f t="shared" si="37"/>
        <v>CSX</v>
      </c>
      <c r="BT28" s="425">
        <f t="shared" si="38"/>
        <v>1.0246</v>
      </c>
      <c r="BU28" s="19">
        <f t="shared" si="39"/>
        <v>46.79</v>
      </c>
      <c r="BV28" s="19">
        <f t="shared" si="40"/>
        <v>47.941033999999995</v>
      </c>
      <c r="BW28" s="539">
        <f t="shared" si="41"/>
        <v>0.72</v>
      </c>
      <c r="BX28" s="19">
        <f t="shared" si="42"/>
        <v>0.73771199999999992</v>
      </c>
      <c r="BY28" s="10">
        <f t="shared" si="43"/>
        <v>1.5766445821756785E-2</v>
      </c>
      <c r="BZ28" s="10">
        <f t="shared" si="44"/>
        <v>1.0403664458217567</v>
      </c>
      <c r="CA28" s="539">
        <f t="shared" si="45"/>
        <v>48.678745999999997</v>
      </c>
      <c r="CB28" s="19">
        <f t="shared" si="46"/>
        <v>0.74906384099166479</v>
      </c>
      <c r="CC28" s="10">
        <f t="shared" si="47"/>
        <v>1.6009058366994334E-2</v>
      </c>
      <c r="CD28" s="10">
        <f t="shared" si="48"/>
        <v>1.056375504188751</v>
      </c>
      <c r="CE28" s="539">
        <f t="shared" si="49"/>
        <v>49.427809840991657</v>
      </c>
      <c r="CF28" s="19">
        <f t="shared" si="50"/>
        <v>0.76059036301590077</v>
      </c>
      <c r="CG28" s="10">
        <f t="shared" si="51"/>
        <v>1.6255404210641179E-2</v>
      </c>
      <c r="CH28" s="10">
        <f t="shared" si="52"/>
        <v>1.0726309083993921</v>
      </c>
      <c r="CI28" s="539">
        <f t="shared" si="53"/>
        <v>50.188400204007557</v>
      </c>
      <c r="CJ28" s="19">
        <f t="shared" si="54"/>
        <v>0.77229425404756236</v>
      </c>
      <c r="CK28" s="10">
        <f t="shared" si="55"/>
        <v>1.6505540800332601E-2</v>
      </c>
      <c r="CL28" s="10">
        <f t="shared" si="56"/>
        <v>1.0891364491997246</v>
      </c>
      <c r="CM28" s="539">
        <f t="shared" si="57"/>
        <v>50.960694458055116</v>
      </c>
      <c r="CN28" s="19">
        <f t="shared" si="58"/>
        <v>0.78417824342380171</v>
      </c>
      <c r="CO28" s="10">
        <f t="shared" si="59"/>
        <v>1.6759526467702537E-2</v>
      </c>
      <c r="CP28" s="10">
        <f t="shared" si="60"/>
        <v>1.1058959756674271</v>
      </c>
      <c r="CQ28" s="539">
        <f t="shared" si="61"/>
        <v>51.744872701478918</v>
      </c>
      <c r="CR28" s="19">
        <f t="shared" si="62"/>
        <v>0.79624510248054747</v>
      </c>
      <c r="CS28" s="10">
        <f t="shared" si="63"/>
        <v>1.7017420441986481E-2</v>
      </c>
      <c r="CT28" s="10">
        <f t="shared" si="64"/>
        <v>1.1229133961094135</v>
      </c>
      <c r="CU28" s="539">
        <f t="shared" si="65"/>
        <v>52.541117803959459</v>
      </c>
      <c r="CV28" s="19">
        <f t="shared" si="66"/>
        <v>0.80849764519877776</v>
      </c>
      <c r="CW28" s="10">
        <f t="shared" si="67"/>
        <v>1.7279282863833678E-2</v>
      </c>
      <c r="CX28" s="10">
        <f t="shared" si="68"/>
        <v>1.1401926789732473</v>
      </c>
      <c r="CY28" s="539">
        <f t="shared" si="69"/>
        <v>53.349615449158236</v>
      </c>
      <c r="CZ28" s="19">
        <f t="shared" si="70"/>
        <v>0.82093872886073804</v>
      </c>
      <c r="DA28" s="10">
        <f t="shared" si="71"/>
        <v>1.7545174799331868E-2</v>
      </c>
      <c r="DB28" s="10">
        <f t="shared" si="72"/>
        <v>1.1577378537725791</v>
      </c>
      <c r="DC28" s="539">
        <f t="shared" si="73"/>
        <v>54.170554178018975</v>
      </c>
      <c r="DD28" s="19">
        <f t="shared" si="74"/>
        <v>0.83357125471625693</v>
      </c>
      <c r="DE28" s="10">
        <f t="shared" si="75"/>
        <v>1.781515825424785E-2</v>
      </c>
      <c r="DF28" s="10">
        <f t="shared" si="76"/>
        <v>1.1755530120268269</v>
      </c>
      <c r="DG28" s="539">
        <f t="shared" si="77"/>
        <v>55.004125432735229</v>
      </c>
      <c r="DH28" s="19">
        <f t="shared" si="78"/>
        <v>0.84639816865931539</v>
      </c>
      <c r="DI28" s="10">
        <f t="shared" si="79"/>
        <v>1.8089296188487185E-2</v>
      </c>
      <c r="DJ28" s="10">
        <f t="shared" si="80"/>
        <v>1.193642308215314</v>
      </c>
      <c r="DK28" s="539">
        <f t="shared" si="81"/>
        <v>55.850523601394542</v>
      </c>
      <c r="DL28" s="19">
        <f t="shared" si="82"/>
        <v>0.85942246191502603</v>
      </c>
      <c r="DM28" s="10">
        <f t="shared" si="83"/>
        <v>1.8367652530776362E-2</v>
      </c>
      <c r="DN28" s="10">
        <f t="shared" si="84"/>
        <v>1.2120099607460904</v>
      </c>
      <c r="DO28" s="539">
        <f t="shared" si="85"/>
        <v>56.709946063309566</v>
      </c>
      <c r="DP28" s="19">
        <f t="shared" si="86"/>
        <v>0.87264717173718498</v>
      </c>
      <c r="DQ28" s="10">
        <f t="shared" si="87"/>
        <v>1.8650292193570957E-2</v>
      </c>
      <c r="DR28" s="10">
        <f t="shared" si="88"/>
        <v>1.2306602529396613</v>
      </c>
      <c r="DS28" s="539">
        <f t="shared" si="89"/>
        <v>57.582593235046751</v>
      </c>
      <c r="DT28" s="19">
        <f t="shared" si="90"/>
        <v>0.88607538211655612</v>
      </c>
      <c r="DU28" s="10">
        <f t="shared" si="91"/>
        <v>1.893728108819312E-2</v>
      </c>
      <c r="DV28" s="10">
        <f t="shared" si="92"/>
        <v>1.2495975340278545</v>
      </c>
      <c r="DW28" s="539">
        <f t="shared" si="93"/>
        <v>58.46866861716331</v>
      </c>
      <c r="DX28" s="19">
        <f t="shared" si="94"/>
        <v>0.89971022450005522</v>
      </c>
      <c r="DY28" s="10">
        <f t="shared" si="95"/>
        <v>1.9228686140202077E-2</v>
      </c>
      <c r="DZ28" s="10">
        <f t="shared" si="96"/>
        <v>1.2688262201680565</v>
      </c>
      <c r="EA28" s="539">
        <f t="shared" si="97"/>
        <v>59.368378841663358</v>
      </c>
      <c r="EB28" s="19">
        <f t="shared" si="98"/>
        <v>0.91355487852100059</v>
      </c>
      <c r="EC28" s="10">
        <f t="shared" si="99"/>
        <v>1.9524575305001082E-2</v>
      </c>
      <c r="ED28" s="10">
        <f t="shared" si="100"/>
        <v>1.2883507954730575</v>
      </c>
      <c r="EE28" s="539">
        <f t="shared" si="101"/>
        <v>60.281933720184362</v>
      </c>
      <c r="EF28" s="19">
        <f t="shared" si="102"/>
        <v>0.92761257274060138</v>
      </c>
      <c r="EG28" s="10">
        <f t="shared" si="103"/>
        <v>1.9825017583684577E-2</v>
      </c>
      <c r="EH28" s="10">
        <f t="shared" si="104"/>
        <v>1.308175813056742</v>
      </c>
      <c r="EI28" s="539">
        <f t="shared" si="105"/>
        <v>61.209546292924955</v>
      </c>
      <c r="EJ28" s="19">
        <f t="shared" si="106"/>
        <v>0.94188658540085424</v>
      </c>
      <c r="EK28" s="10">
        <f t="shared" si="107"/>
        <v>2.0130083039129179E-2</v>
      </c>
      <c r="EL28" s="10">
        <f t="shared" si="108"/>
        <v>1.3283058960958711</v>
      </c>
      <c r="EM28" s="539">
        <f t="shared" si="109"/>
        <v>62.151432878325807</v>
      </c>
      <c r="EN28" s="19">
        <f t="shared" si="110"/>
        <v>0.9563802451890272</v>
      </c>
      <c r="EO28" s="10">
        <f t="shared" si="111"/>
        <v>2.0439842812332278E-2</v>
      </c>
      <c r="EP28" s="10">
        <f t="shared" si="112"/>
        <v>1.3487457389082034</v>
      </c>
      <c r="EQ28" s="539">
        <f t="shared" si="113"/>
        <v>63.107813123514838</v>
      </c>
      <c r="ER28" s="19">
        <f t="shared" si="114"/>
        <v>0.97109693201390634</v>
      </c>
      <c r="ES28" s="10">
        <f t="shared" si="115"/>
        <v>2.0754369139002058E-2</v>
      </c>
      <c r="ET28" s="10">
        <f t="shared" si="116"/>
        <v>1.3695001080472053</v>
      </c>
      <c r="EU28" s="539">
        <f t="shared" si="117"/>
        <v>64.078910055528738</v>
      </c>
      <c r="EV28" s="19">
        <f t="shared" si="118"/>
        <v>0.98604007779398783</v>
      </c>
      <c r="EW28" s="10">
        <f t="shared" si="119"/>
        <v>2.1073735366402817E-2</v>
      </c>
      <c r="EX28" s="10">
        <f t="shared" si="120"/>
        <v>1.3905738434136081</v>
      </c>
      <c r="EY28" s="539">
        <f t="shared" si="121"/>
        <v>65.064950133322725</v>
      </c>
      <c r="EZ28" s="19">
        <f t="shared" si="122"/>
        <v>1.0012131672577977</v>
      </c>
      <c r="FA28" s="10">
        <f t="shared" si="123"/>
        <v>2.1398015970459452E-2</v>
      </c>
      <c r="FB28" s="10">
        <f t="shared" si="124"/>
        <v>1.4119718593840676</v>
      </c>
      <c r="FC28" s="539">
        <f t="shared" si="125"/>
        <v>66.066163300580513</v>
      </c>
      <c r="FD28" s="19">
        <f t="shared" si="126"/>
        <v>1.0166197387565286</v>
      </c>
      <c r="FE28" s="10">
        <f t="shared" si="127"/>
        <v>2.1727286573125209E-2</v>
      </c>
      <c r="FF28" s="10">
        <f t="shared" si="128"/>
        <v>1.4336991459571928</v>
      </c>
      <c r="FG28" s="539">
        <f t="shared" si="129"/>
        <v>67.082783039337045</v>
      </c>
      <c r="FH28" s="19">
        <f t="shared" si="130"/>
        <v>1.0322633850891787</v>
      </c>
      <c r="FI28" s="10">
        <f t="shared" si="131"/>
        <v>2.2061623960016642E-2</v>
      </c>
      <c r="FJ28" s="10">
        <f t="shared" si="132"/>
        <v>1.4557607699172095</v>
      </c>
      <c r="FK28" s="539">
        <f t="shared" si="133"/>
        <v>68.115046424426225</v>
      </c>
      <c r="FL28" s="19">
        <f t="shared" si="134"/>
        <v>1.0481477543403908</v>
      </c>
      <c r="FM28" s="10">
        <f t="shared" si="135"/>
        <v>2.2401106098319957E-2</v>
      </c>
      <c r="FN28" s="10">
        <f t="shared" si="136"/>
        <v>1.4781618760155295</v>
      </c>
      <c r="FO28" s="539">
        <f t="shared" si="137"/>
        <v>69.163194178766631</v>
      </c>
      <c r="FP28" s="19">
        <f t="shared" si="138"/>
        <v>1.0642765507311811</v>
      </c>
      <c r="FQ28" s="10">
        <f t="shared" si="139"/>
        <v>2.2745812154972882E-2</v>
      </c>
      <c r="FR28" s="10">
        <f t="shared" si="140"/>
        <v>1.5009076881705024</v>
      </c>
      <c r="FS28" s="539">
        <f t="shared" si="141"/>
        <v>70.22747072949781</v>
      </c>
      <c r="FT28" s="19">
        <f t="shared" si="142"/>
        <v>1.0806535354827616</v>
      </c>
      <c r="FU28" s="10">
        <f t="shared" si="143"/>
        <v>2.3095822515126343E-2</v>
      </c>
      <c r="FV28" s="10">
        <f t="shared" si="144"/>
        <v>1.5240035106856287</v>
      </c>
      <c r="FW28" s="539">
        <f t="shared" si="145"/>
        <v>71.308124264980563</v>
      </c>
      <c r="FX28" s="19">
        <f t="shared" si="146"/>
        <v>1.0972825276936526</v>
      </c>
      <c r="FY28" s="10">
        <f t="shared" si="147"/>
        <v>2.3451218800890204E-2</v>
      </c>
      <c r="FZ28" s="10">
        <f t="shared" si="148"/>
        <v>1.5474547294865189</v>
      </c>
      <c r="GA28" s="539">
        <f t="shared" si="149"/>
        <v>72.405406792674214</v>
      </c>
      <c r="GB28" s="19">
        <f t="shared" si="150"/>
        <v>1.1141674052302935</v>
      </c>
      <c r="GC28" s="10">
        <f t="shared" si="151"/>
        <v>2.3812083890367462E-2</v>
      </c>
      <c r="GD28" s="10">
        <f t="shared" si="152"/>
        <v>1.5712668133768863</v>
      </c>
      <c r="GE28" s="539">
        <f t="shared" si="153"/>
        <v>73.519574197904504</v>
      </c>
      <c r="GF28" s="19">
        <f t="shared" si="154"/>
        <v>1.1313121056313582</v>
      </c>
      <c r="GG28" s="10">
        <f t="shared" si="155"/>
        <v>2.4178501936981369E-2</v>
      </c>
      <c r="GH28" s="10">
        <f t="shared" si="156"/>
        <v>1.5954453153138677</v>
      </c>
      <c r="GI28" s="539">
        <f t="shared" si="157"/>
        <v>74.65088630353587</v>
      </c>
      <c r="GJ28" s="19">
        <f t="shared" si="158"/>
        <v>1.1487206270259847</v>
      </c>
      <c r="GK28" s="10">
        <f t="shared" si="159"/>
        <v>2.4550558389099909E-2</v>
      </c>
      <c r="GL28" s="10">
        <f t="shared" si="160"/>
        <v>1.6199958737029676</v>
      </c>
      <c r="GM28" s="539">
        <f t="shared" si="161"/>
        <v>75.799606930561851</v>
      </c>
      <c r="GN28" s="19">
        <f t="shared" si="162"/>
        <v>1.1663970290661367</v>
      </c>
      <c r="GO28" s="10">
        <f t="shared" si="163"/>
        <v>2.4928340009962316E-2</v>
      </c>
      <c r="GP28" s="10">
        <f t="shared" si="164"/>
        <v>1.6449242137129299</v>
      </c>
      <c r="GQ28" s="539">
        <f t="shared" si="165"/>
        <v>76.966003959627983</v>
      </c>
      <c r="GR28" s="19">
        <f t="shared" si="166"/>
        <v>1.1843454338733095</v>
      </c>
      <c r="GS28" s="10">
        <f t="shared" si="167"/>
        <v>2.5311934897912149E-2</v>
      </c>
      <c r="GT28" s="10">
        <f t="shared" si="168"/>
        <v>1.6702361486108419</v>
      </c>
      <c r="GU28" s="539">
        <f t="shared" si="169"/>
        <v>78.150349393501287</v>
      </c>
      <c r="GV28" s="19">
        <f t="shared" si="170"/>
        <v>1.2025700269998061</v>
      </c>
      <c r="GW28" s="10">
        <f t="shared" si="171"/>
        <v>2.5701432506941783E-2</v>
      </c>
      <c r="GX28" s="10">
        <f t="shared" si="172"/>
        <v>1.6959375811177837</v>
      </c>
      <c r="GY28" s="539">
        <f t="shared" si="173"/>
        <v>79.352919420501095</v>
      </c>
      <c r="GZ28" s="19">
        <f t="shared" si="174"/>
        <v>1.2210750584048042</v>
      </c>
      <c r="HA28" s="10">
        <f t="shared" si="175"/>
        <v>2.6096923667552986E-2</v>
      </c>
      <c r="HB28" s="10">
        <f t="shared" si="176"/>
        <v>1.7220345047853367</v>
      </c>
      <c r="HC28" s="539">
        <f t="shared" si="177"/>
        <v>80.573994478905902</v>
      </c>
      <c r="HD28" s="19">
        <f t="shared" si="178"/>
        <v>1.2398648434454425</v>
      </c>
      <c r="HE28" s="10">
        <f t="shared" si="179"/>
        <v>2.6498500607938503E-2</v>
      </c>
      <c r="HF28" s="10">
        <f t="shared" si="180"/>
        <v>1.7485330053932753</v>
      </c>
      <c r="HG28" s="539">
        <f t="shared" si="181"/>
        <v>81.813859322351348</v>
      </c>
      <c r="HH28" s="19">
        <f t="shared" si="182"/>
        <v>1.2589437638831582</v>
      </c>
      <c r="HI28" s="10">
        <f t="shared" si="183"/>
        <v>2.6906256975489595E-2</v>
      </c>
      <c r="HJ28" s="10">
        <f t="shared" si="184"/>
        <v>1.7754392623687649</v>
      </c>
      <c r="HK28" s="539">
        <f t="shared" si="185"/>
        <v>83.072803086234515</v>
      </c>
      <c r="HL28" s="19">
        <f t="shared" si="186"/>
        <v>1.2783162689055108</v>
      </c>
      <c r="HM28" s="10">
        <f t="shared" si="187"/>
        <v>2.7320287858634554E-2</v>
      </c>
      <c r="HN28" s="10">
        <f t="shared" si="188"/>
        <v>1.8027595502273994</v>
      </c>
      <c r="HO28" s="539">
        <f t="shared" si="189"/>
        <v>84.351119355140014</v>
      </c>
      <c r="HP28" s="19">
        <f t="shared" si="190"/>
        <v>1.2979868761637274</v>
      </c>
      <c r="HQ28" s="10">
        <f t="shared" si="191"/>
        <v>2.7740689809013196E-2</v>
      </c>
      <c r="HR28" s="10">
        <f t="shared" si="192"/>
        <v>1.8305002400364125</v>
      </c>
      <c r="HS28" s="539">
        <f t="shared" si="193"/>
        <v>85.649106231303747</v>
      </c>
      <c r="HT28" s="19">
        <f t="shared" si="194"/>
        <v>1.3179601728262169</v>
      </c>
      <c r="HU28" s="10">
        <f t="shared" si="195"/>
        <v>2.8167560863992667E-2</v>
      </c>
      <c r="HV28" s="10">
        <f t="shared" si="196"/>
        <v>1.8586678009004052</v>
      </c>
      <c r="HW28" s="539">
        <f t="shared" si="197"/>
        <v>86.967066404129952</v>
      </c>
      <c r="HX28" s="19">
        <f t="shared" si="198"/>
        <v>1.3382408166482918</v>
      </c>
      <c r="HY28" s="10">
        <f t="shared" si="199"/>
        <v>2.8601000569529637E-2</v>
      </c>
      <c r="HZ28" s="10">
        <f t="shared" si="200"/>
        <v>1.8872688014699348</v>
      </c>
      <c r="IA28" s="539">
        <f t="shared" si="201"/>
        <v>88.305307220778246</v>
      </c>
      <c r="IB28" s="19">
        <f t="shared" si="202"/>
        <v>1.3588335370583531</v>
      </c>
      <c r="IF28" s="1305"/>
      <c r="IG28" s="1372"/>
      <c r="IH28" s="1383"/>
      <c r="II28" s="1379"/>
      <c r="IJ28" s="1379"/>
      <c r="IK28" s="1379"/>
      <c r="IL28" s="1372"/>
      <c r="IM28" s="1379" t="str">
        <f>IF(IM27&lt;IG4,"Overvalued","Undervalued")</f>
        <v>Overvalued</v>
      </c>
      <c r="IN28" s="1379" t="str">
        <f>IF(IN27&lt;IG4,"Overvalued","Undervalued")</f>
        <v>Overvalued</v>
      </c>
      <c r="IO28" s="1385"/>
      <c r="IP28" s="646"/>
      <c r="IR28" s="11"/>
      <c r="IY28"/>
    </row>
    <row r="29" spans="1:263">
      <c r="A29" s="20"/>
      <c r="B29" s="20"/>
      <c r="C29" s="826" t="s">
        <v>2343</v>
      </c>
      <c r="D29" s="47" t="s">
        <v>1201</v>
      </c>
      <c r="E29" s="396">
        <f t="shared" si="0"/>
        <v>7.0277000000000003</v>
      </c>
      <c r="F29" s="242">
        <v>1.0277000000000001</v>
      </c>
      <c r="G29" s="48">
        <f>'Update Stock Prices'!S29</f>
        <v>11240370.090634441</v>
      </c>
      <c r="H29" s="991">
        <f t="shared" si="27"/>
        <v>9.1429373918594308E-8</v>
      </c>
      <c r="I29" s="49">
        <f>'Update Stock Prices'!D29</f>
        <v>52.96</v>
      </c>
      <c r="J29" s="49">
        <f t="shared" si="1"/>
        <v>54.426992000000006</v>
      </c>
      <c r="K29" s="30">
        <v>37.79</v>
      </c>
      <c r="L29" s="49">
        <f t="shared" si="28"/>
        <v>16.636992000000006</v>
      </c>
      <c r="M29" s="50">
        <f t="shared" si="29"/>
        <v>0.44024853135750214</v>
      </c>
      <c r="N29" s="49">
        <f t="shared" si="30"/>
        <v>36.771431351561738</v>
      </c>
      <c r="O29" s="48">
        <f t="shared" si="2"/>
        <v>6</v>
      </c>
      <c r="P29" s="49">
        <f t="shared" si="3"/>
        <v>3.25</v>
      </c>
      <c r="Q29" s="30">
        <f>0.2825*4</f>
        <v>1.1299999999999999</v>
      </c>
      <c r="R29" s="49">
        <f t="shared" si="268"/>
        <v>3.1794688569472961E-3</v>
      </c>
      <c r="S29" s="49">
        <f t="shared" si="4"/>
        <v>1.1613009999999999</v>
      </c>
      <c r="T29" s="49">
        <f t="shared" si="269"/>
        <v>9.6775083333333331E-2</v>
      </c>
      <c r="U29" s="49" t="s">
        <v>54</v>
      </c>
      <c r="V29" s="50">
        <f t="shared" si="6"/>
        <v>2.1336858006042295E-2</v>
      </c>
      <c r="W29" s="50">
        <f t="shared" si="7"/>
        <v>3.0730378406985975E-2</v>
      </c>
      <c r="X29" s="49">
        <f t="shared" si="8"/>
        <v>6.7799999999999994</v>
      </c>
      <c r="Y29" s="49">
        <f t="shared" ref="Y29" si="271">IF(U29="Q",3*T29,IF(U29="Y",12*T29,IF(U29="B",6*T29,IF(U29="M",T29,0))))</f>
        <v>0.29032524999999998</v>
      </c>
      <c r="Z29" s="860">
        <f t="shared" si="9"/>
        <v>0</v>
      </c>
      <c r="AA29" s="860">
        <f t="shared" si="10"/>
        <v>186.44132654867258</v>
      </c>
      <c r="AB29" s="49">
        <f t="shared" si="11"/>
        <v>9873.9326540177008</v>
      </c>
      <c r="AC29" s="48">
        <v>1</v>
      </c>
      <c r="AD29" s="47" t="str">
        <f t="shared" si="12"/>
        <v>CTWS</v>
      </c>
      <c r="AE29" s="49">
        <f t="shared" si="13"/>
        <v>54.426992000000006</v>
      </c>
      <c r="AF29" s="50" t="e">
        <f t="shared" si="14"/>
        <v>#REF!</v>
      </c>
      <c r="AG29" s="890" t="e">
        <f t="shared" si="15"/>
        <v>#REF!</v>
      </c>
      <c r="AH29" s="207" t="s">
        <v>1204</v>
      </c>
      <c r="AI29" s="240">
        <f t="shared" si="16"/>
        <v>6.7247632333998931E-3</v>
      </c>
      <c r="AJ29" s="11">
        <f t="shared" si="33"/>
        <v>4</v>
      </c>
      <c r="AK29" s="11"/>
      <c r="AL29" s="11">
        <v>1</v>
      </c>
      <c r="AM29" s="11"/>
      <c r="AN29" s="11"/>
      <c r="AO29" s="11"/>
      <c r="AP29" s="11"/>
      <c r="AQ29" s="11" t="str">
        <f>'Update Stock Prices'!Q29</f>
        <v>small</v>
      </c>
      <c r="AR29" s="11"/>
      <c r="AS29" s="11"/>
      <c r="AT29" s="1014" t="s">
        <v>1897</v>
      </c>
      <c r="AU29" s="420"/>
      <c r="AV29" s="420"/>
      <c r="AW29" s="11"/>
      <c r="AX29" s="27"/>
      <c r="BC29" s="10"/>
      <c r="BD29" s="932"/>
      <c r="BE29" s="593">
        <f t="shared" si="17"/>
        <v>0</v>
      </c>
      <c r="BF29" s="725">
        <f t="shared" si="221"/>
        <v>635859.65767395555</v>
      </c>
      <c r="BG29" s="420" t="str">
        <f t="shared" ca="1" si="18"/>
        <v/>
      </c>
      <c r="BH29" s="593">
        <f t="shared" ca="1" si="34"/>
        <v>30</v>
      </c>
      <c r="BI29" s="420">
        <f t="shared" ca="1" si="35"/>
        <v>64</v>
      </c>
      <c r="BJ29" s="420">
        <f t="shared" ca="1" si="35"/>
        <v>70</v>
      </c>
      <c r="BK29" s="420">
        <f t="shared" ca="1" si="36"/>
        <v>2044</v>
      </c>
      <c r="BL29" s="420" t="s">
        <v>1036</v>
      </c>
      <c r="BM29" s="19">
        <f t="shared" si="19"/>
        <v>879727.86636525067</v>
      </c>
      <c r="BN29" s="19">
        <f>GA149</f>
        <v>243868.20869129515</v>
      </c>
      <c r="BO29" s="19">
        <f>GB149</f>
        <v>15178.422035245751</v>
      </c>
      <c r="BP29" s="183">
        <f t="shared" si="20"/>
        <v>6.2240265415077628E-2</v>
      </c>
      <c r="BQ29" s="19">
        <f t="shared" si="21"/>
        <v>1264.8685029371459</v>
      </c>
      <c r="BS29" s="420" t="str">
        <f t="shared" si="37"/>
        <v>CTWS</v>
      </c>
      <c r="BT29" s="425">
        <f t="shared" si="38"/>
        <v>1.0277000000000001</v>
      </c>
      <c r="BU29" s="19">
        <f t="shared" si="39"/>
        <v>52.96</v>
      </c>
      <c r="BV29" s="19">
        <f t="shared" si="40"/>
        <v>54.426992000000006</v>
      </c>
      <c r="BW29" s="539">
        <f t="shared" si="41"/>
        <v>1.1299999999999999</v>
      </c>
      <c r="BX29" s="19">
        <f t="shared" si="42"/>
        <v>1.1613009999999999</v>
      </c>
      <c r="BY29" s="10">
        <f t="shared" si="43"/>
        <v>2.1927888972809666E-2</v>
      </c>
      <c r="BZ29" s="10">
        <f t="shared" si="44"/>
        <v>1.0496278889728097</v>
      </c>
      <c r="CA29" s="539">
        <f t="shared" si="45"/>
        <v>55.588293</v>
      </c>
      <c r="CB29" s="19">
        <f t="shared" si="46"/>
        <v>1.1860795145392748</v>
      </c>
      <c r="CC29" s="10">
        <f t="shared" si="47"/>
        <v>2.2395761226194768E-2</v>
      </c>
      <c r="CD29" s="10">
        <f t="shared" si="48"/>
        <v>1.0720236501990044</v>
      </c>
      <c r="CE29" s="539">
        <f t="shared" si="49"/>
        <v>56.774372514539273</v>
      </c>
      <c r="CF29" s="19">
        <f t="shared" si="50"/>
        <v>1.2113867247248749</v>
      </c>
      <c r="CG29" s="10">
        <f t="shared" si="51"/>
        <v>2.2873616403415311E-2</v>
      </c>
      <c r="CH29" s="10">
        <f t="shared" si="52"/>
        <v>1.0948972666024197</v>
      </c>
      <c r="CI29" s="539">
        <f t="shared" si="53"/>
        <v>57.985759239264148</v>
      </c>
      <c r="CJ29" s="19">
        <f t="shared" si="54"/>
        <v>1.2372339112607342</v>
      </c>
      <c r="CK29" s="10">
        <f t="shared" si="55"/>
        <v>2.3361667508699665E-2</v>
      </c>
      <c r="CL29" s="10">
        <f t="shared" si="56"/>
        <v>1.1182589341111193</v>
      </c>
      <c r="CM29" s="539">
        <f t="shared" si="57"/>
        <v>59.222993150524879</v>
      </c>
      <c r="CN29" s="19">
        <f t="shared" si="58"/>
        <v>1.2636325955455647</v>
      </c>
      <c r="CO29" s="10">
        <f t="shared" si="59"/>
        <v>2.3860132091117158E-2</v>
      </c>
      <c r="CP29" s="10">
        <f t="shared" si="60"/>
        <v>1.1421190662022365</v>
      </c>
      <c r="CQ29" s="539">
        <f t="shared" si="61"/>
        <v>60.486625746070445</v>
      </c>
      <c r="CR29" s="19">
        <f t="shared" si="62"/>
        <v>1.290594544808527</v>
      </c>
      <c r="CS29" s="10">
        <f t="shared" si="63"/>
        <v>2.4369232341550737E-2</v>
      </c>
      <c r="CT29" s="10">
        <f t="shared" si="64"/>
        <v>1.1664882985437872</v>
      </c>
      <c r="CU29" s="539">
        <f t="shared" si="65"/>
        <v>61.777220290878972</v>
      </c>
      <c r="CV29" s="19">
        <f t="shared" si="66"/>
        <v>1.3181317773544794</v>
      </c>
      <c r="CW29" s="10">
        <f t="shared" si="67"/>
        <v>2.4889195191738659E-2</v>
      </c>
      <c r="CX29" s="10">
        <f t="shared" si="68"/>
        <v>1.1913774937355259</v>
      </c>
      <c r="CY29" s="539">
        <f t="shared" si="69"/>
        <v>63.095352068233453</v>
      </c>
      <c r="CZ29" s="19">
        <f t="shared" si="70"/>
        <v>1.3462565679211442</v>
      </c>
      <c r="DA29" s="10">
        <f t="shared" si="71"/>
        <v>2.5420252415429459E-2</v>
      </c>
      <c r="DB29" s="10">
        <f t="shared" si="72"/>
        <v>1.2167977461509554</v>
      </c>
      <c r="DC29" s="539">
        <f t="shared" si="73"/>
        <v>64.441608636154598</v>
      </c>
      <c r="DD29" s="19">
        <f t="shared" si="74"/>
        <v>1.3749814531505795</v>
      </c>
      <c r="DE29" s="10">
        <f t="shared" si="75"/>
        <v>2.5962640731695231E-2</v>
      </c>
      <c r="DF29" s="10">
        <f t="shared" si="76"/>
        <v>1.2427603868826507</v>
      </c>
      <c r="DG29" s="539">
        <f t="shared" si="77"/>
        <v>65.81659008930518</v>
      </c>
      <c r="DH29" s="19">
        <f t="shared" si="78"/>
        <v>1.4043192371773952</v>
      </c>
      <c r="DI29" s="10">
        <f t="shared" si="79"/>
        <v>2.6516601910449304E-2</v>
      </c>
      <c r="DJ29" s="10">
        <f t="shared" si="80"/>
        <v>1.2692769887930999</v>
      </c>
      <c r="DK29" s="539">
        <f t="shared" si="81"/>
        <v>67.22090932648257</v>
      </c>
      <c r="DL29" s="19">
        <f t="shared" si="82"/>
        <v>1.4342829973362028</v>
      </c>
      <c r="DM29" s="10">
        <f t="shared" si="83"/>
        <v>2.7082382880215309E-2</v>
      </c>
      <c r="DN29" s="10">
        <f t="shared" si="84"/>
        <v>1.2963593716733153</v>
      </c>
      <c r="DO29" s="539">
        <f t="shared" si="85"/>
        <v>68.655192323818781</v>
      </c>
      <c r="DP29" s="19">
        <f t="shared" si="86"/>
        <v>1.464886089990846</v>
      </c>
      <c r="DQ29" s="10">
        <f t="shared" si="87"/>
        <v>2.7660235838195733E-2</v>
      </c>
      <c r="DR29" s="10">
        <f t="shared" si="88"/>
        <v>1.3240196075115109</v>
      </c>
      <c r="DS29" s="539">
        <f t="shared" si="89"/>
        <v>70.120078413809622</v>
      </c>
      <c r="DT29" s="19">
        <f t="shared" si="90"/>
        <v>1.4961421564880073</v>
      </c>
      <c r="DU29" s="10">
        <f t="shared" si="91"/>
        <v>2.8250418362688958E-2</v>
      </c>
      <c r="DV29" s="10">
        <f t="shared" si="92"/>
        <v>1.3522700258742</v>
      </c>
      <c r="DW29" s="539">
        <f t="shared" si="93"/>
        <v>71.616220570297628</v>
      </c>
      <c r="DX29" s="19">
        <f t="shared" si="94"/>
        <v>1.5280651292378458</v>
      </c>
      <c r="DY29" s="10">
        <f t="shared" si="95"/>
        <v>2.8853193527904941E-2</v>
      </c>
      <c r="DZ29" s="10">
        <f t="shared" si="96"/>
        <v>1.381123219402105</v>
      </c>
      <c r="EA29" s="539">
        <f t="shared" si="97"/>
        <v>73.144285699535487</v>
      </c>
      <c r="EB29" s="19">
        <f t="shared" si="98"/>
        <v>1.5606692379243785</v>
      </c>
      <c r="EC29" s="10">
        <f t="shared" si="99"/>
        <v>2.9468830021230713E-2</v>
      </c>
      <c r="ED29" s="10">
        <f t="shared" si="100"/>
        <v>1.4105920494233357</v>
      </c>
      <c r="EE29" s="539">
        <f t="shared" si="101"/>
        <v>74.70495493745986</v>
      </c>
      <c r="EF29" s="19">
        <f t="shared" si="102"/>
        <v>1.5939690158483693</v>
      </c>
      <c r="EG29" s="10">
        <f t="shared" si="103"/>
        <v>3.0097602262997909E-2</v>
      </c>
      <c r="EH29" s="10">
        <f t="shared" si="104"/>
        <v>1.4406896516863337</v>
      </c>
      <c r="EI29" s="539">
        <f t="shared" si="105"/>
        <v>76.298923953308233</v>
      </c>
      <c r="EJ29" s="19">
        <f t="shared" si="106"/>
        <v>1.627979306405557</v>
      </c>
      <c r="EK29" s="10">
        <f t="shared" si="107"/>
        <v>3.0739790528805835E-2</v>
      </c>
      <c r="EL29" s="10">
        <f t="shared" si="108"/>
        <v>1.4714294422151395</v>
      </c>
      <c r="EM29" s="539">
        <f t="shared" si="109"/>
        <v>77.926903259713782</v>
      </c>
      <c r="EN29" s="19">
        <f t="shared" si="110"/>
        <v>1.6627152697031076</v>
      </c>
      <c r="EO29" s="10">
        <f t="shared" si="111"/>
        <v>3.1395681074454444E-2</v>
      </c>
      <c r="EP29" s="10">
        <f t="shared" si="112"/>
        <v>1.5028251232895939</v>
      </c>
      <c r="EQ29" s="539">
        <f t="shared" si="113"/>
        <v>79.589618529416896</v>
      </c>
      <c r="ER29" s="19">
        <f t="shared" si="114"/>
        <v>1.698192389317241</v>
      </c>
      <c r="ES29" s="10">
        <f t="shared" si="115"/>
        <v>3.2065566263543073E-2</v>
      </c>
      <c r="ET29" s="10">
        <f t="shared" si="116"/>
        <v>1.5348906895531371</v>
      </c>
      <c r="EU29" s="539">
        <f t="shared" si="117"/>
        <v>81.287810918734138</v>
      </c>
      <c r="EV29" s="19">
        <f t="shared" si="118"/>
        <v>1.7344264791950448</v>
      </c>
      <c r="EW29" s="10">
        <f t="shared" si="119"/>
        <v>3.2749744697791627E-2</v>
      </c>
      <c r="EX29" s="10">
        <f t="shared" si="120"/>
        <v>1.5676404342509287</v>
      </c>
      <c r="EY29" s="539">
        <f t="shared" si="121"/>
        <v>83.022237397929189</v>
      </c>
      <c r="EZ29" s="19">
        <f t="shared" si="122"/>
        <v>1.7714336907035493</v>
      </c>
      <c r="FA29" s="10">
        <f t="shared" si="123"/>
        <v>3.3448521350142549E-2</v>
      </c>
      <c r="FB29" s="10">
        <f t="shared" si="124"/>
        <v>1.6010889556010712</v>
      </c>
      <c r="FC29" s="539">
        <f t="shared" si="125"/>
        <v>84.793671088632735</v>
      </c>
      <c r="FD29" s="19">
        <f t="shared" si="126"/>
        <v>1.8092305198292102</v>
      </c>
      <c r="FE29" s="10">
        <f t="shared" si="127"/>
        <v>3.4162207700702607E-2</v>
      </c>
      <c r="FF29" s="10">
        <f t="shared" si="128"/>
        <v>1.6352511633017739</v>
      </c>
      <c r="FG29" s="539">
        <f t="shared" si="129"/>
        <v>86.602901608461949</v>
      </c>
      <c r="FH29" s="19">
        <f t="shared" si="130"/>
        <v>1.8478338145310043</v>
      </c>
      <c r="FI29" s="10">
        <f t="shared" si="131"/>
        <v>3.4891121875585428E-2</v>
      </c>
      <c r="FJ29" s="10">
        <f t="shared" si="132"/>
        <v>1.6701422851773593</v>
      </c>
      <c r="FK29" s="539">
        <f t="shared" si="133"/>
        <v>88.450735422992949</v>
      </c>
      <c r="FL29" s="19">
        <f t="shared" si="134"/>
        <v>1.8872607822504159</v>
      </c>
      <c r="FM29" s="10">
        <f t="shared" si="135"/>
        <v>3.563558878871631E-2</v>
      </c>
      <c r="FN29" s="10">
        <f t="shared" si="136"/>
        <v>1.7057778739660756</v>
      </c>
      <c r="FO29" s="539">
        <f t="shared" si="137"/>
        <v>90.337996205243371</v>
      </c>
      <c r="FP29" s="19">
        <f t="shared" si="138"/>
        <v>1.9275289975816652</v>
      </c>
      <c r="FQ29" s="10">
        <f t="shared" si="139"/>
        <v>3.6395940286662862E-2</v>
      </c>
      <c r="FR29" s="10">
        <f t="shared" si="140"/>
        <v>1.7421738142527385</v>
      </c>
      <c r="FS29" s="539">
        <f t="shared" si="141"/>
        <v>92.265525202825032</v>
      </c>
      <c r="FT29" s="19">
        <f t="shared" si="142"/>
        <v>1.9686564101055943</v>
      </c>
      <c r="FU29" s="10">
        <f t="shared" si="143"/>
        <v>3.7172515296555783E-2</v>
      </c>
      <c r="FV29" s="10">
        <f t="shared" si="144"/>
        <v>1.7793463295492944</v>
      </c>
      <c r="FW29" s="539">
        <f t="shared" si="145"/>
        <v>94.234181612930627</v>
      </c>
      <c r="FX29" s="19">
        <f t="shared" si="146"/>
        <v>2.0106613523907026</v>
      </c>
      <c r="FY29" s="10">
        <f t="shared" si="147"/>
        <v>3.7965659977165833E-2</v>
      </c>
      <c r="FZ29" s="10">
        <f t="shared" si="148"/>
        <v>1.8173119895264602</v>
      </c>
      <c r="GA29" s="539">
        <f t="shared" si="149"/>
        <v>96.24484296532134</v>
      </c>
      <c r="GB29" s="19">
        <f t="shared" si="150"/>
        <v>2.0535625481649</v>
      </c>
      <c r="GC29" s="10">
        <f t="shared" si="151"/>
        <v>3.8775727873204303E-2</v>
      </c>
      <c r="GD29" s="10">
        <f t="shared" si="152"/>
        <v>1.8560877173996646</v>
      </c>
      <c r="GE29" s="539">
        <f t="shared" si="153"/>
        <v>98.298405513486244</v>
      </c>
      <c r="GF29" s="19">
        <f t="shared" si="154"/>
        <v>2.0973791206616208</v>
      </c>
      <c r="GG29" s="10">
        <f t="shared" si="155"/>
        <v>3.9603080072915797E-2</v>
      </c>
      <c r="GH29" s="10">
        <f t="shared" si="156"/>
        <v>1.8956907974725805</v>
      </c>
      <c r="GI29" s="539">
        <f t="shared" si="157"/>
        <v>100.39578463414786</v>
      </c>
      <c r="GJ29" s="19">
        <f t="shared" si="158"/>
        <v>2.1421306011440158</v>
      </c>
      <c r="GK29" s="10">
        <f t="shared" si="159"/>
        <v>4.0448085369033528E-2</v>
      </c>
      <c r="GL29" s="10">
        <f t="shared" si="160"/>
        <v>1.936138882841614</v>
      </c>
      <c r="GM29" s="539">
        <f t="shared" si="161"/>
        <v>102.53791523529188</v>
      </c>
      <c r="GN29" s="19">
        <f t="shared" si="162"/>
        <v>2.1878369376110234</v>
      </c>
      <c r="GO29" s="10">
        <f t="shared" si="163"/>
        <v>4.1311120423168868E-2</v>
      </c>
      <c r="GP29" s="10">
        <f t="shared" si="164"/>
        <v>1.9774500032647828</v>
      </c>
      <c r="GQ29" s="539">
        <f t="shared" si="165"/>
        <v>104.7257521729029</v>
      </c>
      <c r="GR29" s="19">
        <f t="shared" si="166"/>
        <v>2.2345185036892046</v>
      </c>
      <c r="GS29" s="10">
        <f t="shared" si="167"/>
        <v>4.2192569933708547E-2</v>
      </c>
      <c r="GT29" s="10">
        <f t="shared" si="168"/>
        <v>2.0196425731984915</v>
      </c>
      <c r="GU29" s="539">
        <f t="shared" si="169"/>
        <v>106.96027067659212</v>
      </c>
      <c r="GV29" s="19">
        <f t="shared" si="170"/>
        <v>2.2821961077142952</v>
      </c>
      <c r="GW29" s="10">
        <f t="shared" si="171"/>
        <v>4.3092826807294093E-2</v>
      </c>
      <c r="GX29" s="10">
        <f t="shared" si="172"/>
        <v>2.0627354000057858</v>
      </c>
      <c r="GY29" s="539">
        <f t="shared" si="173"/>
        <v>109.24246678430642</v>
      </c>
      <c r="GZ29" s="19">
        <f t="shared" si="174"/>
        <v>2.3308910020065379</v>
      </c>
      <c r="HA29" s="10">
        <f t="shared" si="175"/>
        <v>4.4012292333960305E-2</v>
      </c>
      <c r="HB29" s="10">
        <f t="shared" si="176"/>
        <v>2.1067476923397459</v>
      </c>
      <c r="HC29" s="539">
        <f t="shared" si="177"/>
        <v>111.57335778631294</v>
      </c>
      <c r="HD29" s="19">
        <f t="shared" si="178"/>
        <v>2.3806248923439126</v>
      </c>
      <c r="HE29" s="10">
        <f t="shared" si="179"/>
        <v>4.4951376366010432E-2</v>
      </c>
      <c r="HF29" s="10">
        <f t="shared" si="180"/>
        <v>2.1516990687057564</v>
      </c>
      <c r="HG29" s="539">
        <f t="shared" si="181"/>
        <v>113.95398267865686</v>
      </c>
      <c r="HH29" s="19">
        <f t="shared" si="182"/>
        <v>2.4314199476375045</v>
      </c>
      <c r="HI29" s="10">
        <f t="shared" si="183"/>
        <v>4.5910497500708164E-2</v>
      </c>
      <c r="HJ29" s="10">
        <f t="shared" si="184"/>
        <v>2.1976095662064647</v>
      </c>
      <c r="HK29" s="539">
        <f t="shared" si="185"/>
        <v>116.38540262629438</v>
      </c>
      <c r="HL29" s="19">
        <f t="shared" si="186"/>
        <v>2.4832988098133049</v>
      </c>
      <c r="HM29" s="10">
        <f t="shared" si="187"/>
        <v>4.6890083266867541E-2</v>
      </c>
      <c r="HN29" s="10">
        <f t="shared" si="188"/>
        <v>2.2444996494733322</v>
      </c>
      <c r="HO29" s="539">
        <f t="shared" si="189"/>
        <v>118.86870143610768</v>
      </c>
      <c r="HP29" s="19">
        <f t="shared" si="190"/>
        <v>2.536284603904865</v>
      </c>
      <c r="HQ29" s="10">
        <f t="shared" si="191"/>
        <v>4.7890570315424187E-2</v>
      </c>
      <c r="HR29" s="10">
        <f t="shared" si="192"/>
        <v>2.2923902197887562</v>
      </c>
      <c r="HS29" s="539">
        <f t="shared" si="193"/>
        <v>121.40498604001253</v>
      </c>
      <c r="HT29" s="19">
        <f t="shared" si="194"/>
        <v>2.5904009483612942</v>
      </c>
      <c r="HU29" s="10">
        <f t="shared" si="195"/>
        <v>4.8912404614072771E-2</v>
      </c>
      <c r="HV29" s="10">
        <f t="shared" si="196"/>
        <v>2.3413026244028292</v>
      </c>
      <c r="HW29" s="539">
        <f t="shared" si="197"/>
        <v>123.99538698837384</v>
      </c>
      <c r="HX29" s="19">
        <f t="shared" si="198"/>
        <v>2.6456719655751968</v>
      </c>
      <c r="HY29" s="10">
        <f t="shared" si="199"/>
        <v>4.9956041646057339E-2</v>
      </c>
      <c r="HZ29" s="10">
        <f t="shared" si="200"/>
        <v>2.3912586660488864</v>
      </c>
      <c r="IA29" s="539">
        <f t="shared" si="201"/>
        <v>126.64105895394903</v>
      </c>
      <c r="IB29" s="19">
        <f t="shared" si="202"/>
        <v>2.7021222926352415</v>
      </c>
      <c r="IF29" s="226"/>
      <c r="IG29" s="11"/>
      <c r="IH29" s="11"/>
      <c r="II29" s="11"/>
      <c r="IJ29" s="11"/>
      <c r="IM29" s="11"/>
      <c r="IN29" s="11"/>
      <c r="IO29" s="11"/>
      <c r="IP29" s="236"/>
      <c r="IR29" s="11"/>
      <c r="IY29"/>
    </row>
    <row r="30" spans="1:263" ht="13.5" thickBot="1">
      <c r="A30" s="11"/>
      <c r="B30" s="20"/>
      <c r="C30" s="826" t="s">
        <v>2345</v>
      </c>
      <c r="D30" s="47" t="s">
        <v>2186</v>
      </c>
      <c r="E30" s="396">
        <f t="shared" ref="E30" si="272">F30+O30</f>
        <v>3.0106000000000002</v>
      </c>
      <c r="F30" s="242">
        <v>1.0105999999999999</v>
      </c>
      <c r="G30" s="48">
        <f>'Update Stock Prices'!S30</f>
        <v>1910627806.6390774</v>
      </c>
      <c r="H30" s="991">
        <f t="shared" ref="H30" si="273">F30/G30</f>
        <v>5.2893608922070135E-10</v>
      </c>
      <c r="I30" s="49">
        <f>'Update Stock Prices'!D30</f>
        <v>113.57</v>
      </c>
      <c r="J30" s="49">
        <f t="shared" si="1"/>
        <v>114.77384199999999</v>
      </c>
      <c r="K30" s="30">
        <v>105.5</v>
      </c>
      <c r="L30" s="49">
        <f t="shared" ref="L30" si="274">J30-K30</f>
        <v>9.2738419999999877</v>
      </c>
      <c r="M30" s="50">
        <f t="shared" ref="M30" si="275">L30/K30</f>
        <v>8.7903715639810309E-2</v>
      </c>
      <c r="N30" s="49">
        <f t="shared" ref="N30" si="276">K30/F30</f>
        <v>104.39342964575501</v>
      </c>
      <c r="O30" s="48">
        <f t="shared" ref="O30" si="277">IF(INT(($B$11-$B$12)/I30)&lt;0,0,INT(($B$11-$B$12)/I30))</f>
        <v>2</v>
      </c>
      <c r="P30" s="49">
        <f t="shared" ref="P30" si="278">IF(($B$11-$B$12)-(O30*I30)&lt;0,0,($B$11-$B$12)-(O30*I30))</f>
        <v>93.87</v>
      </c>
      <c r="Q30" s="30">
        <f>1.08*4</f>
        <v>4.32</v>
      </c>
      <c r="R30" s="49">
        <f t="shared" si="268"/>
        <v>1.195288706365503E-2</v>
      </c>
      <c r="S30" s="49">
        <f t="shared" ref="S30" si="279">F30*Q30</f>
        <v>4.3657919999999999</v>
      </c>
      <c r="T30" s="49">
        <f t="shared" si="269"/>
        <v>0.36381599999999997</v>
      </c>
      <c r="U30" s="49" t="s">
        <v>54</v>
      </c>
      <c r="V30" s="50">
        <f t="shared" ref="V30" si="280">Q30/I30</f>
        <v>3.8038214317161229E-2</v>
      </c>
      <c r="W30" s="50">
        <f t="shared" ref="W30" si="281">S30/K30</f>
        <v>4.1381914691943127E-2</v>
      </c>
      <c r="X30" s="49">
        <f t="shared" ref="X30" si="282">12*((E30*Q30)/12-T30)</f>
        <v>8.6400000000000023</v>
      </c>
      <c r="Y30" s="49">
        <f t="shared" ref="Y30" si="283">IF(U30="Q",3*T30,IF(U30="Y",12*T30,IF(U30="B",6*T30,IF(U30="M",T30,0))))</f>
        <v>1.091448</v>
      </c>
      <c r="Z30" s="860">
        <f t="shared" ref="Z30" si="284">IF(Y30/I30&gt;1,1,0)</f>
        <v>0</v>
      </c>
      <c r="AA30" s="860">
        <f t="shared" ref="AA30" si="285">IF(Z30=1,"",IF(AND(U30&lt;&gt;"",Z30=0),I30/(Y30/F30)-F30,""))</f>
        <v>104.14680740740739</v>
      </c>
      <c r="AB30" s="49">
        <f t="shared" ref="AB30" si="286">IF(AA30&lt;&gt;"",AA30*I30,"")</f>
        <v>11827.952917259257</v>
      </c>
      <c r="AC30" s="48">
        <v>1</v>
      </c>
      <c r="AD30" s="47" t="str">
        <f t="shared" ref="AD30" si="287">D30</f>
        <v>CVX</v>
      </c>
      <c r="AE30" s="49">
        <f t="shared" ref="AE30" si="288">J30</f>
        <v>114.77384199999999</v>
      </c>
      <c r="AF30" s="50" t="e">
        <f t="shared" si="14"/>
        <v>#REF!</v>
      </c>
      <c r="AG30" s="890" t="e">
        <f t="shared" si="15"/>
        <v>#REF!</v>
      </c>
      <c r="AH30" s="207" t="s">
        <v>2185</v>
      </c>
      <c r="AI30" s="240">
        <f t="shared" si="16"/>
        <v>2.9904336548348807E-2</v>
      </c>
      <c r="AJ30" s="11">
        <f t="shared" si="33"/>
        <v>3</v>
      </c>
      <c r="AK30" s="11"/>
      <c r="AL30" s="11"/>
      <c r="AM30" s="11"/>
      <c r="AN30" s="11"/>
      <c r="AO30" s="11"/>
      <c r="AP30" s="11"/>
      <c r="AQ30" s="11" t="str">
        <f>'Update Stock Prices'!Q30</f>
        <v>mega</v>
      </c>
      <c r="AR30" s="11"/>
      <c r="AS30" s="11"/>
      <c r="AT30" s="1014" t="s">
        <v>1898</v>
      </c>
      <c r="AU30" s="420"/>
      <c r="AV30" s="420"/>
      <c r="AW30" s="11"/>
      <c r="AX30" s="8" t="s">
        <v>2687</v>
      </c>
      <c r="AY30" s="11"/>
      <c r="AZ30" s="11"/>
      <c r="BA30" s="27"/>
      <c r="BC30" s="10"/>
      <c r="BD30" s="932"/>
      <c r="BE30" s="593">
        <f t="shared" si="17"/>
        <v>0</v>
      </c>
      <c r="BF30" s="725">
        <f t="shared" si="221"/>
        <v>659535.22082743468</v>
      </c>
      <c r="BG30" s="420" t="str">
        <f t="shared" ca="1" si="18"/>
        <v/>
      </c>
      <c r="BH30" s="593">
        <f t="shared" ca="1" si="34"/>
        <v>31</v>
      </c>
      <c r="BI30" s="420">
        <f t="shared" ca="1" si="35"/>
        <v>65</v>
      </c>
      <c r="BJ30" s="420">
        <f t="shared" ca="1" si="35"/>
        <v>71</v>
      </c>
      <c r="BK30" s="420">
        <f t="shared" ca="1" si="36"/>
        <v>2045</v>
      </c>
      <c r="BL30" s="420" t="s">
        <v>1037</v>
      </c>
      <c r="BM30" s="19">
        <f t="shared" si="19"/>
        <v>918581.8515539756</v>
      </c>
      <c r="BN30" s="19">
        <f>GE149</f>
        <v>259046.63072654099</v>
      </c>
      <c r="BO30" s="19">
        <f>GF149</f>
        <v>16392.351911276372</v>
      </c>
      <c r="BP30" s="183">
        <f t="shared" si="20"/>
        <v>6.3279541082241417E-2</v>
      </c>
      <c r="BQ30" s="19">
        <f t="shared" si="21"/>
        <v>1366.0293259396976</v>
      </c>
      <c r="BS30" s="420" t="str">
        <f t="shared" si="37"/>
        <v>CVX</v>
      </c>
      <c r="BT30" s="425">
        <f t="shared" si="38"/>
        <v>1.0105999999999999</v>
      </c>
      <c r="BU30" s="19">
        <f t="shared" si="39"/>
        <v>113.57</v>
      </c>
      <c r="BV30" s="19">
        <f t="shared" si="40"/>
        <v>114.77384199999999</v>
      </c>
      <c r="BW30" s="539">
        <f t="shared" si="41"/>
        <v>4.32</v>
      </c>
      <c r="BX30" s="19">
        <f t="shared" si="42"/>
        <v>4.3657919999999999</v>
      </c>
      <c r="BY30" s="10">
        <f t="shared" si="43"/>
        <v>3.8441419388923134E-2</v>
      </c>
      <c r="BZ30" s="10">
        <f t="shared" si="44"/>
        <v>1.049041419388923</v>
      </c>
      <c r="CA30" s="539">
        <f t="shared" si="45"/>
        <v>119.13963399999999</v>
      </c>
      <c r="CB30" s="19">
        <f t="shared" si="46"/>
        <v>4.5318589317601479</v>
      </c>
      <c r="CC30" s="10">
        <f t="shared" si="47"/>
        <v>3.9903662338294871E-2</v>
      </c>
      <c r="CD30" s="10">
        <f t="shared" si="48"/>
        <v>1.0889450817272179</v>
      </c>
      <c r="CE30" s="539">
        <f t="shared" si="49"/>
        <v>123.67149293176013</v>
      </c>
      <c r="CF30" s="19">
        <f t="shared" si="50"/>
        <v>4.7042427530615818</v>
      </c>
      <c r="CG30" s="10">
        <f t="shared" si="51"/>
        <v>4.1421526398358562E-2</v>
      </c>
      <c r="CH30" s="10">
        <f t="shared" si="52"/>
        <v>1.1303666081255765</v>
      </c>
      <c r="CI30" s="539">
        <f t="shared" si="53"/>
        <v>128.37573568482173</v>
      </c>
      <c r="CJ30" s="19">
        <f t="shared" si="54"/>
        <v>4.8831837471024908</v>
      </c>
      <c r="CK30" s="10">
        <f t="shared" si="55"/>
        <v>4.2997127296843275E-2</v>
      </c>
      <c r="CL30" s="10">
        <f t="shared" si="56"/>
        <v>1.1733637354224198</v>
      </c>
      <c r="CM30" s="539">
        <f t="shared" si="57"/>
        <v>133.2589194319242</v>
      </c>
      <c r="CN30" s="19">
        <f t="shared" si="58"/>
        <v>5.0689313370248534</v>
      </c>
      <c r="CO30" s="10">
        <f t="shared" si="59"/>
        <v>4.4632661239982864E-2</v>
      </c>
      <c r="CP30" s="10">
        <f t="shared" si="60"/>
        <v>1.2179963966624026</v>
      </c>
      <c r="CQ30" s="539">
        <f t="shared" si="61"/>
        <v>138.32785076894905</v>
      </c>
      <c r="CR30" s="19">
        <f t="shared" si="62"/>
        <v>5.2617444335815797</v>
      </c>
      <c r="CS30" s="10">
        <f t="shared" si="63"/>
        <v>4.6330407973774586E-2</v>
      </c>
      <c r="CT30" s="10">
        <f t="shared" si="64"/>
        <v>1.2643268046361771</v>
      </c>
      <c r="CU30" s="539">
        <f t="shared" si="65"/>
        <v>143.58959520253063</v>
      </c>
      <c r="CV30" s="19">
        <f t="shared" si="66"/>
        <v>5.4618917960282856</v>
      </c>
      <c r="CW30" s="10">
        <f t="shared" si="67"/>
        <v>4.8092733961682538E-2</v>
      </c>
      <c r="CX30" s="10">
        <f t="shared" si="68"/>
        <v>1.3124195385978596</v>
      </c>
      <c r="CY30" s="539">
        <f t="shared" si="69"/>
        <v>149.05148699855891</v>
      </c>
      <c r="CZ30" s="19">
        <f t="shared" si="70"/>
        <v>5.6696524067427543</v>
      </c>
      <c r="DA30" s="10">
        <f t="shared" si="71"/>
        <v>4.9922095683215241E-2</v>
      </c>
      <c r="DB30" s="10">
        <f t="shared" si="72"/>
        <v>1.3623416342810748</v>
      </c>
      <c r="DC30" s="539">
        <f t="shared" si="73"/>
        <v>154.72113940530164</v>
      </c>
      <c r="DD30" s="19">
        <f t="shared" si="74"/>
        <v>5.8853158600942432</v>
      </c>
      <c r="DE30" s="10">
        <f t="shared" si="75"/>
        <v>5.1821043057975198E-2</v>
      </c>
      <c r="DF30" s="10">
        <f t="shared" si="76"/>
        <v>1.4141626773390501</v>
      </c>
      <c r="DG30" s="539">
        <f t="shared" si="77"/>
        <v>160.60645526539591</v>
      </c>
      <c r="DH30" s="19">
        <f t="shared" si="78"/>
        <v>6.1091827661046967</v>
      </c>
      <c r="DI30" s="10">
        <f t="shared" si="79"/>
        <v>5.3792222999953308E-2</v>
      </c>
      <c r="DJ30" s="10">
        <f t="shared" si="80"/>
        <v>1.4679549003390033</v>
      </c>
      <c r="DK30" s="539">
        <f t="shared" si="81"/>
        <v>166.71563803150059</v>
      </c>
      <c r="DL30" s="19">
        <f t="shared" si="82"/>
        <v>6.341565169464495</v>
      </c>
      <c r="DM30" s="10">
        <f t="shared" si="83"/>
        <v>5.5838383107022063E-2</v>
      </c>
      <c r="DN30" s="10">
        <f t="shared" si="84"/>
        <v>1.5237932834460255</v>
      </c>
      <c r="DO30" s="539">
        <f t="shared" si="85"/>
        <v>173.05720320096509</v>
      </c>
      <c r="DP30" s="19">
        <f t="shared" si="86"/>
        <v>6.5827869844868303</v>
      </c>
      <c r="DQ30" s="10">
        <f t="shared" si="87"/>
        <v>5.7962375490770719E-2</v>
      </c>
      <c r="DR30" s="10">
        <f t="shared" si="88"/>
        <v>1.5817556589367963</v>
      </c>
      <c r="DS30" s="539">
        <f t="shared" si="89"/>
        <v>179.63999018545195</v>
      </c>
      <c r="DT30" s="19">
        <f t="shared" si="90"/>
        <v>6.8331844466069604</v>
      </c>
      <c r="DU30" s="10">
        <f t="shared" si="91"/>
        <v>6.0167160752020436E-2</v>
      </c>
      <c r="DV30" s="10">
        <f t="shared" si="92"/>
        <v>1.6419228196888167</v>
      </c>
      <c r="DW30" s="539">
        <f t="shared" si="93"/>
        <v>186.47317463205891</v>
      </c>
      <c r="DX30" s="19">
        <f t="shared" si="94"/>
        <v>7.0931065810556886</v>
      </c>
      <c r="DY30" s="10">
        <f t="shared" si="95"/>
        <v>6.2455812107560876E-2</v>
      </c>
      <c r="DZ30" s="10">
        <f t="shared" si="96"/>
        <v>1.7043786317963776</v>
      </c>
      <c r="EA30" s="539">
        <f t="shared" si="97"/>
        <v>193.56628121311459</v>
      </c>
      <c r="EB30" s="19">
        <f t="shared" si="98"/>
        <v>7.362915689360352</v>
      </c>
      <c r="EC30" s="10">
        <f t="shared" si="99"/>
        <v>6.4831519673860638E-2</v>
      </c>
      <c r="ED30" s="10">
        <f t="shared" si="100"/>
        <v>1.7692101514702383</v>
      </c>
      <c r="EE30" s="539">
        <f t="shared" si="101"/>
        <v>200.92919690247496</v>
      </c>
      <c r="EF30" s="19">
        <f t="shared" si="102"/>
        <v>7.6429878543514302</v>
      </c>
      <c r="EG30" s="10">
        <f t="shared" si="103"/>
        <v>6.7297594913722197E-2</v>
      </c>
      <c r="EH30" s="10">
        <f t="shared" si="104"/>
        <v>1.8365077463839605</v>
      </c>
      <c r="EI30" s="539">
        <f t="shared" si="105"/>
        <v>208.57218475682637</v>
      </c>
      <c r="EJ30" s="19">
        <f t="shared" si="106"/>
        <v>7.9337134643787097</v>
      </c>
      <c r="EK30" s="10">
        <f t="shared" si="107"/>
        <v>6.9857475252079859E-2</v>
      </c>
      <c r="EL30" s="10">
        <f t="shared" si="108"/>
        <v>1.9063652216360403</v>
      </c>
      <c r="EM30" s="539">
        <f t="shared" si="109"/>
        <v>216.50589822120509</v>
      </c>
      <c r="EN30" s="19">
        <f t="shared" si="110"/>
        <v>8.2354977574676944</v>
      </c>
      <c r="EO30" s="10">
        <f t="shared" si="111"/>
        <v>7.2514728867374256E-2</v>
      </c>
      <c r="EP30" s="10">
        <f t="shared" si="112"/>
        <v>1.9788799505034145</v>
      </c>
      <c r="EQ30" s="539">
        <f t="shared" si="113"/>
        <v>224.74139597867276</v>
      </c>
      <c r="ER30" s="19">
        <f t="shared" si="114"/>
        <v>8.5487613861747516</v>
      </c>
      <c r="ES30" s="10">
        <f t="shared" si="115"/>
        <v>7.5273059665182288E-2</v>
      </c>
      <c r="ET30" s="10">
        <f t="shared" si="116"/>
        <v>2.054153010168597</v>
      </c>
      <c r="EU30" s="539">
        <f t="shared" si="117"/>
        <v>233.29015736484754</v>
      </c>
      <c r="EV30" s="19">
        <f t="shared" si="118"/>
        <v>8.8739410039283388</v>
      </c>
      <c r="EW30" s="10">
        <f t="shared" si="119"/>
        <v>7.8136312441034944E-2</v>
      </c>
      <c r="EX30" s="10">
        <f t="shared" si="120"/>
        <v>2.132289322609632</v>
      </c>
      <c r="EY30" s="539">
        <f t="shared" si="121"/>
        <v>242.16409836877588</v>
      </c>
      <c r="EZ30" s="19">
        <f t="shared" si="122"/>
        <v>9.2114898736736102</v>
      </c>
      <c r="FA30" s="10">
        <f t="shared" si="123"/>
        <v>8.1108478239619711E-2</v>
      </c>
      <c r="FB30" s="10">
        <f t="shared" si="124"/>
        <v>2.2133978008492519</v>
      </c>
      <c r="FC30" s="539">
        <f t="shared" si="125"/>
        <v>251.37558824244951</v>
      </c>
      <c r="FD30" s="19">
        <f t="shared" si="126"/>
        <v>9.5618784996687687</v>
      </c>
      <c r="FE30" s="10">
        <f t="shared" si="127"/>
        <v>8.4193699917837192E-2</v>
      </c>
      <c r="FF30" s="10">
        <f t="shared" si="128"/>
        <v>2.2975915007670888</v>
      </c>
      <c r="FG30" s="539">
        <f t="shared" si="129"/>
        <v>260.93746674211826</v>
      </c>
      <c r="FH30" s="19">
        <f t="shared" si="130"/>
        <v>9.9255952833138252</v>
      </c>
      <c r="FI30" s="10">
        <f t="shared" si="131"/>
        <v>8.7396277919466636E-2</v>
      </c>
      <c r="FJ30" s="10">
        <f t="shared" si="132"/>
        <v>2.3849877786865554</v>
      </c>
      <c r="FK30" s="539">
        <f t="shared" si="133"/>
        <v>270.8630620254321</v>
      </c>
      <c r="FL30" s="19">
        <f t="shared" si="134"/>
        <v>10.303147203925921</v>
      </c>
      <c r="FM30" s="10">
        <f t="shared" si="135"/>
        <v>9.0720676269489486E-2</v>
      </c>
      <c r="FN30" s="10">
        <f t="shared" si="136"/>
        <v>2.4757084549560449</v>
      </c>
      <c r="FO30" s="539">
        <f t="shared" si="137"/>
        <v>281.166209229358</v>
      </c>
      <c r="FP30" s="19">
        <f t="shared" si="138"/>
        <v>10.695060525410115</v>
      </c>
      <c r="FQ30" s="10">
        <f t="shared" si="139"/>
        <v>9.4171528796426138E-2</v>
      </c>
      <c r="FR30" s="10">
        <f t="shared" si="140"/>
        <v>2.5698799837524708</v>
      </c>
      <c r="FS30" s="539">
        <f t="shared" si="141"/>
        <v>291.8612697547681</v>
      </c>
      <c r="FT30" s="19">
        <f t="shared" si="142"/>
        <v>11.101881529810674</v>
      </c>
      <c r="FU30" s="10">
        <f t="shared" si="143"/>
        <v>9.7753645591359295E-2</v>
      </c>
      <c r="FV30" s="10">
        <f t="shared" si="144"/>
        <v>2.6676336293438303</v>
      </c>
      <c r="FW30" s="539">
        <f t="shared" si="145"/>
        <v>302.96315128457877</v>
      </c>
      <c r="FX30" s="19">
        <f t="shared" si="146"/>
        <v>11.524177278765348</v>
      </c>
      <c r="FY30" s="10">
        <f t="shared" si="147"/>
        <v>0.10147201971264726</v>
      </c>
      <c r="FZ30" s="10">
        <f t="shared" si="148"/>
        <v>2.7691056490564776</v>
      </c>
      <c r="GA30" s="539">
        <f t="shared" si="149"/>
        <v>314.48732856334414</v>
      </c>
      <c r="GB30" s="19">
        <f t="shared" si="150"/>
        <v>11.962536403923984</v>
      </c>
      <c r="GC30" s="10">
        <f t="shared" si="151"/>
        <v>0.10533183414567214</v>
      </c>
      <c r="GD30" s="10">
        <f t="shared" si="152"/>
        <v>2.8744374832021498</v>
      </c>
      <c r="GE30" s="539">
        <f t="shared" si="153"/>
        <v>326.44986496726813</v>
      </c>
      <c r="GF30" s="19">
        <f t="shared" si="154"/>
        <v>12.417569927433288</v>
      </c>
      <c r="GG30" s="10">
        <f t="shared" si="155"/>
        <v>0.1093384690273249</v>
      </c>
      <c r="GH30" s="10">
        <f t="shared" si="156"/>
        <v>2.9837759522294744</v>
      </c>
      <c r="GI30" s="539">
        <f t="shared" si="157"/>
        <v>338.86743489470138</v>
      </c>
      <c r="GJ30" s="19">
        <f t="shared" si="158"/>
        <v>12.889912113631331</v>
      </c>
      <c r="GK30" s="10">
        <f t="shared" si="159"/>
        <v>0.11349750914529658</v>
      </c>
      <c r="GL30" s="10">
        <f t="shared" si="160"/>
        <v>3.0972734613747712</v>
      </c>
      <c r="GM30" s="539">
        <f t="shared" si="161"/>
        <v>351.75734700833277</v>
      </c>
      <c r="GN30" s="19">
        <f t="shared" si="162"/>
        <v>13.380221353139012</v>
      </c>
      <c r="GO30" s="10">
        <f t="shared" si="163"/>
        <v>0.11781475172262933</v>
      </c>
      <c r="GP30" s="10">
        <f t="shared" si="164"/>
        <v>3.2150882130974003</v>
      </c>
      <c r="GQ30" s="539">
        <f t="shared" si="165"/>
        <v>365.13756836147172</v>
      </c>
      <c r="GR30" s="19">
        <f t="shared" si="166"/>
        <v>13.889181080580771</v>
      </c>
      <c r="GS30" s="10">
        <f t="shared" si="167"/>
        <v>0.12229621449837785</v>
      </c>
      <c r="GT30" s="10">
        <f t="shared" si="168"/>
        <v>3.337384427595778</v>
      </c>
      <c r="GU30" s="539">
        <f t="shared" si="169"/>
        <v>379.02674944205251</v>
      </c>
      <c r="GV30" s="19">
        <f t="shared" si="170"/>
        <v>14.417500727213762</v>
      </c>
      <c r="GW30" s="10">
        <f t="shared" si="171"/>
        <v>0.12694814411564465</v>
      </c>
      <c r="GX30" s="10">
        <f t="shared" si="172"/>
        <v>3.4643325717114228</v>
      </c>
      <c r="GY30" s="539">
        <f t="shared" si="173"/>
        <v>393.44425016926624</v>
      </c>
      <c r="GZ30" s="19">
        <f t="shared" si="174"/>
        <v>14.965916709793348</v>
      </c>
      <c r="HA30" s="10">
        <f t="shared" si="175"/>
        <v>0.13177702482868142</v>
      </c>
      <c r="HB30" s="10">
        <f t="shared" si="176"/>
        <v>3.5961095965401042</v>
      </c>
      <c r="HC30" s="539">
        <f t="shared" si="177"/>
        <v>408.4101668790596</v>
      </c>
      <c r="HD30" s="19">
        <f t="shared" si="178"/>
        <v>15.535193457053252</v>
      </c>
      <c r="HE30" s="10">
        <f t="shared" si="179"/>
        <v>0.13678958754119269</v>
      </c>
      <c r="HF30" s="10">
        <f t="shared" si="180"/>
        <v>3.7328991840812971</v>
      </c>
      <c r="HG30" s="539">
        <f t="shared" si="181"/>
        <v>423.94536033611286</v>
      </c>
      <c r="HH30" s="19">
        <f t="shared" si="182"/>
        <v>16.126124475231205</v>
      </c>
      <c r="HI30" s="10">
        <f t="shared" si="183"/>
        <v>0.14199281918844064</v>
      </c>
      <c r="HJ30" s="10">
        <f t="shared" si="184"/>
        <v>3.8748920032697378</v>
      </c>
      <c r="HK30" s="539">
        <f t="shared" si="185"/>
        <v>440.07148481134408</v>
      </c>
      <c r="HL30" s="19">
        <f t="shared" si="186"/>
        <v>16.739533454125269</v>
      </c>
      <c r="HM30" s="10">
        <f t="shared" si="187"/>
        <v>0.14739397247622849</v>
      </c>
      <c r="HN30" s="10">
        <f t="shared" si="188"/>
        <v>4.0222859757459659</v>
      </c>
      <c r="HO30" s="539">
        <f t="shared" si="189"/>
        <v>456.81101826546933</v>
      </c>
      <c r="HP30" s="19">
        <f t="shared" si="190"/>
        <v>17.376275415222572</v>
      </c>
      <c r="HQ30" s="10">
        <f t="shared" si="191"/>
        <v>0.15300057599033701</v>
      </c>
      <c r="HR30" s="10">
        <f t="shared" si="192"/>
        <v>4.1752865517363027</v>
      </c>
      <c r="HS30" s="539">
        <f t="shared" si="193"/>
        <v>474.18729368069188</v>
      </c>
      <c r="HT30" s="19">
        <f t="shared" si="194"/>
        <v>18.037237903500827</v>
      </c>
      <c r="HU30" s="10">
        <f t="shared" si="195"/>
        <v>0.15882044469050655</v>
      </c>
      <c r="HV30" s="10">
        <f t="shared" si="196"/>
        <v>4.3341069964268089</v>
      </c>
      <c r="HW30" s="539">
        <f t="shared" si="197"/>
        <v>492.22453158419268</v>
      </c>
      <c r="HX30" s="19">
        <f t="shared" si="198"/>
        <v>18.723342224563815</v>
      </c>
      <c r="HY30" s="10">
        <f t="shared" si="199"/>
        <v>0.16486169080359089</v>
      </c>
      <c r="HZ30" s="10">
        <f t="shared" si="200"/>
        <v>4.4989686872303993</v>
      </c>
      <c r="IA30" s="539">
        <f t="shared" si="201"/>
        <v>510.94787380875641</v>
      </c>
      <c r="IB30" s="19">
        <f t="shared" si="202"/>
        <v>19.435544728835325</v>
      </c>
      <c r="IF30" s="649" t="s">
        <v>1345</v>
      </c>
      <c r="IG30" s="215" t="str">
        <f>IF(IM33&gt;IM31,"Sell (or don't buy)","Buy (or don't sell)")</f>
        <v>Sell (or don't buy)</v>
      </c>
      <c r="IH30" s="11"/>
      <c r="II30" s="11"/>
      <c r="IJ30" s="11"/>
      <c r="IM30" s="11" t="s">
        <v>1342</v>
      </c>
      <c r="IP30" s="236"/>
      <c r="IR30" s="11"/>
      <c r="IY30"/>
    </row>
    <row r="31" spans="1:263">
      <c r="A31" s="11"/>
      <c r="B31" s="20"/>
      <c r="C31" s="826" t="s">
        <v>2343</v>
      </c>
      <c r="D31" s="47" t="s">
        <v>1135</v>
      </c>
      <c r="E31" s="396">
        <f t="shared" si="0"/>
        <v>39.132400000000004</v>
      </c>
      <c r="F31" s="242">
        <v>8.1324000000000005</v>
      </c>
      <c r="G31" s="48">
        <f>'Update Stock Prices'!S31</f>
        <v>15113170.731707318</v>
      </c>
      <c r="H31" s="991">
        <f t="shared" si="27"/>
        <v>5.3810018720547412E-7</v>
      </c>
      <c r="I31" s="49">
        <f>'Update Stock Prices'!D31</f>
        <v>10.25</v>
      </c>
      <c r="J31" s="49">
        <f t="shared" si="1"/>
        <v>83.357100000000003</v>
      </c>
      <c r="K31" s="30">
        <v>96.84</v>
      </c>
      <c r="L31" s="49">
        <f t="shared" si="28"/>
        <v>-13.482900000000001</v>
      </c>
      <c r="M31" s="50">
        <f t="shared" si="29"/>
        <v>-0.13922862453531598</v>
      </c>
      <c r="N31" s="49">
        <f t="shared" si="30"/>
        <v>11.907923860115094</v>
      </c>
      <c r="O31" s="48">
        <f t="shared" si="2"/>
        <v>31</v>
      </c>
      <c r="P31" s="49">
        <f t="shared" si="3"/>
        <v>3.2599999999999909</v>
      </c>
      <c r="Q31" s="30">
        <f>0.075*4</f>
        <v>0.3</v>
      </c>
      <c r="R31" s="49">
        <f t="shared" si="268"/>
        <v>6.6795893223819298E-3</v>
      </c>
      <c r="S31" s="49">
        <f t="shared" si="4"/>
        <v>2.4397199999999999</v>
      </c>
      <c r="T31" s="49">
        <f t="shared" si="269"/>
        <v>0.20330999999999999</v>
      </c>
      <c r="U31" s="49" t="s">
        <v>54</v>
      </c>
      <c r="V31" s="50">
        <f t="shared" si="6"/>
        <v>2.9268292682926828E-2</v>
      </c>
      <c r="W31" s="50">
        <f t="shared" si="7"/>
        <v>2.519330855018587E-2</v>
      </c>
      <c r="X31" s="49">
        <f t="shared" si="8"/>
        <v>9.3000000000000007</v>
      </c>
      <c r="Y31" s="49">
        <f t="shared" si="32"/>
        <v>0.60992999999999997</v>
      </c>
      <c r="Z31" s="860">
        <f t="shared" si="9"/>
        <v>0</v>
      </c>
      <c r="AA31" s="860">
        <f t="shared" si="10"/>
        <v>128.5342666666667</v>
      </c>
      <c r="AB31" s="49">
        <f t="shared" si="11"/>
        <v>1317.4762333333335</v>
      </c>
      <c r="AC31" s="48">
        <v>1</v>
      </c>
      <c r="AD31" s="47" t="str">
        <f t="shared" si="12"/>
        <v>CWCO</v>
      </c>
      <c r="AE31" s="49">
        <f t="shared" si="13"/>
        <v>83.357100000000003</v>
      </c>
      <c r="AF31" s="50" t="e">
        <f t="shared" si="14"/>
        <v>#REF!</v>
      </c>
      <c r="AG31" s="890" t="e">
        <f t="shared" si="15"/>
        <v>#REF!</v>
      </c>
      <c r="AH31" s="207" t="s">
        <v>1137</v>
      </c>
      <c r="AI31" s="240">
        <f t="shared" si="16"/>
        <v>1.5773698174848506E-2</v>
      </c>
      <c r="AJ31" s="11">
        <f t="shared" si="33"/>
        <v>4</v>
      </c>
      <c r="AK31" s="11"/>
      <c r="AL31" s="11">
        <v>1</v>
      </c>
      <c r="AM31" s="11"/>
      <c r="AN31" s="11"/>
      <c r="AO31" s="11"/>
      <c r="AP31" s="11"/>
      <c r="AQ31" s="11" t="str">
        <f>'Update Stock Prices'!Q31</f>
        <v>micro</v>
      </c>
      <c r="AR31" s="11"/>
      <c r="AS31" s="11"/>
      <c r="AT31" s="1014" t="s">
        <v>1899</v>
      </c>
      <c r="AU31" s="420"/>
      <c r="AV31" s="1169" t="s">
        <v>1701</v>
      </c>
      <c r="AW31" s="592" t="s">
        <v>1712</v>
      </c>
      <c r="AX31" s="217" t="s">
        <v>1700</v>
      </c>
      <c r="AY31" s="217" t="s">
        <v>1224</v>
      </c>
      <c r="AZ31" s="217" t="s">
        <v>1703</v>
      </c>
      <c r="BA31" s="217" t="s">
        <v>1675</v>
      </c>
      <c r="BB31" s="829" t="s">
        <v>1702</v>
      </c>
      <c r="BC31" s="10"/>
      <c r="BD31" s="932"/>
      <c r="BE31" s="593">
        <f t="shared" si="17"/>
        <v>0</v>
      </c>
      <c r="BF31" s="725">
        <f t="shared" si="221"/>
        <v>683684.29524398339</v>
      </c>
      <c r="BG31" s="420" t="str">
        <f t="shared" ca="1" si="18"/>
        <v/>
      </c>
      <c r="BH31" s="593">
        <f t="shared" ca="1" si="34"/>
        <v>32</v>
      </c>
      <c r="BI31" s="420">
        <f t="shared" ca="1" si="35"/>
        <v>66</v>
      </c>
      <c r="BJ31" s="420">
        <f t="shared" ca="1" si="35"/>
        <v>72</v>
      </c>
      <c r="BK31" s="420">
        <f t="shared" ca="1" si="36"/>
        <v>2046</v>
      </c>
      <c r="BL31" s="420" t="s">
        <v>1038</v>
      </c>
      <c r="BM31" s="19">
        <f t="shared" si="19"/>
        <v>959123.2778818009</v>
      </c>
      <c r="BN31" s="19">
        <f>GI149</f>
        <v>275438.98263781745</v>
      </c>
      <c r="BO31" s="19">
        <f>GJ149</f>
        <v>17718.9560542205</v>
      </c>
      <c r="BP31" s="183">
        <f t="shared" si="20"/>
        <v>6.4329877653954523E-2</v>
      </c>
      <c r="BQ31" s="19">
        <f t="shared" si="21"/>
        <v>1476.5796711850417</v>
      </c>
      <c r="BS31" s="420" t="str">
        <f t="shared" si="37"/>
        <v>CWCO</v>
      </c>
      <c r="BT31" s="425">
        <f t="shared" si="38"/>
        <v>8.1324000000000005</v>
      </c>
      <c r="BU31" s="19">
        <f t="shared" si="39"/>
        <v>10.25</v>
      </c>
      <c r="BV31" s="19">
        <f t="shared" si="40"/>
        <v>83.357100000000003</v>
      </c>
      <c r="BW31" s="539">
        <f t="shared" si="41"/>
        <v>0.3</v>
      </c>
      <c r="BX31" s="19">
        <f t="shared" si="42"/>
        <v>2.4397199999999999</v>
      </c>
      <c r="BY31" s="10">
        <f t="shared" si="43"/>
        <v>0.23802146341463415</v>
      </c>
      <c r="BZ31" s="10">
        <f t="shared" si="44"/>
        <v>8.370421463414635</v>
      </c>
      <c r="CA31" s="539">
        <f t="shared" si="45"/>
        <v>85.796820000000011</v>
      </c>
      <c r="CB31" s="19">
        <f t="shared" si="46"/>
        <v>2.5111264390243906</v>
      </c>
      <c r="CC31" s="10">
        <f t="shared" si="47"/>
        <v>0.24498794527067225</v>
      </c>
      <c r="CD31" s="10">
        <f t="shared" si="48"/>
        <v>8.6154094086853075</v>
      </c>
      <c r="CE31" s="539">
        <f t="shared" si="49"/>
        <v>88.307946439024406</v>
      </c>
      <c r="CF31" s="19">
        <f t="shared" si="50"/>
        <v>2.5846228226055921</v>
      </c>
      <c r="CG31" s="10">
        <f t="shared" si="51"/>
        <v>0.25215832415664313</v>
      </c>
      <c r="CH31" s="10">
        <f t="shared" si="52"/>
        <v>8.86756773284195</v>
      </c>
      <c r="CI31" s="539">
        <f t="shared" si="53"/>
        <v>90.892569261629987</v>
      </c>
      <c r="CJ31" s="19">
        <f t="shared" si="54"/>
        <v>2.660270319852585</v>
      </c>
      <c r="CK31" s="10">
        <f t="shared" si="55"/>
        <v>0.25953856779049611</v>
      </c>
      <c r="CL31" s="10">
        <f t="shared" si="56"/>
        <v>9.1271063006324464</v>
      </c>
      <c r="CM31" s="539">
        <f t="shared" si="57"/>
        <v>93.552839581482573</v>
      </c>
      <c r="CN31" s="19">
        <f t="shared" si="58"/>
        <v>2.738131890189734</v>
      </c>
      <c r="CO31" s="10">
        <f t="shared" si="59"/>
        <v>0.26713481855509602</v>
      </c>
      <c r="CP31" s="10">
        <f t="shared" si="60"/>
        <v>9.3942411191875426</v>
      </c>
      <c r="CQ31" s="539">
        <f t="shared" si="61"/>
        <v>96.290971471672307</v>
      </c>
      <c r="CR31" s="19">
        <f t="shared" si="62"/>
        <v>2.8182723357562627</v>
      </c>
      <c r="CS31" s="10">
        <f t="shared" si="63"/>
        <v>0.27495339861036711</v>
      </c>
      <c r="CT31" s="10">
        <f t="shared" si="64"/>
        <v>9.6691945177979104</v>
      </c>
      <c r="CU31" s="539">
        <f t="shared" si="65"/>
        <v>99.109243807428584</v>
      </c>
      <c r="CV31" s="19">
        <f t="shared" si="66"/>
        <v>2.9007583553393732</v>
      </c>
      <c r="CW31" s="10">
        <f t="shared" si="67"/>
        <v>0.28300081515506081</v>
      </c>
      <c r="CX31" s="10">
        <f t="shared" si="68"/>
        <v>9.9521953329529715</v>
      </c>
      <c r="CY31" s="539">
        <f t="shared" si="69"/>
        <v>102.01000216276796</v>
      </c>
      <c r="CZ31" s="19">
        <f t="shared" si="70"/>
        <v>2.9856585998858916</v>
      </c>
      <c r="DA31" s="10">
        <f t="shared" si="71"/>
        <v>0.29128376584252602</v>
      </c>
      <c r="DB31" s="10">
        <f t="shared" si="72"/>
        <v>10.243479098795497</v>
      </c>
      <c r="DC31" s="539">
        <f t="shared" si="73"/>
        <v>104.99566076265384</v>
      </c>
      <c r="DD31" s="19">
        <f t="shared" si="74"/>
        <v>3.0730437296386488</v>
      </c>
      <c r="DE31" s="10">
        <f t="shared" si="75"/>
        <v>0.29980914435499012</v>
      </c>
      <c r="DF31" s="10">
        <f t="shared" si="76"/>
        <v>10.543288243150487</v>
      </c>
      <c r="DG31" s="539">
        <f t="shared" si="77"/>
        <v>108.0687044922925</v>
      </c>
      <c r="DH31" s="19">
        <f t="shared" si="78"/>
        <v>3.1629864729451458</v>
      </c>
      <c r="DI31" s="10">
        <f t="shared" si="79"/>
        <v>0.30858404614098983</v>
      </c>
      <c r="DJ31" s="10">
        <f t="shared" si="80"/>
        <v>10.851872289291476</v>
      </c>
      <c r="DK31" s="539">
        <f t="shared" si="81"/>
        <v>111.23169096523763</v>
      </c>
      <c r="DL31" s="19">
        <f t="shared" si="82"/>
        <v>3.2555616867874426</v>
      </c>
      <c r="DM31" s="10">
        <f t="shared" si="83"/>
        <v>0.31761577432072613</v>
      </c>
      <c r="DN31" s="10">
        <f t="shared" si="84"/>
        <v>11.169488063612203</v>
      </c>
      <c r="DO31" s="539">
        <f t="shared" si="85"/>
        <v>114.48725265202508</v>
      </c>
      <c r="DP31" s="19">
        <f t="shared" si="86"/>
        <v>3.3508464190836609</v>
      </c>
      <c r="DQ31" s="10">
        <f t="shared" si="87"/>
        <v>0.32691184576425958</v>
      </c>
      <c r="DR31" s="10">
        <f t="shared" si="88"/>
        <v>11.496399909376462</v>
      </c>
      <c r="DS31" s="539">
        <f t="shared" si="89"/>
        <v>117.83809907110874</v>
      </c>
      <c r="DT31" s="19">
        <f t="shared" si="90"/>
        <v>3.4489199728129387</v>
      </c>
      <c r="DU31" s="10">
        <f t="shared" si="91"/>
        <v>0.33647999734760375</v>
      </c>
      <c r="DV31" s="10">
        <f t="shared" si="92"/>
        <v>11.832879906724067</v>
      </c>
      <c r="DW31" s="539">
        <f t="shared" si="93"/>
        <v>121.28701904392169</v>
      </c>
      <c r="DX31" s="19">
        <f t="shared" si="94"/>
        <v>3.5498639720172198</v>
      </c>
      <c r="DY31" s="10">
        <f t="shared" si="95"/>
        <v>0.34632819239192386</v>
      </c>
      <c r="DZ31" s="10">
        <f t="shared" si="96"/>
        <v>12.179208099115991</v>
      </c>
      <c r="EA31" s="539">
        <f t="shared" si="97"/>
        <v>124.83688301593891</v>
      </c>
      <c r="EB31" s="19">
        <f t="shared" si="98"/>
        <v>3.653762429734797</v>
      </c>
      <c r="EC31" s="10">
        <f t="shared" si="99"/>
        <v>0.35646462729119971</v>
      </c>
      <c r="ED31" s="10">
        <f t="shared" si="100"/>
        <v>12.53567272640719</v>
      </c>
      <c r="EE31" s="539">
        <f t="shared" si="101"/>
        <v>128.49064544567369</v>
      </c>
      <c r="EF31" s="19">
        <f t="shared" si="102"/>
        <v>3.7607018179221567</v>
      </c>
      <c r="EG31" s="10">
        <f t="shared" si="103"/>
        <v>0.36689773833386896</v>
      </c>
      <c r="EH31" s="10">
        <f t="shared" si="104"/>
        <v>12.902570464741059</v>
      </c>
      <c r="EI31" s="539">
        <f t="shared" si="105"/>
        <v>132.25134726359585</v>
      </c>
      <c r="EJ31" s="19">
        <f t="shared" si="106"/>
        <v>3.8707711394223177</v>
      </c>
      <c r="EK31" s="10">
        <f t="shared" si="107"/>
        <v>0.37763620872412856</v>
      </c>
      <c r="EL31" s="10">
        <f t="shared" si="108"/>
        <v>13.280206673465187</v>
      </c>
      <c r="EM31" s="539">
        <f t="shared" si="109"/>
        <v>136.12211840301816</v>
      </c>
      <c r="EN31" s="19">
        <f t="shared" si="110"/>
        <v>3.9840620020395558</v>
      </c>
      <c r="EO31" s="10">
        <f t="shared" si="111"/>
        <v>0.38868897580873718</v>
      </c>
      <c r="EP31" s="10">
        <f t="shared" si="112"/>
        <v>13.668895649273924</v>
      </c>
      <c r="EQ31" s="539">
        <f t="shared" si="113"/>
        <v>140.10618040505773</v>
      </c>
      <c r="ER31" s="19">
        <f t="shared" si="114"/>
        <v>4.1006686947821773</v>
      </c>
      <c r="ES31" s="10">
        <f t="shared" si="115"/>
        <v>0.40006523851533438</v>
      </c>
      <c r="ET31" s="10">
        <f t="shared" si="116"/>
        <v>14.06896088778926</v>
      </c>
      <c r="EU31" s="539">
        <f t="shared" si="117"/>
        <v>144.2068490998399</v>
      </c>
      <c r="EV31" s="19">
        <f t="shared" si="118"/>
        <v>4.2206882663367775</v>
      </c>
      <c r="EW31" s="10">
        <f t="shared" si="119"/>
        <v>0.4117744650084661</v>
      </c>
      <c r="EX31" s="10">
        <f t="shared" si="120"/>
        <v>14.480735352797726</v>
      </c>
      <c r="EY31" s="539">
        <f t="shared" si="121"/>
        <v>148.42753736617669</v>
      </c>
      <c r="EZ31" s="19">
        <f t="shared" si="122"/>
        <v>4.3442206058393174</v>
      </c>
      <c r="FA31" s="10">
        <f t="shared" si="123"/>
        <v>0.42382640056968951</v>
      </c>
      <c r="FB31" s="10">
        <f t="shared" si="124"/>
        <v>14.904561753367416</v>
      </c>
      <c r="FC31" s="539">
        <f t="shared" si="125"/>
        <v>152.77175797201602</v>
      </c>
      <c r="FD31" s="19">
        <f t="shared" si="126"/>
        <v>4.4713685260102247</v>
      </c>
      <c r="FE31" s="10">
        <f t="shared" si="127"/>
        <v>0.4362310757083146</v>
      </c>
      <c r="FF31" s="10">
        <f t="shared" si="128"/>
        <v>15.340792829075731</v>
      </c>
      <c r="FG31" s="539">
        <f t="shared" si="129"/>
        <v>157.24312649802624</v>
      </c>
      <c r="FH31" s="19">
        <f t="shared" si="130"/>
        <v>4.6022378487227193</v>
      </c>
      <c r="FI31" s="10">
        <f t="shared" si="131"/>
        <v>0.44899881450953361</v>
      </c>
      <c r="FJ31" s="10">
        <f t="shared" si="132"/>
        <v>15.789791643585264</v>
      </c>
      <c r="FK31" s="539">
        <f t="shared" si="133"/>
        <v>161.84536434674897</v>
      </c>
      <c r="FL31" s="19">
        <f t="shared" si="134"/>
        <v>4.7369374930755788</v>
      </c>
      <c r="FM31" s="10">
        <f t="shared" si="135"/>
        <v>0.46214024322688574</v>
      </c>
      <c r="FN31" s="10">
        <f t="shared" si="136"/>
        <v>16.251931886812152</v>
      </c>
      <c r="FO31" s="539">
        <f t="shared" si="137"/>
        <v>166.58230183982457</v>
      </c>
      <c r="FP31" s="19">
        <f t="shared" si="138"/>
        <v>4.875579566043645</v>
      </c>
      <c r="FQ31" s="10">
        <f t="shared" si="139"/>
        <v>0.47566629912620928</v>
      </c>
      <c r="FR31" s="10">
        <f t="shared" si="140"/>
        <v>16.727598185938362</v>
      </c>
      <c r="FS31" s="539">
        <f t="shared" si="141"/>
        <v>171.45788140586822</v>
      </c>
      <c r="FT31" s="19">
        <f t="shared" si="142"/>
        <v>5.0182794557815082</v>
      </c>
      <c r="FU31" s="10">
        <f t="shared" si="143"/>
        <v>0.48958823958843983</v>
      </c>
      <c r="FV31" s="10">
        <f t="shared" si="144"/>
        <v>17.217186425526801</v>
      </c>
      <c r="FW31" s="539">
        <f t="shared" si="145"/>
        <v>176.4761608616497</v>
      </c>
      <c r="FX31" s="19">
        <f t="shared" si="146"/>
        <v>5.1651559276580405</v>
      </c>
      <c r="FY31" s="10">
        <f t="shared" si="147"/>
        <v>0.50391765147883327</v>
      </c>
      <c r="FZ31" s="10">
        <f t="shared" si="148"/>
        <v>17.721104077005634</v>
      </c>
      <c r="GA31" s="539">
        <f t="shared" si="149"/>
        <v>181.64131678930775</v>
      </c>
      <c r="GB31" s="19">
        <f t="shared" si="150"/>
        <v>5.3163312231016899</v>
      </c>
      <c r="GC31" s="10">
        <f t="shared" si="151"/>
        <v>0.51866646079040879</v>
      </c>
      <c r="GD31" s="10">
        <f t="shared" si="152"/>
        <v>18.239770537796044</v>
      </c>
      <c r="GE31" s="539">
        <f t="shared" si="153"/>
        <v>186.95764801240946</v>
      </c>
      <c r="GF31" s="19">
        <f t="shared" si="154"/>
        <v>5.4719311613388131</v>
      </c>
      <c r="GG31" s="10">
        <f t="shared" si="155"/>
        <v>0.53384694256964027</v>
      </c>
      <c r="GH31" s="10">
        <f t="shared" si="156"/>
        <v>18.773617480365683</v>
      </c>
      <c r="GI31" s="539">
        <f t="shared" si="157"/>
        <v>192.42957917374824</v>
      </c>
      <c r="GJ31" s="19">
        <f t="shared" si="158"/>
        <v>5.6320852441097049</v>
      </c>
      <c r="GK31" s="10">
        <f t="shared" si="159"/>
        <v>0.54947173113265413</v>
      </c>
      <c r="GL31" s="10">
        <f t="shared" si="160"/>
        <v>19.323089211498338</v>
      </c>
      <c r="GM31" s="539">
        <f t="shared" si="161"/>
        <v>198.06166441785797</v>
      </c>
      <c r="GN31" s="19">
        <f t="shared" si="162"/>
        <v>5.796926763449501</v>
      </c>
      <c r="GO31" s="10">
        <f t="shared" si="163"/>
        <v>0.56555383058043907</v>
      </c>
      <c r="GP31" s="10">
        <f t="shared" si="164"/>
        <v>19.888643042078776</v>
      </c>
      <c r="GQ31" s="539">
        <f t="shared" si="165"/>
        <v>203.85859118130745</v>
      </c>
      <c r="GR31" s="19">
        <f t="shared" si="166"/>
        <v>5.966592912623633</v>
      </c>
      <c r="GS31" s="10">
        <f t="shared" si="167"/>
        <v>0.58210662562181781</v>
      </c>
      <c r="GT31" s="10">
        <f t="shared" si="168"/>
        <v>20.470749667700595</v>
      </c>
      <c r="GU31" s="539">
        <f t="shared" si="169"/>
        <v>209.82518409393109</v>
      </c>
      <c r="GV31" s="19">
        <f t="shared" si="170"/>
        <v>6.1412249003101786</v>
      </c>
      <c r="GW31" s="10">
        <f t="shared" si="171"/>
        <v>0.59914389271318813</v>
      </c>
      <c r="GX31" s="10">
        <f t="shared" si="172"/>
        <v>21.069893560413782</v>
      </c>
      <c r="GY31" s="539">
        <f t="shared" si="173"/>
        <v>215.96640899424125</v>
      </c>
      <c r="GZ31" s="19">
        <f t="shared" si="174"/>
        <v>6.3209680681241345</v>
      </c>
      <c r="HA31" s="10">
        <f t="shared" si="175"/>
        <v>0.61667981152430584</v>
      </c>
      <c r="HB31" s="10">
        <f t="shared" si="176"/>
        <v>21.686573371938088</v>
      </c>
      <c r="HC31" s="539">
        <f t="shared" si="177"/>
        <v>222.28737706236541</v>
      </c>
      <c r="HD31" s="19">
        <f t="shared" si="178"/>
        <v>6.5059720115814264</v>
      </c>
      <c r="HE31" s="10">
        <f t="shared" si="179"/>
        <v>0.63472897673965134</v>
      </c>
      <c r="HF31" s="10">
        <f t="shared" si="180"/>
        <v>22.32130234867774</v>
      </c>
      <c r="HG31" s="539">
        <f t="shared" si="181"/>
        <v>228.79334907394684</v>
      </c>
      <c r="HH31" s="19">
        <f t="shared" si="182"/>
        <v>6.6963907046033215</v>
      </c>
      <c r="HI31" s="10">
        <f t="shared" si="183"/>
        <v>0.65330641020520208</v>
      </c>
      <c r="HJ31" s="10">
        <f t="shared" si="184"/>
        <v>22.974608758882944</v>
      </c>
      <c r="HK31" s="539">
        <f t="shared" si="185"/>
        <v>235.48973977855019</v>
      </c>
      <c r="HL31" s="19">
        <f t="shared" si="186"/>
        <v>6.8923826276648832</v>
      </c>
      <c r="HM31" s="10">
        <f t="shared" si="187"/>
        <v>0.67242757343072035</v>
      </c>
      <c r="HN31" s="10">
        <f t="shared" si="188"/>
        <v>23.647036332313665</v>
      </c>
      <c r="HO31" s="539">
        <f t="shared" si="189"/>
        <v>242.38212240621507</v>
      </c>
      <c r="HP31" s="19">
        <f t="shared" si="190"/>
        <v>7.0941108996940994</v>
      </c>
      <c r="HQ31" s="10">
        <f t="shared" si="191"/>
        <v>0.69210838045796086</v>
      </c>
      <c r="HR31" s="10">
        <f t="shared" si="192"/>
        <v>24.339144712771624</v>
      </c>
      <c r="HS31" s="539">
        <f t="shared" si="193"/>
        <v>249.47623330590915</v>
      </c>
      <c r="HT31" s="19">
        <f t="shared" si="194"/>
        <v>7.3017434138314865</v>
      </c>
      <c r="HU31" s="10">
        <f t="shared" si="195"/>
        <v>0.71236521110551088</v>
      </c>
      <c r="HV31" s="10">
        <f t="shared" si="196"/>
        <v>25.051509923877134</v>
      </c>
      <c r="HW31" s="539">
        <f t="shared" si="197"/>
        <v>256.77797671974065</v>
      </c>
      <c r="HX31" s="19">
        <f t="shared" si="198"/>
        <v>7.5154529771631395</v>
      </c>
      <c r="HY31" s="10">
        <f t="shared" si="199"/>
        <v>0.7332149246012819</v>
      </c>
      <c r="HZ31" s="10">
        <f t="shared" si="200"/>
        <v>25.784724848478415</v>
      </c>
      <c r="IA31" s="539">
        <f t="shared" si="201"/>
        <v>264.29342969690373</v>
      </c>
      <c r="IB31" s="19">
        <f t="shared" si="202"/>
        <v>7.7354174545435246</v>
      </c>
      <c r="IF31" s="226" t="s">
        <v>1330</v>
      </c>
      <c r="IG31" s="11" t="s">
        <v>1329</v>
      </c>
      <c r="IH31" s="11" t="s">
        <v>1341</v>
      </c>
      <c r="II31" s="11" t="s">
        <v>1340</v>
      </c>
      <c r="IJ31" s="11" t="s">
        <v>1344</v>
      </c>
      <c r="IM31" s="27">
        <f>COUNTIF(II41:II54,"Undervalued")/COUNTA(II41:II54)</f>
        <v>0.2857142857142857</v>
      </c>
      <c r="IP31" s="236"/>
      <c r="IR31" s="11"/>
      <c r="IY31"/>
    </row>
    <row r="32" spans="1:263">
      <c r="A32" s="11"/>
      <c r="B32" s="20"/>
      <c r="C32" s="826" t="s">
        <v>2343</v>
      </c>
      <c r="D32" s="47" t="s">
        <v>712</v>
      </c>
      <c r="E32" s="396">
        <f t="shared" si="0"/>
        <v>10.0527</v>
      </c>
      <c r="F32" s="242">
        <v>1.0527</v>
      </c>
      <c r="G32" s="48">
        <f>'Update Stock Prices'!S32</f>
        <v>48235294.117647059</v>
      </c>
      <c r="H32" s="991">
        <f t="shared" si="27"/>
        <v>2.1824268292682928E-8</v>
      </c>
      <c r="I32" s="49">
        <f>'Update Stock Prices'!D32</f>
        <v>34</v>
      </c>
      <c r="J32" s="49">
        <f t="shared" si="1"/>
        <v>35.791800000000002</v>
      </c>
      <c r="K32" s="30">
        <v>23.91</v>
      </c>
      <c r="L32" s="49">
        <f t="shared" si="28"/>
        <v>11.881800000000002</v>
      </c>
      <c r="M32" s="50">
        <f t="shared" si="29"/>
        <v>0.49693851944792983</v>
      </c>
      <c r="N32" s="49">
        <f t="shared" si="30"/>
        <v>22.713023653462525</v>
      </c>
      <c r="O32" s="48">
        <f t="shared" si="2"/>
        <v>9</v>
      </c>
      <c r="P32" s="49">
        <f t="shared" si="3"/>
        <v>15.009999999999991</v>
      </c>
      <c r="Q32" s="30">
        <f>0.1725*4</f>
        <v>0.69</v>
      </c>
      <c r="R32" s="49">
        <f t="shared" ref="R32" si="289">S32/365.25</f>
        <v>1.988673511293634E-3</v>
      </c>
      <c r="S32" s="49">
        <f t="shared" si="4"/>
        <v>0.72636299999999987</v>
      </c>
      <c r="T32" s="49">
        <f t="shared" ref="T32" si="290">S32/12</f>
        <v>6.0530249999999987E-2</v>
      </c>
      <c r="U32" s="49" t="s">
        <v>54</v>
      </c>
      <c r="V32" s="50">
        <f t="shared" si="6"/>
        <v>2.0294117647058824E-2</v>
      </c>
      <c r="W32" s="50">
        <f t="shared" si="7"/>
        <v>3.0379046424090332E-2</v>
      </c>
      <c r="X32" s="49">
        <f t="shared" si="8"/>
        <v>6.2099999999999991</v>
      </c>
      <c r="Y32" s="49">
        <f t="shared" si="32"/>
        <v>0.18159074999999997</v>
      </c>
      <c r="Z32" s="860">
        <f t="shared" si="9"/>
        <v>0</v>
      </c>
      <c r="AA32" s="860">
        <f t="shared" si="10"/>
        <v>196.04874927536235</v>
      </c>
      <c r="AB32" s="49">
        <f t="shared" si="11"/>
        <v>6665.6574753623199</v>
      </c>
      <c r="AC32" s="48">
        <v>1</v>
      </c>
      <c r="AD32" s="47" t="str">
        <f t="shared" si="12"/>
        <v>CWT</v>
      </c>
      <c r="AE32" s="49">
        <f t="shared" si="13"/>
        <v>35.791800000000002</v>
      </c>
      <c r="AF32" s="50" t="e">
        <f t="shared" si="14"/>
        <v>#REF!</v>
      </c>
      <c r="AG32" s="890" t="e">
        <f t="shared" si="15"/>
        <v>#REF!</v>
      </c>
      <c r="AH32" s="207" t="s">
        <v>2368</v>
      </c>
      <c r="AI32" s="240">
        <f t="shared" si="16"/>
        <v>2.9081406851578146E-3</v>
      </c>
      <c r="AJ32" s="11">
        <f t="shared" si="33"/>
        <v>3</v>
      </c>
      <c r="AK32" s="11"/>
      <c r="AL32" s="11">
        <v>1</v>
      </c>
      <c r="AM32" s="11"/>
      <c r="AN32" s="11"/>
      <c r="AO32" s="11"/>
      <c r="AP32" s="11"/>
      <c r="AQ32" s="11" t="str">
        <f>'Update Stock Prices'!Q32</f>
        <v>small</v>
      </c>
      <c r="AR32" s="11"/>
      <c r="AS32" s="11"/>
      <c r="AT32" s="177" t="s">
        <v>1728</v>
      </c>
      <c r="AU32" s="11"/>
      <c r="AV32" s="1170">
        <v>0.04</v>
      </c>
      <c r="AW32" s="833">
        <v>0.5</v>
      </c>
      <c r="AX32" s="11">
        <v>65</v>
      </c>
      <c r="AY32" s="20">
        <f>AV84*AV32</f>
        <v>5824.487641652001</v>
      </c>
      <c r="AZ32" s="19">
        <f t="shared" ref="AZ32:AZ62" si="291">AY32/12</f>
        <v>485.37397013766673</v>
      </c>
      <c r="BA32" s="19">
        <f t="shared" ref="BA32:BA62" si="292">AY32/365.25</f>
        <v>15.946578074338127</v>
      </c>
      <c r="BB32" s="186">
        <f>(1+$AV$62)*(AV84-AY32)</f>
        <v>143981.33450163747</v>
      </c>
      <c r="BC32" s="19"/>
      <c r="BD32" s="932"/>
      <c r="BE32" s="593">
        <f t="shared" si="17"/>
        <v>0</v>
      </c>
      <c r="BF32" s="725">
        <f t="shared" si="221"/>
        <v>708316.35114886309</v>
      </c>
      <c r="BG32" s="420" t="str">
        <f t="shared" ca="1" si="18"/>
        <v/>
      </c>
      <c r="BH32" s="593">
        <f t="shared" ca="1" si="34"/>
        <v>33</v>
      </c>
      <c r="BI32" s="420">
        <f t="shared" ca="1" si="35"/>
        <v>67</v>
      </c>
      <c r="BJ32" s="420">
        <f t="shared" ca="1" si="35"/>
        <v>73</v>
      </c>
      <c r="BK32" s="420">
        <f t="shared" ca="1" si="36"/>
        <v>2047</v>
      </c>
      <c r="BL32" s="420" t="s">
        <v>1039</v>
      </c>
      <c r="BM32" s="19">
        <f t="shared" si="19"/>
        <v>1001474.2898409009</v>
      </c>
      <c r="BN32" s="19">
        <f>GM149</f>
        <v>293157.93869203783</v>
      </c>
      <c r="BO32" s="19">
        <f>GN149</f>
        <v>19169.826765021542</v>
      </c>
      <c r="BP32" s="183">
        <f t="shared" si="20"/>
        <v>6.5390781674036225E-2</v>
      </c>
      <c r="BQ32" s="19">
        <f t="shared" si="21"/>
        <v>1597.4855637517951</v>
      </c>
      <c r="BS32" s="420" t="str">
        <f t="shared" si="37"/>
        <v>CWT</v>
      </c>
      <c r="BT32" s="425">
        <f t="shared" si="38"/>
        <v>1.0527</v>
      </c>
      <c r="BU32" s="19">
        <f t="shared" si="39"/>
        <v>34</v>
      </c>
      <c r="BV32" s="19">
        <f t="shared" si="40"/>
        <v>35.791800000000002</v>
      </c>
      <c r="BW32" s="539">
        <f t="shared" si="41"/>
        <v>0.69</v>
      </c>
      <c r="BX32" s="19">
        <f t="shared" si="42"/>
        <v>0.72636299999999987</v>
      </c>
      <c r="BY32" s="10">
        <f t="shared" si="43"/>
        <v>2.1363617647058821E-2</v>
      </c>
      <c r="BZ32" s="10">
        <f t="shared" si="44"/>
        <v>1.0740636176470588</v>
      </c>
      <c r="CA32" s="539">
        <f t="shared" si="45"/>
        <v>36.518163000000001</v>
      </c>
      <c r="CB32" s="19">
        <f t="shared" si="46"/>
        <v>0.74110389617647054</v>
      </c>
      <c r="CC32" s="10">
        <f t="shared" si="47"/>
        <v>2.1797173416955015E-2</v>
      </c>
      <c r="CD32" s="10">
        <f t="shared" si="48"/>
        <v>1.0958607910640139</v>
      </c>
      <c r="CE32" s="539">
        <f t="shared" si="49"/>
        <v>37.25926689617647</v>
      </c>
      <c r="CF32" s="19">
        <f t="shared" si="50"/>
        <v>0.75614394583416955</v>
      </c>
      <c r="CG32" s="10">
        <f t="shared" si="51"/>
        <v>2.2239527818652044E-2</v>
      </c>
      <c r="CH32" s="10">
        <f t="shared" si="52"/>
        <v>1.1181003188826659</v>
      </c>
      <c r="CI32" s="539">
        <f t="shared" si="53"/>
        <v>38.015410842010638</v>
      </c>
      <c r="CJ32" s="19">
        <f t="shared" si="54"/>
        <v>0.77148922002903941</v>
      </c>
      <c r="CK32" s="10">
        <f t="shared" si="55"/>
        <v>2.2690859412618808E-2</v>
      </c>
      <c r="CL32" s="10">
        <f t="shared" si="56"/>
        <v>1.1407911782952846</v>
      </c>
      <c r="CM32" s="539">
        <f t="shared" si="57"/>
        <v>38.786900062039678</v>
      </c>
      <c r="CN32" s="19">
        <f t="shared" si="58"/>
        <v>0.78714591302374637</v>
      </c>
      <c r="CO32" s="10">
        <f t="shared" si="59"/>
        <v>2.3151350383051363E-2</v>
      </c>
      <c r="CP32" s="10">
        <f t="shared" si="60"/>
        <v>1.163942528678336</v>
      </c>
      <c r="CQ32" s="539">
        <f t="shared" si="61"/>
        <v>39.574045975063427</v>
      </c>
      <c r="CR32" s="19">
        <f t="shared" si="62"/>
        <v>0.80312034478805183</v>
      </c>
      <c r="CS32" s="10">
        <f t="shared" si="63"/>
        <v>2.362118661141329E-2</v>
      </c>
      <c r="CT32" s="10">
        <f t="shared" si="64"/>
        <v>1.1875637152897494</v>
      </c>
      <c r="CU32" s="539">
        <f t="shared" si="65"/>
        <v>40.377166319851476</v>
      </c>
      <c r="CV32" s="19">
        <f t="shared" si="66"/>
        <v>0.81941896354992694</v>
      </c>
      <c r="CW32" s="10">
        <f t="shared" si="67"/>
        <v>2.4100557751468438E-2</v>
      </c>
      <c r="CX32" s="10">
        <f t="shared" si="68"/>
        <v>1.2116642730412177</v>
      </c>
      <c r="CY32" s="539">
        <f t="shared" si="69"/>
        <v>41.196585283401404</v>
      </c>
      <c r="CZ32" s="19">
        <f t="shared" si="70"/>
        <v>0.83604834839844011</v>
      </c>
      <c r="DA32" s="10">
        <f t="shared" si="71"/>
        <v>2.4589657305836475E-2</v>
      </c>
      <c r="DB32" s="10">
        <f t="shared" si="72"/>
        <v>1.2362539303470541</v>
      </c>
      <c r="DC32" s="539">
        <f t="shared" si="73"/>
        <v>42.03263363179984</v>
      </c>
      <c r="DD32" s="19">
        <f t="shared" si="74"/>
        <v>0.85301521193946728</v>
      </c>
      <c r="DE32" s="10">
        <f t="shared" si="75"/>
        <v>2.5088682704101979E-2</v>
      </c>
      <c r="DF32" s="10">
        <f t="shared" si="76"/>
        <v>1.261342613051156</v>
      </c>
      <c r="DG32" s="539">
        <f t="shared" si="77"/>
        <v>42.885648843739304</v>
      </c>
      <c r="DH32" s="19">
        <f t="shared" si="78"/>
        <v>0.87032640300529762</v>
      </c>
      <c r="DI32" s="10">
        <f t="shared" si="79"/>
        <v>2.5597835382508753E-2</v>
      </c>
      <c r="DJ32" s="10">
        <f t="shared" si="80"/>
        <v>1.2869404484336648</v>
      </c>
      <c r="DK32" s="539">
        <f t="shared" si="81"/>
        <v>43.755975246744605</v>
      </c>
      <c r="DL32" s="19">
        <f t="shared" si="82"/>
        <v>0.8879889094192287</v>
      </c>
      <c r="DM32" s="10">
        <f t="shared" si="83"/>
        <v>2.6117320865271434E-2</v>
      </c>
      <c r="DN32" s="10">
        <f t="shared" si="84"/>
        <v>1.3130577692989363</v>
      </c>
      <c r="DO32" s="539">
        <f t="shared" si="85"/>
        <v>44.643964156163833</v>
      </c>
      <c r="DP32" s="19">
        <f t="shared" si="86"/>
        <v>0.90600986081626589</v>
      </c>
      <c r="DQ32" s="10">
        <f t="shared" si="87"/>
        <v>2.6647348847537233E-2</v>
      </c>
      <c r="DR32" s="10">
        <f t="shared" si="88"/>
        <v>1.3397051181464734</v>
      </c>
      <c r="DS32" s="539">
        <f t="shared" si="89"/>
        <v>45.549974016980094</v>
      </c>
      <c r="DT32" s="19">
        <f t="shared" si="90"/>
        <v>0.9243965315210666</v>
      </c>
      <c r="DU32" s="10">
        <f t="shared" si="91"/>
        <v>2.7188133280031369E-2</v>
      </c>
      <c r="DV32" s="10">
        <f t="shared" si="92"/>
        <v>1.3668932514265049</v>
      </c>
      <c r="DW32" s="539">
        <f t="shared" si="93"/>
        <v>46.474370548501163</v>
      </c>
      <c r="DX32" s="19">
        <f t="shared" si="94"/>
        <v>0.94315634348428823</v>
      </c>
      <c r="DY32" s="10">
        <f t="shared" si="95"/>
        <v>2.7739892455420242E-2</v>
      </c>
      <c r="DZ32" s="10">
        <f t="shared" si="96"/>
        <v>1.3946331438819251</v>
      </c>
      <c r="EA32" s="539">
        <f t="shared" si="97"/>
        <v>47.417526891985453</v>
      </c>
      <c r="EB32" s="19">
        <f t="shared" si="98"/>
        <v>0.9622968692785282</v>
      </c>
      <c r="EC32" s="10">
        <f t="shared" si="99"/>
        <v>2.8302849096427302E-2</v>
      </c>
      <c r="ED32" s="10">
        <f t="shared" si="100"/>
        <v>1.4229359929783523</v>
      </c>
      <c r="EE32" s="539">
        <f t="shared" si="101"/>
        <v>48.379823761263978</v>
      </c>
      <c r="EF32" s="19">
        <f t="shared" si="102"/>
        <v>0.98182583515506294</v>
      </c>
      <c r="EG32" s="10">
        <f t="shared" si="103"/>
        <v>2.8877230445737145E-2</v>
      </c>
      <c r="EH32" s="10">
        <f t="shared" si="104"/>
        <v>1.4518132234240895</v>
      </c>
      <c r="EI32" s="539">
        <f t="shared" si="105"/>
        <v>49.361649596419042</v>
      </c>
      <c r="EJ32" s="19">
        <f t="shared" si="106"/>
        <v>1.0017511241626216</v>
      </c>
      <c r="EK32" s="10">
        <f t="shared" si="107"/>
        <v>2.9463268357724164E-2</v>
      </c>
      <c r="EL32" s="10">
        <f t="shared" si="108"/>
        <v>1.4812764917818135</v>
      </c>
      <c r="EM32" s="539">
        <f t="shared" si="109"/>
        <v>50.363400720581659</v>
      </c>
      <c r="EN32" s="19">
        <f t="shared" si="110"/>
        <v>1.0220807793294513</v>
      </c>
      <c r="EO32" s="10">
        <f t="shared" si="111"/>
        <v>3.0061199392042687E-2</v>
      </c>
      <c r="EP32" s="10">
        <f t="shared" si="112"/>
        <v>1.5113376911738563</v>
      </c>
      <c r="EQ32" s="539">
        <f t="shared" si="113"/>
        <v>51.385481499911116</v>
      </c>
      <c r="ER32" s="19">
        <f t="shared" si="114"/>
        <v>1.0428230069099607</v>
      </c>
      <c r="ES32" s="10">
        <f t="shared" si="115"/>
        <v>3.0671264909116491E-2</v>
      </c>
      <c r="ET32" s="10">
        <f t="shared" si="116"/>
        <v>1.5420089560829728</v>
      </c>
      <c r="EU32" s="539">
        <f t="shared" si="117"/>
        <v>52.428304506821078</v>
      </c>
      <c r="EV32" s="19">
        <f t="shared" si="118"/>
        <v>1.0639861796972512</v>
      </c>
      <c r="EW32" s="10">
        <f t="shared" si="119"/>
        <v>3.1293711167566213E-2</v>
      </c>
      <c r="EX32" s="10">
        <f t="shared" si="120"/>
        <v>1.573302667250539</v>
      </c>
      <c r="EY32" s="539">
        <f t="shared" si="121"/>
        <v>53.492290686518324</v>
      </c>
      <c r="EZ32" s="19">
        <f t="shared" si="122"/>
        <v>1.0855788404028719</v>
      </c>
      <c r="FA32" s="10">
        <f t="shared" si="123"/>
        <v>3.1928789423613879E-2</v>
      </c>
      <c r="FB32" s="10">
        <f t="shared" si="124"/>
        <v>1.605231456674153</v>
      </c>
      <c r="FC32" s="539">
        <f t="shared" si="125"/>
        <v>54.577869526921205</v>
      </c>
      <c r="FD32" s="19">
        <f t="shared" si="126"/>
        <v>1.1076097051051654</v>
      </c>
      <c r="FE32" s="10">
        <f t="shared" si="127"/>
        <v>3.2576756032504865E-2</v>
      </c>
      <c r="FF32" s="10">
        <f t="shared" si="128"/>
        <v>1.6378082127066578</v>
      </c>
      <c r="FG32" s="539">
        <f t="shared" si="129"/>
        <v>55.685479232026367</v>
      </c>
      <c r="FH32" s="19">
        <f t="shared" si="130"/>
        <v>1.1300876667675939</v>
      </c>
      <c r="FI32" s="10">
        <f t="shared" si="131"/>
        <v>3.3237872551988054E-2</v>
      </c>
      <c r="FJ32" s="10">
        <f t="shared" si="132"/>
        <v>1.6710460852586457</v>
      </c>
      <c r="FK32" s="539">
        <f t="shared" si="133"/>
        <v>56.815566898793953</v>
      </c>
      <c r="FL32" s="19">
        <f t="shared" si="134"/>
        <v>1.1530217988284654</v>
      </c>
      <c r="FM32" s="10">
        <f t="shared" si="135"/>
        <v>3.3912405847896045E-2</v>
      </c>
      <c r="FN32" s="10">
        <f t="shared" si="136"/>
        <v>1.7049584911065419</v>
      </c>
      <c r="FO32" s="539">
        <f t="shared" si="137"/>
        <v>57.968588697622423</v>
      </c>
      <c r="FP32" s="19">
        <f t="shared" si="138"/>
        <v>1.1764213588635137</v>
      </c>
      <c r="FQ32" s="10">
        <f t="shared" si="139"/>
        <v>3.4600628201868051E-2</v>
      </c>
      <c r="FR32" s="10">
        <f t="shared" si="140"/>
        <v>1.7395591193084099</v>
      </c>
      <c r="FS32" s="539">
        <f t="shared" si="141"/>
        <v>59.145010056485937</v>
      </c>
      <c r="FT32" s="19">
        <f t="shared" si="142"/>
        <v>1.2002957923228028</v>
      </c>
      <c r="FU32" s="10">
        <f t="shared" si="143"/>
        <v>3.5302817421258903E-2</v>
      </c>
      <c r="FV32" s="10">
        <f t="shared" si="144"/>
        <v>1.7748619367296687</v>
      </c>
      <c r="FW32" s="539">
        <f t="shared" si="145"/>
        <v>60.345305848808735</v>
      </c>
      <c r="FX32" s="19">
        <f t="shared" si="146"/>
        <v>1.2246547363434714</v>
      </c>
      <c r="FY32" s="10">
        <f t="shared" si="147"/>
        <v>3.6019256951278569E-2</v>
      </c>
      <c r="FZ32" s="10">
        <f t="shared" si="148"/>
        <v>1.8108811936809472</v>
      </c>
      <c r="GA32" s="539">
        <f t="shared" si="149"/>
        <v>61.569960585152209</v>
      </c>
      <c r="GB32" s="19">
        <f t="shared" si="150"/>
        <v>1.2495080236398535</v>
      </c>
      <c r="GC32" s="10">
        <f t="shared" si="151"/>
        <v>3.6750235989407458E-2</v>
      </c>
      <c r="GD32" s="10">
        <f t="shared" si="152"/>
        <v>1.8476314296703547</v>
      </c>
      <c r="GE32" s="539">
        <f t="shared" si="153"/>
        <v>62.819468608792057</v>
      </c>
      <c r="GF32" s="19">
        <f t="shared" si="154"/>
        <v>1.2748656864725445</v>
      </c>
      <c r="GG32" s="10">
        <f t="shared" si="155"/>
        <v>3.7496049602133659E-2</v>
      </c>
      <c r="GH32" s="10">
        <f t="shared" si="156"/>
        <v>1.8851274792724884</v>
      </c>
      <c r="GI32" s="539">
        <f t="shared" si="157"/>
        <v>64.094334295264602</v>
      </c>
      <c r="GJ32" s="19">
        <f t="shared" si="158"/>
        <v>1.3007379606980169</v>
      </c>
      <c r="GK32" s="10">
        <f t="shared" si="159"/>
        <v>3.8256998844059323E-2</v>
      </c>
      <c r="GL32" s="10">
        <f t="shared" si="160"/>
        <v>1.9233844781165477</v>
      </c>
      <c r="GM32" s="539">
        <f t="shared" si="161"/>
        <v>65.395072255962617</v>
      </c>
      <c r="GN32" s="19">
        <f t="shared" si="162"/>
        <v>1.3271352899004178</v>
      </c>
      <c r="GO32" s="10">
        <f t="shared" si="163"/>
        <v>3.9033390879424056E-2</v>
      </c>
      <c r="GP32" s="10">
        <f t="shared" si="164"/>
        <v>1.9624178689959717</v>
      </c>
      <c r="GQ32" s="539">
        <f t="shared" si="165"/>
        <v>66.722207545863043</v>
      </c>
      <c r="GR32" s="19">
        <f t="shared" si="166"/>
        <v>1.3540683296072205</v>
      </c>
      <c r="GS32" s="10">
        <f t="shared" si="167"/>
        <v>3.9825539106094716E-2</v>
      </c>
      <c r="GT32" s="10">
        <f t="shared" si="168"/>
        <v>2.0022434081020664</v>
      </c>
      <c r="GU32" s="539">
        <f t="shared" si="169"/>
        <v>68.076275875470259</v>
      </c>
      <c r="GV32" s="19">
        <f t="shared" si="170"/>
        <v>1.3815479515904256</v>
      </c>
      <c r="GW32" s="10">
        <f t="shared" si="171"/>
        <v>4.0633763282071342E-2</v>
      </c>
      <c r="GX32" s="10">
        <f t="shared" si="172"/>
        <v>2.0428771713841378</v>
      </c>
      <c r="GY32" s="539">
        <f t="shared" si="173"/>
        <v>69.457823827060679</v>
      </c>
      <c r="GZ32" s="19">
        <f t="shared" si="174"/>
        <v>1.409585248255055</v>
      </c>
      <c r="HA32" s="10">
        <f t="shared" si="175"/>
        <v>4.1458389654560446E-2</v>
      </c>
      <c r="HB32" s="10">
        <f t="shared" si="176"/>
        <v>2.0843355610386984</v>
      </c>
      <c r="HC32" s="539">
        <f t="shared" si="177"/>
        <v>70.867409075315749</v>
      </c>
      <c r="HD32" s="19">
        <f t="shared" si="178"/>
        <v>1.4381915371167018</v>
      </c>
      <c r="HE32" s="10">
        <f t="shared" si="179"/>
        <v>4.2299751091667698E-2</v>
      </c>
      <c r="HF32" s="10">
        <f t="shared" si="180"/>
        <v>2.1266353121303663</v>
      </c>
      <c r="HG32" s="539">
        <f t="shared" si="181"/>
        <v>72.305600612432457</v>
      </c>
      <c r="HH32" s="19">
        <f t="shared" si="182"/>
        <v>1.4673783653699526</v>
      </c>
      <c r="HI32" s="10">
        <f t="shared" si="183"/>
        <v>4.3158187216763309E-2</v>
      </c>
      <c r="HJ32" s="10">
        <f t="shared" si="184"/>
        <v>2.1697934993471297</v>
      </c>
      <c r="HK32" s="539">
        <f t="shared" si="185"/>
        <v>73.77297897780241</v>
      </c>
      <c r="HL32" s="19">
        <f t="shared" si="186"/>
        <v>1.4971575145495193</v>
      </c>
      <c r="HM32" s="10">
        <f t="shared" si="187"/>
        <v>4.4034044545574094E-2</v>
      </c>
      <c r="HN32" s="10">
        <f t="shared" si="188"/>
        <v>2.213827543892704</v>
      </c>
      <c r="HO32" s="539">
        <f t="shared" si="189"/>
        <v>75.270136492351938</v>
      </c>
      <c r="HP32" s="19">
        <f t="shared" si="190"/>
        <v>1.5275410052859657</v>
      </c>
      <c r="HQ32" s="10">
        <f t="shared" si="191"/>
        <v>4.4927676626057816E-2</v>
      </c>
      <c r="HR32" s="10">
        <f t="shared" si="192"/>
        <v>2.2587552205187618</v>
      </c>
      <c r="HS32" s="539">
        <f t="shared" si="193"/>
        <v>76.797677497637906</v>
      </c>
      <c r="HT32" s="19">
        <f t="shared" si="194"/>
        <v>1.5585411021579454</v>
      </c>
      <c r="HU32" s="10">
        <f t="shared" si="195"/>
        <v>4.5839444181116039E-2</v>
      </c>
      <c r="HV32" s="10">
        <f t="shared" si="196"/>
        <v>2.3045946646998776</v>
      </c>
      <c r="HW32" s="539">
        <f t="shared" si="197"/>
        <v>78.356218599795838</v>
      </c>
      <c r="HX32" s="19">
        <f t="shared" si="198"/>
        <v>1.5901703186429155</v>
      </c>
      <c r="HY32" s="10">
        <f t="shared" si="199"/>
        <v>4.6769715254203398E-2</v>
      </c>
      <c r="HZ32" s="10">
        <f t="shared" si="200"/>
        <v>2.3513643799540809</v>
      </c>
      <c r="IA32" s="539">
        <f t="shared" si="201"/>
        <v>79.946388918438743</v>
      </c>
      <c r="IB32" s="19">
        <f t="shared" si="202"/>
        <v>1.6224414221683157</v>
      </c>
      <c r="IF32" s="185">
        <f>AVERAGE(IH21,II18,II22,IJ18,IJ22,IK18,IK22,IL18,IM27,IN27,IP21,IG22,IF15,IO15)</f>
        <v>147.82960447987938</v>
      </c>
      <c r="IG32" s="20">
        <f>MEDIAN(IH21,II18,II22,IJ18,IJ22,IK18,IK22,IL18,IM27,IN27,IP21,IG22,IF15,IO15)</f>
        <v>183.66240416637271</v>
      </c>
      <c r="IH32" s="20">
        <f>MIN(IH21,II18,II22,IJ18,IJ22,IK18,IK22,IL18,IM27,IN27,IP21,IG22,IF15,IO15)</f>
        <v>13.523611111111112</v>
      </c>
      <c r="II32" s="20">
        <f>MAX(IH21,II18,II22,IJ18,IJ22,IK18,IK22,IL18,IM27,IN27,IP21,IG22,IF15,IO15)</f>
        <v>284.23117101375442</v>
      </c>
      <c r="IJ32" s="20">
        <f>II32-IH32</f>
        <v>270.70755990264331</v>
      </c>
      <c r="IM32" s="11" t="s">
        <v>1343</v>
      </c>
      <c r="IP32" s="236"/>
      <c r="IR32" s="11"/>
      <c r="IY32"/>
    </row>
    <row r="33" spans="1:263">
      <c r="A33" s="29"/>
      <c r="B33" s="11"/>
      <c r="C33" s="826" t="s">
        <v>2342</v>
      </c>
      <c r="D33" s="47" t="s">
        <v>52</v>
      </c>
      <c r="E33" s="396">
        <f t="shared" si="0"/>
        <v>73.408000000000001</v>
      </c>
      <c r="F33" s="242">
        <f>62.959+0.449</f>
        <v>63.408000000000001</v>
      </c>
      <c r="G33" s="48">
        <f>'Update Stock Prices'!S33</f>
        <v>118345201.7633096</v>
      </c>
      <c r="H33" s="991">
        <f t="shared" si="27"/>
        <v>5.3578851575931228E-7</v>
      </c>
      <c r="I33" s="49">
        <f>'Update Stock Prices'!D33</f>
        <v>29.49</v>
      </c>
      <c r="J33" s="49">
        <f t="shared" si="1"/>
        <v>1869.90192</v>
      </c>
      <c r="K33" s="30">
        <v>1848.22</v>
      </c>
      <c r="L33" s="49">
        <f t="shared" si="28"/>
        <v>21.681919999999991</v>
      </c>
      <c r="M33" s="50">
        <f t="shared" si="29"/>
        <v>1.1731244115960215E-2</v>
      </c>
      <c r="N33" s="49">
        <f t="shared" si="30"/>
        <v>29.148057027504414</v>
      </c>
      <c r="O33" s="48">
        <f t="shared" si="2"/>
        <v>10</v>
      </c>
      <c r="P33" s="49">
        <f>IF(($B$11-$B$12)-(O33*I33)&lt;0,0,($B$11-$B$12)-(O33*I33))</f>
        <v>26.110000000000014</v>
      </c>
      <c r="Q33" s="30">
        <f>0.54*4</f>
        <v>2.16</v>
      </c>
      <c r="R33" s="49">
        <f>S33/365.25</f>
        <v>0.37497954825462015</v>
      </c>
      <c r="S33" s="49">
        <f t="shared" si="4"/>
        <v>136.96128000000002</v>
      </c>
      <c r="T33" s="49">
        <f>S33/12</f>
        <v>11.413440000000001</v>
      </c>
      <c r="U33" s="49" t="s">
        <v>54</v>
      </c>
      <c r="V33" s="50">
        <f t="shared" si="6"/>
        <v>7.324516785350968E-2</v>
      </c>
      <c r="W33" s="50">
        <f t="shared" si="7"/>
        <v>7.4104424797913682E-2</v>
      </c>
      <c r="X33" s="49">
        <f>12*((E33*Q33)/12-T33)</f>
        <v>21.599999999999987</v>
      </c>
      <c r="Y33" s="49">
        <f t="shared" si="32"/>
        <v>34.240320000000004</v>
      </c>
      <c r="Z33" s="860">
        <f t="shared" si="9"/>
        <v>1</v>
      </c>
      <c r="AA33" s="860" t="str">
        <f t="shared" si="10"/>
        <v/>
      </c>
      <c r="AB33" s="49" t="str">
        <f t="shared" si="11"/>
        <v/>
      </c>
      <c r="AC33" s="48">
        <v>1</v>
      </c>
      <c r="AD33" s="47" t="str">
        <f t="shared" si="12"/>
        <v>CXW</v>
      </c>
      <c r="AE33" s="49">
        <f t="shared" si="13"/>
        <v>1869.90192</v>
      </c>
      <c r="AF33" s="50" t="e">
        <f t="shared" si="14"/>
        <v>#REF!</v>
      </c>
      <c r="AG33" s="890" t="e">
        <f t="shared" si="15"/>
        <v>#REF!</v>
      </c>
      <c r="AH33" s="207" t="s">
        <v>2609</v>
      </c>
      <c r="AI33" s="240">
        <f t="shared" si="16"/>
        <v>7.9375411062999053</v>
      </c>
      <c r="AJ33" s="11">
        <f t="shared" si="33"/>
        <v>3</v>
      </c>
      <c r="AK33" s="11"/>
      <c r="AL33" s="11"/>
      <c r="AM33" s="11">
        <v>1</v>
      </c>
      <c r="AN33" s="11"/>
      <c r="AO33" s="11"/>
      <c r="AP33" s="11">
        <v>1</v>
      </c>
      <c r="AQ33" s="11" t="str">
        <f>'Update Stock Prices'!Q33</f>
        <v>mid</v>
      </c>
      <c r="AR33" s="11"/>
      <c r="AS33" s="11"/>
      <c r="AT33" s="177" t="s">
        <v>1974</v>
      </c>
      <c r="AU33" s="11"/>
      <c r="AV33" s="836"/>
      <c r="AW33" s="236"/>
      <c r="AX33" s="420">
        <f>AX32+1</f>
        <v>66</v>
      </c>
      <c r="AY33" s="19">
        <f t="shared" ref="AY33:AY62" si="293">$AV$32*BB32</f>
        <v>5759.2533800654992</v>
      </c>
      <c r="AZ33" s="19">
        <f t="shared" si="291"/>
        <v>479.93778167212491</v>
      </c>
      <c r="BA33" s="19">
        <f t="shared" si="292"/>
        <v>15.767976399905542</v>
      </c>
      <c r="BB33" s="234">
        <f t="shared" ref="BB33:BB62" si="294">(1+$AV$62)*(BB32-AY33)</f>
        <v>142368.74355521915</v>
      </c>
      <c r="BC33" s="19"/>
      <c r="BD33" s="932"/>
      <c r="BE33" s="593">
        <f t="shared" si="17"/>
        <v>0</v>
      </c>
      <c r="BF33" s="725">
        <f t="shared" si="221"/>
        <v>733441.04817184038</v>
      </c>
      <c r="BG33" s="420" t="str">
        <f t="shared" ca="1" si="18"/>
        <v/>
      </c>
      <c r="BH33" s="593">
        <f t="shared" ca="1" si="34"/>
        <v>34</v>
      </c>
      <c r="BI33" s="420">
        <f t="shared" ca="1" si="35"/>
        <v>68</v>
      </c>
      <c r="BJ33" s="420">
        <f t="shared" ca="1" si="35"/>
        <v>74</v>
      </c>
      <c r="BK33" s="420">
        <f t="shared" ca="1" si="36"/>
        <v>2048</v>
      </c>
      <c r="BL33" s="420" t="s">
        <v>1080</v>
      </c>
      <c r="BM33" s="19">
        <f t="shared" si="19"/>
        <v>1045768.8136288999</v>
      </c>
      <c r="BN33" s="19">
        <f>GQ149</f>
        <v>312327.76545705949</v>
      </c>
      <c r="BO33" s="19">
        <f>GR149</f>
        <v>20757.836222278114</v>
      </c>
      <c r="BP33" s="183">
        <f t="shared" si="20"/>
        <v>6.6461706316443436E-2</v>
      </c>
      <c r="BQ33" s="19">
        <f t="shared" si="21"/>
        <v>1729.8196851898429</v>
      </c>
      <c r="BS33" s="420" t="str">
        <f t="shared" si="37"/>
        <v>CXW</v>
      </c>
      <c r="BT33" s="425">
        <f t="shared" si="38"/>
        <v>63.408000000000001</v>
      </c>
      <c r="BU33" s="19">
        <f t="shared" si="39"/>
        <v>29.49</v>
      </c>
      <c r="BV33" s="19">
        <f t="shared" si="40"/>
        <v>1869.90192</v>
      </c>
      <c r="BW33" s="539">
        <f t="shared" si="41"/>
        <v>2.16</v>
      </c>
      <c r="BX33" s="19">
        <f t="shared" si="42"/>
        <v>136.96128000000002</v>
      </c>
      <c r="BY33" s="10">
        <f t="shared" si="43"/>
        <v>4.6443296032553416</v>
      </c>
      <c r="BZ33" s="10">
        <f t="shared" si="44"/>
        <v>68.052329603255345</v>
      </c>
      <c r="CA33" s="539">
        <f t="shared" si="45"/>
        <v>2006.8632</v>
      </c>
      <c r="CB33" s="19">
        <f t="shared" si="46"/>
        <v>146.99303194303155</v>
      </c>
      <c r="CC33" s="10">
        <f t="shared" si="47"/>
        <v>4.9845043046128028</v>
      </c>
      <c r="CD33" s="10">
        <f t="shared" si="48"/>
        <v>73.036833907868143</v>
      </c>
      <c r="CE33" s="539">
        <f t="shared" si="49"/>
        <v>2153.8562319430316</v>
      </c>
      <c r="CF33" s="19">
        <f t="shared" si="50"/>
        <v>157.7595612409952</v>
      </c>
      <c r="CG33" s="10">
        <f t="shared" si="51"/>
        <v>5.3495951590707085</v>
      </c>
      <c r="CH33" s="10">
        <f t="shared" si="52"/>
        <v>78.386429066938845</v>
      </c>
      <c r="CI33" s="539">
        <f t="shared" si="53"/>
        <v>2311.6157931840266</v>
      </c>
      <c r="CJ33" s="19">
        <f t="shared" si="54"/>
        <v>169.31468678458791</v>
      </c>
      <c r="CK33" s="10">
        <f t="shared" si="55"/>
        <v>5.7414271544451649</v>
      </c>
      <c r="CL33" s="10">
        <f t="shared" si="56"/>
        <v>84.127856221384008</v>
      </c>
      <c r="CM33" s="539">
        <f t="shared" si="57"/>
        <v>2480.9304799686142</v>
      </c>
      <c r="CN33" s="19">
        <f t="shared" si="58"/>
        <v>181.71616943818947</v>
      </c>
      <c r="CO33" s="10">
        <f t="shared" si="59"/>
        <v>6.1619589500911998</v>
      </c>
      <c r="CP33" s="10">
        <f t="shared" si="60"/>
        <v>90.289815171475212</v>
      </c>
      <c r="CQ33" s="539">
        <f t="shared" si="61"/>
        <v>2662.646649406804</v>
      </c>
      <c r="CR33" s="19">
        <f t="shared" si="62"/>
        <v>195.02600077038647</v>
      </c>
      <c r="CS33" s="10">
        <f t="shared" si="63"/>
        <v>6.613292667697066</v>
      </c>
      <c r="CT33" s="10">
        <f t="shared" si="64"/>
        <v>96.903107839172279</v>
      </c>
      <c r="CU33" s="539">
        <f t="shared" si="65"/>
        <v>2857.6726501771905</v>
      </c>
      <c r="CV33" s="19">
        <f t="shared" si="66"/>
        <v>209.31071293261215</v>
      </c>
      <c r="CW33" s="10">
        <f t="shared" si="67"/>
        <v>7.0976843992069227</v>
      </c>
      <c r="CX33" s="10">
        <f t="shared" si="68"/>
        <v>104.0007922383792</v>
      </c>
      <c r="CY33" s="539">
        <f t="shared" si="69"/>
        <v>3066.9833631098027</v>
      </c>
      <c r="CZ33" s="19">
        <f t="shared" si="70"/>
        <v>224.64171123489911</v>
      </c>
      <c r="DA33" s="10">
        <f t="shared" si="71"/>
        <v>7.6175554843980713</v>
      </c>
      <c r="DB33" s="10">
        <f t="shared" si="72"/>
        <v>111.61834772277727</v>
      </c>
      <c r="DC33" s="539">
        <f t="shared" si="73"/>
        <v>3291.6250743447017</v>
      </c>
      <c r="DD33" s="19">
        <f t="shared" si="74"/>
        <v>241.09563108119892</v>
      </c>
      <c r="DE33" s="10">
        <f t="shared" si="75"/>
        <v>8.1755046144862309</v>
      </c>
      <c r="DF33" s="10">
        <f t="shared" si="76"/>
        <v>119.7938523372635</v>
      </c>
      <c r="DG33" s="539">
        <f t="shared" si="77"/>
        <v>3532.7207054259006</v>
      </c>
      <c r="DH33" s="19">
        <f t="shared" si="78"/>
        <v>258.75472104848916</v>
      </c>
      <c r="DI33" s="10">
        <f t="shared" si="79"/>
        <v>8.7743208222614157</v>
      </c>
      <c r="DJ33" s="10">
        <f t="shared" si="80"/>
        <v>128.56817315952492</v>
      </c>
      <c r="DK33" s="539">
        <f t="shared" si="81"/>
        <v>3791.4754264743897</v>
      </c>
      <c r="DL33" s="19">
        <f t="shared" si="82"/>
        <v>277.70725402457384</v>
      </c>
      <c r="DM33" s="10">
        <f t="shared" si="83"/>
        <v>9.4169974236884997</v>
      </c>
      <c r="DN33" s="10">
        <f t="shared" si="84"/>
        <v>137.9851705832134</v>
      </c>
      <c r="DO33" s="539">
        <f t="shared" si="85"/>
        <v>4069.1826804989632</v>
      </c>
      <c r="DP33" s="19">
        <f t="shared" si="86"/>
        <v>298.04796845974096</v>
      </c>
      <c r="DQ33" s="10">
        <f t="shared" si="87"/>
        <v>10.106746980662631</v>
      </c>
      <c r="DR33" s="10">
        <f t="shared" si="88"/>
        <v>148.09191756387602</v>
      </c>
      <c r="DS33" s="539">
        <f t="shared" si="89"/>
        <v>4367.2306489587036</v>
      </c>
      <c r="DT33" s="19">
        <f t="shared" si="90"/>
        <v>319.87854193797222</v>
      </c>
      <c r="DU33" s="10">
        <f t="shared" si="91"/>
        <v>10.847017359714217</v>
      </c>
      <c r="DV33" s="10">
        <f t="shared" si="92"/>
        <v>158.93893492359024</v>
      </c>
      <c r="DW33" s="539">
        <f t="shared" si="93"/>
        <v>4687.1091908966755</v>
      </c>
      <c r="DX33" s="19">
        <f t="shared" si="94"/>
        <v>343.30809943495495</v>
      </c>
      <c r="DY33" s="10">
        <f t="shared" si="95"/>
        <v>11.641508966936419</v>
      </c>
      <c r="DZ33" s="10">
        <f t="shared" si="96"/>
        <v>170.58044389052665</v>
      </c>
      <c r="EA33" s="539">
        <f t="shared" si="97"/>
        <v>5030.4172903316303</v>
      </c>
      <c r="EB33" s="19">
        <f t="shared" si="98"/>
        <v>368.4537588035376</v>
      </c>
      <c r="EC33" s="10">
        <f t="shared" si="99"/>
        <v>12.494193245287814</v>
      </c>
      <c r="ED33" s="10">
        <f t="shared" si="100"/>
        <v>183.07463713581447</v>
      </c>
      <c r="EE33" s="539">
        <f t="shared" si="101"/>
        <v>5398.8710491351685</v>
      </c>
      <c r="EF33" s="19">
        <f t="shared" si="102"/>
        <v>395.44121621335927</v>
      </c>
      <c r="EG33" s="10">
        <f t="shared" si="103"/>
        <v>13.409332526733106</v>
      </c>
      <c r="EH33" s="10">
        <f t="shared" si="104"/>
        <v>196.48396966254757</v>
      </c>
      <c r="EI33" s="539">
        <f t="shared" si="105"/>
        <v>5794.312265348527</v>
      </c>
      <c r="EJ33" s="19">
        <f t="shared" si="106"/>
        <v>424.40537447110279</v>
      </c>
      <c r="EK33" s="10">
        <f t="shared" si="107"/>
        <v>14.3915013384572</v>
      </c>
      <c r="EL33" s="10">
        <f t="shared" si="108"/>
        <v>210.87547100100477</v>
      </c>
      <c r="EM33" s="539">
        <f t="shared" si="109"/>
        <v>6218.7176398196307</v>
      </c>
      <c r="EN33" s="19">
        <f t="shared" si="110"/>
        <v>455.49101736217034</v>
      </c>
      <c r="EO33" s="10">
        <f t="shared" si="111"/>
        <v>15.445609269656506</v>
      </c>
      <c r="EP33" s="10">
        <f t="shared" si="112"/>
        <v>226.32108027066127</v>
      </c>
      <c r="EQ33" s="539">
        <f t="shared" si="113"/>
        <v>6674.2086571818008</v>
      </c>
      <c r="ER33" s="19">
        <f t="shared" si="114"/>
        <v>488.85353338462835</v>
      </c>
      <c r="ES33" s="10">
        <f t="shared" si="115"/>
        <v>16.57692551321222</v>
      </c>
      <c r="ET33" s="10">
        <f t="shared" si="116"/>
        <v>242.89800578387349</v>
      </c>
      <c r="EU33" s="539">
        <f t="shared" si="117"/>
        <v>7163.0621905664284</v>
      </c>
      <c r="EV33" s="19">
        <f t="shared" si="118"/>
        <v>524.65969249316674</v>
      </c>
      <c r="EW33" s="10">
        <f t="shared" si="119"/>
        <v>17.791105204922577</v>
      </c>
      <c r="EX33" s="10">
        <f t="shared" si="120"/>
        <v>260.68911098879607</v>
      </c>
      <c r="EY33" s="539">
        <f t="shared" si="121"/>
        <v>7687.7218830595957</v>
      </c>
      <c r="EZ33" s="19">
        <f t="shared" si="122"/>
        <v>563.08847973579952</v>
      </c>
      <c r="FA33" s="10">
        <f t="shared" si="123"/>
        <v>19.09421769195658</v>
      </c>
      <c r="FB33" s="10">
        <f t="shared" si="124"/>
        <v>279.78332868075267</v>
      </c>
      <c r="FC33" s="539">
        <f t="shared" si="125"/>
        <v>8250.8103627953951</v>
      </c>
      <c r="FD33" s="19">
        <f t="shared" si="126"/>
        <v>604.33198995042585</v>
      </c>
      <c r="FE33" s="10">
        <f t="shared" si="127"/>
        <v>20.4927768718354</v>
      </c>
      <c r="FF33" s="10">
        <f t="shared" si="128"/>
        <v>300.27610555258809</v>
      </c>
      <c r="FG33" s="539">
        <f t="shared" si="129"/>
        <v>8855.1423527458228</v>
      </c>
      <c r="FH33" s="19">
        <f t="shared" si="130"/>
        <v>648.59638799359027</v>
      </c>
      <c r="FI33" s="10">
        <f t="shared" si="131"/>
        <v>21.993773753597502</v>
      </c>
      <c r="FJ33" s="10">
        <f t="shared" si="132"/>
        <v>322.2698793061856</v>
      </c>
      <c r="FK33" s="539">
        <f t="shared" si="133"/>
        <v>9503.7387407394126</v>
      </c>
      <c r="FL33" s="19">
        <f t="shared" si="134"/>
        <v>696.10293930136095</v>
      </c>
      <c r="FM33" s="10">
        <f t="shared" si="135"/>
        <v>23.604711403911868</v>
      </c>
      <c r="FN33" s="10">
        <f t="shared" si="136"/>
        <v>345.87459071009749</v>
      </c>
      <c r="FO33" s="539">
        <f t="shared" si="137"/>
        <v>10199.841680040774</v>
      </c>
      <c r="FP33" s="19">
        <f t="shared" si="138"/>
        <v>747.0891159338106</v>
      </c>
      <c r="FQ33" s="10">
        <f t="shared" si="139"/>
        <v>25.333642452825046</v>
      </c>
      <c r="FR33" s="10">
        <f t="shared" si="140"/>
        <v>371.20823316292251</v>
      </c>
      <c r="FS33" s="539">
        <f t="shared" si="141"/>
        <v>10946.930795974584</v>
      </c>
      <c r="FT33" s="19">
        <f t="shared" si="142"/>
        <v>801.80978363191264</v>
      </c>
      <c r="FU33" s="10">
        <f t="shared" si="143"/>
        <v>27.189209346623013</v>
      </c>
      <c r="FV33" s="10">
        <f t="shared" si="144"/>
        <v>398.3974425095455</v>
      </c>
      <c r="FW33" s="539">
        <f t="shared" si="145"/>
        <v>11748.740579606496</v>
      </c>
      <c r="FX33" s="19">
        <f t="shared" si="146"/>
        <v>860.53847582061837</v>
      </c>
      <c r="FY33" s="10">
        <f t="shared" si="147"/>
        <v>29.180687549020632</v>
      </c>
      <c r="FZ33" s="10">
        <f t="shared" si="148"/>
        <v>427.5781300585661</v>
      </c>
      <c r="GA33" s="539">
        <f t="shared" si="149"/>
        <v>12609.279055427114</v>
      </c>
      <c r="GB33" s="19">
        <f t="shared" si="150"/>
        <v>923.56876092650282</v>
      </c>
      <c r="GC33" s="10">
        <f t="shared" si="151"/>
        <v>31.318031906629464</v>
      </c>
      <c r="GD33" s="10">
        <f t="shared" si="152"/>
        <v>458.89616196519557</v>
      </c>
      <c r="GE33" s="539">
        <f t="shared" si="153"/>
        <v>13532.847816353617</v>
      </c>
      <c r="GF33" s="19">
        <f t="shared" si="154"/>
        <v>991.21570984482253</v>
      </c>
      <c r="GG33" s="10">
        <f t="shared" si="155"/>
        <v>33.611926410472115</v>
      </c>
      <c r="GH33" s="10">
        <f t="shared" si="156"/>
        <v>492.50808837566768</v>
      </c>
      <c r="GI33" s="539">
        <f t="shared" si="157"/>
        <v>14524.063526198439</v>
      </c>
      <c r="GJ33" s="19">
        <f t="shared" si="158"/>
        <v>1063.8174708914423</v>
      </c>
      <c r="GK33" s="10">
        <f t="shared" si="159"/>
        <v>36.073837602286957</v>
      </c>
      <c r="GL33" s="10">
        <f t="shared" si="160"/>
        <v>528.5819259779546</v>
      </c>
      <c r="GM33" s="539">
        <f t="shared" si="161"/>
        <v>15587.88099708988</v>
      </c>
      <c r="GN33" s="19">
        <f t="shared" si="162"/>
        <v>1141.7369601123819</v>
      </c>
      <c r="GO33" s="10">
        <f t="shared" si="163"/>
        <v>38.716071892586704</v>
      </c>
      <c r="GP33" s="10">
        <f t="shared" si="164"/>
        <v>567.29799787054128</v>
      </c>
      <c r="GQ33" s="539">
        <f t="shared" si="165"/>
        <v>16729.617957202263</v>
      </c>
      <c r="GR33" s="19">
        <f t="shared" si="166"/>
        <v>1225.3636754003692</v>
      </c>
      <c r="GS33" s="10">
        <f t="shared" si="167"/>
        <v>41.551837076987766</v>
      </c>
      <c r="GT33" s="10">
        <f t="shared" si="168"/>
        <v>608.84983494752908</v>
      </c>
      <c r="GU33" s="539">
        <f t="shared" si="169"/>
        <v>17954.98163260263</v>
      </c>
      <c r="GV33" s="19">
        <f t="shared" si="170"/>
        <v>1315.115643486663</v>
      </c>
      <c r="GW33" s="10">
        <f t="shared" si="171"/>
        <v>44.595308358313432</v>
      </c>
      <c r="GX33" s="10">
        <f t="shared" si="172"/>
        <v>653.44514330584252</v>
      </c>
      <c r="GY33" s="539">
        <f t="shared" si="173"/>
        <v>19270.097276089295</v>
      </c>
      <c r="GZ33" s="19">
        <f t="shared" si="174"/>
        <v>1411.44150954062</v>
      </c>
      <c r="HA33" s="10">
        <f t="shared" si="175"/>
        <v>47.861699204497121</v>
      </c>
      <c r="HB33" s="10">
        <f t="shared" si="176"/>
        <v>701.30684251033961</v>
      </c>
      <c r="HC33" s="539">
        <f t="shared" si="177"/>
        <v>20681.538785629913</v>
      </c>
      <c r="HD33" s="19">
        <f t="shared" si="178"/>
        <v>1514.8227798223336</v>
      </c>
      <c r="HE33" s="10">
        <f t="shared" si="179"/>
        <v>51.367337396484693</v>
      </c>
      <c r="HF33" s="10">
        <f t="shared" si="180"/>
        <v>752.67417990682429</v>
      </c>
      <c r="HG33" s="539">
        <f t="shared" si="181"/>
        <v>22196.361565452247</v>
      </c>
      <c r="HH33" s="19">
        <f t="shared" si="182"/>
        <v>1625.7762285987405</v>
      </c>
      <c r="HI33" s="10">
        <f t="shared" si="183"/>
        <v>55.129746646278079</v>
      </c>
      <c r="HJ33" s="10">
        <f t="shared" si="184"/>
        <v>807.80392655310243</v>
      </c>
      <c r="HK33" s="539">
        <f t="shared" si="185"/>
        <v>23822.137794050988</v>
      </c>
      <c r="HL33" s="19">
        <f t="shared" si="186"/>
        <v>1744.8564813547014</v>
      </c>
      <c r="HM33" s="10">
        <f t="shared" si="187"/>
        <v>59.167734193106185</v>
      </c>
      <c r="HN33" s="10">
        <f t="shared" si="188"/>
        <v>866.97166074620861</v>
      </c>
      <c r="HO33" s="539">
        <f t="shared" si="189"/>
        <v>25566.99427540569</v>
      </c>
      <c r="HP33" s="19">
        <f t="shared" si="190"/>
        <v>1872.6587872118107</v>
      </c>
      <c r="HQ33" s="10">
        <f t="shared" si="191"/>
        <v>63.501484815592093</v>
      </c>
      <c r="HR33" s="10">
        <f t="shared" si="192"/>
        <v>930.47314556180072</v>
      </c>
      <c r="HS33" s="539">
        <f t="shared" si="193"/>
        <v>27439.653062617501</v>
      </c>
      <c r="HT33" s="19">
        <f t="shared" si="194"/>
        <v>2009.8219944134896</v>
      </c>
      <c r="HU33" s="10">
        <f t="shared" si="195"/>
        <v>68.152661729857229</v>
      </c>
      <c r="HV33" s="10">
        <f t="shared" si="196"/>
        <v>998.62580729165791</v>
      </c>
      <c r="HW33" s="539">
        <f t="shared" si="197"/>
        <v>29449.475057030992</v>
      </c>
      <c r="HX33" s="19">
        <f t="shared" si="198"/>
        <v>2157.0317437499812</v>
      </c>
      <c r="HY33" s="10">
        <f t="shared" si="199"/>
        <v>73.144514877924081</v>
      </c>
      <c r="HZ33" s="10">
        <f t="shared" si="200"/>
        <v>1071.770322169582</v>
      </c>
      <c r="IA33" s="539">
        <f t="shared" si="201"/>
        <v>31606.506800780971</v>
      </c>
      <c r="IB33" s="19">
        <f t="shared" si="202"/>
        <v>2315.0238958862974</v>
      </c>
      <c r="IF33" s="185" t="str">
        <f>IF(IF32&lt;IG4,"Overvalued","Undervalued")</f>
        <v>Overvalued</v>
      </c>
      <c r="IG33" s="11" t="str">
        <f>IF(IG32&lt;IG4,"Overvalued","Undervalued")</f>
        <v>Overvalued</v>
      </c>
      <c r="IH33" s="11" t="str">
        <f>IF(IH32&lt;IG4,"Overvalued","Undervalued")</f>
        <v>Overvalued</v>
      </c>
      <c r="II33" s="11" t="str">
        <f>IF(II32&lt;IG4,"Overvalued","Undervalued")</f>
        <v>Undervalued</v>
      </c>
      <c r="IJ33" s="11"/>
      <c r="IM33" s="27">
        <f>1-IM31</f>
        <v>0.7142857142857143</v>
      </c>
      <c r="IP33" s="236"/>
      <c r="IR33" s="11"/>
      <c r="IY33"/>
    </row>
    <row r="34" spans="1:263">
      <c r="A34" s="11"/>
      <c r="B34" s="156"/>
      <c r="C34" s="826" t="s">
        <v>2343</v>
      </c>
      <c r="D34" s="47" t="s">
        <v>1150</v>
      </c>
      <c r="E34" s="396">
        <f t="shared" ref="E34" si="295">F34+O34</f>
        <v>5</v>
      </c>
      <c r="F34" s="242">
        <v>1</v>
      </c>
      <c r="G34" s="48">
        <f>'Update Stock Prices'!S34</f>
        <v>626917712.69177127</v>
      </c>
      <c r="H34" s="991">
        <f t="shared" ref="H34" si="296">F34/G34</f>
        <v>1.5951056729699666E-9</v>
      </c>
      <c r="I34" s="49">
        <f>'Update Stock Prices'!D34</f>
        <v>71.7</v>
      </c>
      <c r="J34" s="49">
        <f t="shared" si="1"/>
        <v>71.7</v>
      </c>
      <c r="K34" s="30">
        <v>76.62</v>
      </c>
      <c r="L34" s="49">
        <f t="shared" ref="L34" si="297">J34-K34</f>
        <v>-4.9200000000000017</v>
      </c>
      <c r="M34" s="50">
        <f t="shared" ref="M34" si="298">L34/K34</f>
        <v>-6.421299921691466E-2</v>
      </c>
      <c r="N34" s="49">
        <f t="shared" ref="N34" si="299">K34/F34</f>
        <v>76.62</v>
      </c>
      <c r="O34" s="48">
        <f t="shared" ref="O34" si="300">IF(INT(($B$11-$B$12)/I34)&lt;0,0,INT(($B$11-$B$12)/I34))</f>
        <v>4</v>
      </c>
      <c r="P34" s="49">
        <f>IF(($B$11-$B$12)-(O34*I34)&lt;0,0,($B$11-$B$12)-(O34*I34))</f>
        <v>34.20999999999998</v>
      </c>
      <c r="Q34" s="30">
        <f>0.755*4</f>
        <v>3.02</v>
      </c>
      <c r="R34" s="49">
        <f>S34/365.25</f>
        <v>8.2683093771389465E-3</v>
      </c>
      <c r="S34" s="49">
        <f t="shared" ref="S34" si="301">F34*Q34</f>
        <v>3.02</v>
      </c>
      <c r="T34" s="49">
        <f>S34/12</f>
        <v>0.25166666666666665</v>
      </c>
      <c r="U34" s="49" t="s">
        <v>54</v>
      </c>
      <c r="V34" s="50">
        <f t="shared" ref="V34" si="302">Q34/I34</f>
        <v>4.2119944211994421E-2</v>
      </c>
      <c r="W34" s="50">
        <f t="shared" ref="W34" si="303">S34/K34</f>
        <v>3.9415296267293135E-2</v>
      </c>
      <c r="X34" s="49">
        <f>12*((E34*Q34)/12-T34)</f>
        <v>12.079999999999998</v>
      </c>
      <c r="Y34" s="49">
        <f t="shared" ref="Y34" si="304">IF(U34="Q",3*T34,IF(U34="Y",12*T34,IF(U34="B",6*T34,IF(U34="M",T34,0))))</f>
        <v>0.75499999999999989</v>
      </c>
      <c r="Z34" s="860">
        <f t="shared" ref="Z34" si="305">IF(Y34/I34&gt;1,1,0)</f>
        <v>0</v>
      </c>
      <c r="AA34" s="860">
        <f t="shared" ref="AA34" si="306">IF(Z34=1,"",IF(AND(U34&lt;&gt;"",Z34=0),I34/(Y34/F34)-F34,""))</f>
        <v>93.966887417218558</v>
      </c>
      <c r="AB34" s="49">
        <f t="shared" ref="AB34" si="307">IF(AA34&lt;&gt;"",AA34*I34,"")</f>
        <v>6737.4258278145708</v>
      </c>
      <c r="AC34" s="48">
        <v>1</v>
      </c>
      <c r="AD34" s="47" t="str">
        <f t="shared" ref="AD34" si="308">D34</f>
        <v>D</v>
      </c>
      <c r="AE34" s="49">
        <f t="shared" ref="AE34" si="309">J34</f>
        <v>71.7</v>
      </c>
      <c r="AF34" s="50" t="e">
        <f t="shared" ref="AF34:AF65" si="310">(AE34/$AE$191)</f>
        <v>#REF!</v>
      </c>
      <c r="AG34" s="890" t="e">
        <f t="shared" ref="AG34" si="311">(100*AF34)^2</f>
        <v>#REF!</v>
      </c>
      <c r="AH34" s="207" t="s">
        <v>2397</v>
      </c>
      <c r="AI34" s="240">
        <f t="shared" ref="AI34:AI65" si="312">(100*(AE34/$AI$147))^2</f>
        <v>1.1670424239006926E-2</v>
      </c>
      <c r="AJ34" s="11">
        <f t="shared" ref="AJ34" si="313">LEN(D34)</f>
        <v>1</v>
      </c>
      <c r="AK34" s="11"/>
      <c r="AL34" s="11"/>
      <c r="AM34" s="11"/>
      <c r="AN34" s="11"/>
      <c r="AO34" s="11"/>
      <c r="AP34" s="11"/>
      <c r="AQ34" s="11" t="str">
        <f>'Update Stock Prices'!Q34</f>
        <v>big</v>
      </c>
      <c r="AR34" s="11"/>
      <c r="AS34" s="11"/>
      <c r="AT34" s="177" t="s">
        <v>1980</v>
      </c>
      <c r="AU34" s="11"/>
      <c r="AV34" s="836" t="s">
        <v>1704</v>
      </c>
      <c r="AW34" s="533" t="s">
        <v>1704</v>
      </c>
      <c r="AX34" s="420">
        <f t="shared" ref="AX34:AX62" si="314">AX33+1</f>
        <v>67</v>
      </c>
      <c r="AY34" s="19">
        <f t="shared" si="293"/>
        <v>5694.7497422087663</v>
      </c>
      <c r="AZ34" s="19">
        <f t="shared" si="291"/>
        <v>474.56247851739721</v>
      </c>
      <c r="BA34" s="19">
        <f t="shared" si="292"/>
        <v>15.591375064226602</v>
      </c>
      <c r="BB34" s="234">
        <f t="shared" si="294"/>
        <v>140774.21362740069</v>
      </c>
      <c r="BC34" s="19"/>
      <c r="BD34" s="932"/>
      <c r="BE34" s="593">
        <f t="shared" si="17"/>
        <v>0</v>
      </c>
      <c r="BF34" s="725">
        <f t="shared" si="221"/>
        <v>759068.23913527722</v>
      </c>
      <c r="BG34" s="420" t="str">
        <f t="shared" ca="1" si="18"/>
        <v/>
      </c>
      <c r="BH34" s="593">
        <f t="shared" ca="1" si="34"/>
        <v>35</v>
      </c>
      <c r="BI34" s="420">
        <f t="shared" ca="1" si="35"/>
        <v>69</v>
      </c>
      <c r="BJ34" s="420">
        <f t="shared" ca="1" si="35"/>
        <v>75</v>
      </c>
      <c r="BK34" s="420">
        <f t="shared" ca="1" si="36"/>
        <v>2049</v>
      </c>
      <c r="BL34" s="420" t="s">
        <v>1081</v>
      </c>
      <c r="BM34" s="19">
        <f t="shared" si="19"/>
        <v>1092153.8408146149</v>
      </c>
      <c r="BN34" s="19">
        <f>GU149</f>
        <v>333085.60167933773</v>
      </c>
      <c r="BO34" s="19">
        <f>GV149</f>
        <v>22497.284876220932</v>
      </c>
      <c r="BP34" s="183">
        <f t="shared" si="20"/>
        <v>6.7542051541090387E-2</v>
      </c>
      <c r="BQ34" s="19">
        <f t="shared" si="21"/>
        <v>1874.7737396850778</v>
      </c>
      <c r="BS34" s="420" t="str">
        <f t="shared" si="37"/>
        <v>D</v>
      </c>
      <c r="BT34" s="425">
        <f t="shared" si="38"/>
        <v>1</v>
      </c>
      <c r="BU34" s="19">
        <f t="shared" si="39"/>
        <v>71.7</v>
      </c>
      <c r="BV34" s="19">
        <f t="shared" si="40"/>
        <v>71.7</v>
      </c>
      <c r="BW34" s="539">
        <f t="shared" si="41"/>
        <v>3.02</v>
      </c>
      <c r="BX34" s="19">
        <f t="shared" si="42"/>
        <v>3.02</v>
      </c>
      <c r="BY34" s="10">
        <f t="shared" si="43"/>
        <v>4.2119944211994421E-2</v>
      </c>
      <c r="BZ34" s="10">
        <f t="shared" si="44"/>
        <v>1.0421199442119944</v>
      </c>
      <c r="CA34" s="539">
        <f t="shared" si="45"/>
        <v>74.72</v>
      </c>
      <c r="CB34" s="19">
        <f t="shared" si="46"/>
        <v>3.147202231520223</v>
      </c>
      <c r="CC34" s="10">
        <f t="shared" si="47"/>
        <v>4.389403391241594E-2</v>
      </c>
      <c r="CD34" s="10">
        <f t="shared" si="48"/>
        <v>1.0860139781244103</v>
      </c>
      <c r="CE34" s="539">
        <f t="shared" si="49"/>
        <v>77.867202231520224</v>
      </c>
      <c r="CF34" s="19">
        <f t="shared" si="50"/>
        <v>3.2797622139357188</v>
      </c>
      <c r="CG34" s="10">
        <f t="shared" si="51"/>
        <v>4.5742848172046283E-2</v>
      </c>
      <c r="CH34" s="10">
        <f t="shared" si="52"/>
        <v>1.1317568262964566</v>
      </c>
      <c r="CI34" s="539">
        <f t="shared" si="53"/>
        <v>81.146964445455936</v>
      </c>
      <c r="CJ34" s="19">
        <f t="shared" si="54"/>
        <v>3.4179056154152989</v>
      </c>
      <c r="CK34" s="10">
        <f t="shared" si="55"/>
        <v>4.7669534385150612E-2</v>
      </c>
      <c r="CL34" s="10">
        <f t="shared" si="56"/>
        <v>1.1794263606816071</v>
      </c>
      <c r="CM34" s="539">
        <f t="shared" si="57"/>
        <v>84.564870060871229</v>
      </c>
      <c r="CN34" s="19">
        <f t="shared" si="58"/>
        <v>3.5618676092584534</v>
      </c>
      <c r="CO34" s="10">
        <f t="shared" si="59"/>
        <v>4.9677372514064899E-2</v>
      </c>
      <c r="CP34" s="10">
        <f t="shared" si="60"/>
        <v>1.229103733195672</v>
      </c>
      <c r="CQ34" s="539">
        <f t="shared" si="61"/>
        <v>88.126737670129685</v>
      </c>
      <c r="CR34" s="19">
        <f t="shared" si="62"/>
        <v>3.7118932742509294</v>
      </c>
      <c r="CS34" s="10">
        <f t="shared" si="63"/>
        <v>5.1769780672955776E-2</v>
      </c>
      <c r="CT34" s="10">
        <f t="shared" si="64"/>
        <v>1.2808735138686278</v>
      </c>
      <c r="CU34" s="539">
        <f t="shared" si="65"/>
        <v>91.838630944380611</v>
      </c>
      <c r="CV34" s="19">
        <f t="shared" si="66"/>
        <v>3.868238011883256</v>
      </c>
      <c r="CW34" s="10">
        <f t="shared" si="67"/>
        <v>5.3950320946767862E-2</v>
      </c>
      <c r="CX34" s="10">
        <f t="shared" si="68"/>
        <v>1.3348238348153956</v>
      </c>
      <c r="CY34" s="539">
        <f t="shared" si="69"/>
        <v>95.706868956263861</v>
      </c>
      <c r="CZ34" s="19">
        <f t="shared" si="70"/>
        <v>4.0311679811424943</v>
      </c>
      <c r="DA34" s="10">
        <f t="shared" si="71"/>
        <v>5.6222705455264914E-2</v>
      </c>
      <c r="DB34" s="10">
        <f t="shared" si="72"/>
        <v>1.3910465402706604</v>
      </c>
      <c r="DC34" s="539">
        <f t="shared" si="73"/>
        <v>99.738036937406363</v>
      </c>
      <c r="DD34" s="19">
        <f t="shared" si="74"/>
        <v>4.2009605516173947</v>
      </c>
      <c r="DE34" s="10">
        <f t="shared" si="75"/>
        <v>5.859080267248807E-2</v>
      </c>
      <c r="DF34" s="10">
        <f t="shared" si="76"/>
        <v>1.4496373429431486</v>
      </c>
      <c r="DG34" s="539">
        <f t="shared" si="77"/>
        <v>103.93899748902376</v>
      </c>
      <c r="DH34" s="19">
        <f t="shared" si="78"/>
        <v>4.3779047756883092</v>
      </c>
      <c r="DI34" s="10">
        <f t="shared" si="79"/>
        <v>6.1058644012389245E-2</v>
      </c>
      <c r="DJ34" s="10">
        <f t="shared" si="80"/>
        <v>1.5106959869555379</v>
      </c>
      <c r="DK34" s="539">
        <f t="shared" si="81"/>
        <v>108.31690226471207</v>
      </c>
      <c r="DL34" s="19">
        <f t="shared" si="82"/>
        <v>4.5623018806057241</v>
      </c>
      <c r="DM34" s="10">
        <f t="shared" si="83"/>
        <v>6.3630430691851106E-2</v>
      </c>
      <c r="DN34" s="10">
        <f t="shared" si="84"/>
        <v>1.574326417647389</v>
      </c>
      <c r="DO34" s="539">
        <f t="shared" si="85"/>
        <v>112.8792041453178</v>
      </c>
      <c r="DP34" s="19">
        <f t="shared" si="86"/>
        <v>4.7544657812951145</v>
      </c>
      <c r="DQ34" s="10">
        <f t="shared" si="87"/>
        <v>6.6310540882777047E-2</v>
      </c>
      <c r="DR34" s="10">
        <f t="shared" si="88"/>
        <v>1.6406369585301661</v>
      </c>
      <c r="DS34" s="539">
        <f t="shared" si="89"/>
        <v>117.63366992661291</v>
      </c>
      <c r="DT34" s="19">
        <f t="shared" si="90"/>
        <v>4.954723614761102</v>
      </c>
      <c r="DU34" s="10">
        <f t="shared" si="91"/>
        <v>6.9103537165426804E-2</v>
      </c>
      <c r="DV34" s="10">
        <f t="shared" si="92"/>
        <v>1.7097404956955928</v>
      </c>
      <c r="DW34" s="539">
        <f t="shared" si="93"/>
        <v>122.58839354137402</v>
      </c>
      <c r="DX34" s="19">
        <f t="shared" si="94"/>
        <v>5.1634162970006905</v>
      </c>
      <c r="DY34" s="10">
        <f t="shared" si="95"/>
        <v>7.2014174295686059E-2</v>
      </c>
      <c r="DZ34" s="10">
        <f t="shared" si="96"/>
        <v>1.781754669991279</v>
      </c>
      <c r="EA34" s="539">
        <f t="shared" si="97"/>
        <v>127.75180983837471</v>
      </c>
      <c r="EB34" s="19">
        <f t="shared" si="98"/>
        <v>5.3808991033736628</v>
      </c>
      <c r="EC34" s="10">
        <f t="shared" si="99"/>
        <v>7.5047407299493205E-2</v>
      </c>
      <c r="ED34" s="10">
        <f t="shared" si="100"/>
        <v>1.8568020772907721</v>
      </c>
      <c r="EE34" s="539">
        <f t="shared" si="101"/>
        <v>133.13270894174838</v>
      </c>
      <c r="EF34" s="19">
        <f t="shared" si="102"/>
        <v>5.6075422734181313</v>
      </c>
      <c r="EG34" s="10">
        <f t="shared" si="103"/>
        <v>7.8208399908202664E-2</v>
      </c>
      <c r="EH34" s="10">
        <f t="shared" si="104"/>
        <v>1.9350104771989747</v>
      </c>
      <c r="EI34" s="539">
        <f t="shared" si="105"/>
        <v>138.7402512151665</v>
      </c>
      <c r="EJ34" s="19">
        <f t="shared" si="106"/>
        <v>5.8437316411409039</v>
      </c>
      <c r="EK34" s="10">
        <f t="shared" si="107"/>
        <v>8.1502533349245523E-2</v>
      </c>
      <c r="EL34" s="10">
        <f t="shared" si="108"/>
        <v>2.0165130105482203</v>
      </c>
      <c r="EM34" s="539">
        <f t="shared" si="109"/>
        <v>144.58398285630741</v>
      </c>
      <c r="EN34" s="19">
        <f t="shared" si="110"/>
        <v>6.0898692918556252</v>
      </c>
      <c r="EO34" s="10">
        <f t="shared" si="111"/>
        <v>8.4935415507051956E-2</v>
      </c>
      <c r="EP34" s="10">
        <f t="shared" si="112"/>
        <v>2.1014484260552724</v>
      </c>
      <c r="EQ34" s="539">
        <f t="shared" si="113"/>
        <v>150.67385214816304</v>
      </c>
      <c r="ER34" s="19">
        <f t="shared" si="114"/>
        <v>6.3463742466869224</v>
      </c>
      <c r="ES34" s="10">
        <f t="shared" si="115"/>
        <v>8.8512890469831546E-2</v>
      </c>
      <c r="ET34" s="10">
        <f t="shared" si="116"/>
        <v>2.1899613165251037</v>
      </c>
      <c r="EU34" s="539">
        <f t="shared" si="117"/>
        <v>157.02022639484994</v>
      </c>
      <c r="EV34" s="19">
        <f t="shared" si="118"/>
        <v>6.6136831759058134</v>
      </c>
      <c r="EW34" s="10">
        <f t="shared" si="119"/>
        <v>9.224104847846322E-2</v>
      </c>
      <c r="EX34" s="10">
        <f t="shared" si="120"/>
        <v>2.2822023650035668</v>
      </c>
      <c r="EY34" s="539">
        <f t="shared" si="121"/>
        <v>163.63390957075575</v>
      </c>
      <c r="EZ34" s="19">
        <f t="shared" si="122"/>
        <v>6.892251142310772</v>
      </c>
      <c r="FA34" s="10">
        <f t="shared" si="123"/>
        <v>9.6126236294431969E-2</v>
      </c>
      <c r="FB34" s="10">
        <f t="shared" si="124"/>
        <v>2.3783286012979987</v>
      </c>
      <c r="FC34" s="539">
        <f t="shared" si="125"/>
        <v>170.5261607130665</v>
      </c>
      <c r="FD34" s="19">
        <f t="shared" si="126"/>
        <v>7.1825523759199559</v>
      </c>
      <c r="FE34" s="10">
        <f t="shared" si="127"/>
        <v>0.10017506800446242</v>
      </c>
      <c r="FF34" s="10">
        <f t="shared" si="128"/>
        <v>2.4785036693024614</v>
      </c>
      <c r="FG34" s="539">
        <f t="shared" si="129"/>
        <v>177.70871308898649</v>
      </c>
      <c r="FH34" s="19">
        <f t="shared" si="130"/>
        <v>7.4850810812934334</v>
      </c>
      <c r="FI34" s="10">
        <f t="shared" si="131"/>
        <v>0.10439443628024314</v>
      </c>
      <c r="FJ34" s="10">
        <f t="shared" si="132"/>
        <v>2.5828981055827045</v>
      </c>
      <c r="FK34" s="539">
        <f t="shared" si="133"/>
        <v>185.19379417027992</v>
      </c>
      <c r="FL34" s="19">
        <f t="shared" si="134"/>
        <v>7.8003522788597675</v>
      </c>
      <c r="FM34" s="10">
        <f t="shared" si="135"/>
        <v>0.10879152411240958</v>
      </c>
      <c r="FN34" s="10">
        <f t="shared" si="136"/>
        <v>2.691689629695114</v>
      </c>
      <c r="FO34" s="539">
        <f t="shared" si="137"/>
        <v>192.99414644913969</v>
      </c>
      <c r="FP34" s="19">
        <f t="shared" si="138"/>
        <v>8.1289026816792447</v>
      </c>
      <c r="FQ34" s="10">
        <f t="shared" si="139"/>
        <v>0.11337381703876212</v>
      </c>
      <c r="FR34" s="10">
        <f t="shared" si="140"/>
        <v>2.8050634467338762</v>
      </c>
      <c r="FS34" s="539">
        <f t="shared" si="141"/>
        <v>201.12304913081894</v>
      </c>
      <c r="FT34" s="19">
        <f t="shared" si="142"/>
        <v>8.4712916091363066</v>
      </c>
      <c r="FU34" s="10">
        <f t="shared" si="143"/>
        <v>0.11814911588753566</v>
      </c>
      <c r="FV34" s="10">
        <f t="shared" si="144"/>
        <v>2.923212562621412</v>
      </c>
      <c r="FW34" s="539">
        <f t="shared" si="145"/>
        <v>209.59434073995524</v>
      </c>
      <c r="FX34" s="19">
        <f t="shared" si="146"/>
        <v>8.8281019391166637</v>
      </c>
      <c r="FY34" s="10">
        <f t="shared" si="147"/>
        <v>0.12312555005741511</v>
      </c>
      <c r="FZ34" s="10">
        <f t="shared" si="148"/>
        <v>3.0463381126788271</v>
      </c>
      <c r="GA34" s="539">
        <f t="shared" si="149"/>
        <v>218.42244267907191</v>
      </c>
      <c r="GB34" s="19">
        <f t="shared" si="150"/>
        <v>9.199941100290058</v>
      </c>
      <c r="GC34" s="10">
        <f t="shared" si="151"/>
        <v>0.12831159135690456</v>
      </c>
      <c r="GD34" s="10">
        <f t="shared" si="152"/>
        <v>3.1746497040357315</v>
      </c>
      <c r="GE34" s="539">
        <f t="shared" si="153"/>
        <v>227.62238377936197</v>
      </c>
      <c r="GF34" s="19">
        <f t="shared" si="154"/>
        <v>9.5874421061879094</v>
      </c>
      <c r="GG34" s="10">
        <f t="shared" si="155"/>
        <v>0.1337160684266096</v>
      </c>
      <c r="GH34" s="10">
        <f t="shared" si="156"/>
        <v>3.308365772462341</v>
      </c>
      <c r="GI34" s="539">
        <f t="shared" si="157"/>
        <v>237.20982588554986</v>
      </c>
      <c r="GJ34" s="19">
        <f t="shared" si="158"/>
        <v>9.9912646328362698</v>
      </c>
      <c r="GK34" s="10">
        <f t="shared" si="159"/>
        <v>0.13934818176898561</v>
      </c>
      <c r="GL34" s="10">
        <f t="shared" si="160"/>
        <v>3.4477139542313266</v>
      </c>
      <c r="GM34" s="539">
        <f t="shared" si="161"/>
        <v>247.20109051838614</v>
      </c>
      <c r="GN34" s="19">
        <f t="shared" si="162"/>
        <v>10.412096141778607</v>
      </c>
      <c r="GO34" s="10">
        <f t="shared" si="163"/>
        <v>0.14521751941113817</v>
      </c>
      <c r="GP34" s="10">
        <f t="shared" si="164"/>
        <v>3.5929314736424649</v>
      </c>
      <c r="GQ34" s="539">
        <f t="shared" si="165"/>
        <v>257.61318666016473</v>
      </c>
      <c r="GR34" s="19">
        <f t="shared" si="166"/>
        <v>10.850653050400243</v>
      </c>
      <c r="GS34" s="10">
        <f t="shared" si="167"/>
        <v>0.15133407322733952</v>
      </c>
      <c r="GT34" s="10">
        <f t="shared" si="168"/>
        <v>3.7442655468698045</v>
      </c>
      <c r="GU34" s="539">
        <f t="shared" si="169"/>
        <v>268.46383971056497</v>
      </c>
      <c r="GV34" s="19">
        <f t="shared" si="170"/>
        <v>11.30768195154681</v>
      </c>
      <c r="GW34" s="10">
        <f t="shared" si="171"/>
        <v>0.15770825594904894</v>
      </c>
      <c r="GX34" s="10">
        <f t="shared" si="172"/>
        <v>3.9019738028188535</v>
      </c>
      <c r="GY34" s="539">
        <f t="shared" si="173"/>
        <v>279.77152166211181</v>
      </c>
      <c r="GZ34" s="19">
        <f t="shared" si="174"/>
        <v>11.783960884512938</v>
      </c>
      <c r="HA34" s="10">
        <f t="shared" si="175"/>
        <v>0.16435091889139383</v>
      </c>
      <c r="HB34" s="10">
        <f t="shared" si="176"/>
        <v>4.0663247217102469</v>
      </c>
      <c r="HC34" s="539">
        <f t="shared" si="177"/>
        <v>291.55548254662472</v>
      </c>
      <c r="HD34" s="19">
        <f t="shared" si="178"/>
        <v>12.280300659564945</v>
      </c>
      <c r="HE34" s="10">
        <f t="shared" si="179"/>
        <v>0.17127337042628932</v>
      </c>
      <c r="HF34" s="10">
        <f t="shared" si="180"/>
        <v>4.2375980921365359</v>
      </c>
      <c r="HG34" s="539">
        <f t="shared" si="181"/>
        <v>303.83578320618966</v>
      </c>
      <c r="HH34" s="19">
        <f t="shared" si="182"/>
        <v>12.797546238252339</v>
      </c>
      <c r="HI34" s="10">
        <f t="shared" si="183"/>
        <v>0.1784873952336449</v>
      </c>
      <c r="HJ34" s="10">
        <f t="shared" si="184"/>
        <v>4.4160854873701805</v>
      </c>
      <c r="HK34" s="539">
        <f t="shared" si="185"/>
        <v>316.63332944444193</v>
      </c>
      <c r="HL34" s="19">
        <f t="shared" si="186"/>
        <v>13.336578171857946</v>
      </c>
      <c r="HM34" s="10">
        <f t="shared" si="187"/>
        <v>0.1860052743634302</v>
      </c>
      <c r="HN34" s="10">
        <f t="shared" si="188"/>
        <v>4.6020907617336109</v>
      </c>
      <c r="HO34" s="539">
        <f t="shared" si="189"/>
        <v>329.96990761629991</v>
      </c>
      <c r="HP34" s="19">
        <f t="shared" si="190"/>
        <v>13.898314100435504</v>
      </c>
      <c r="HQ34" s="10">
        <f t="shared" si="191"/>
        <v>0.19383980614275459</v>
      </c>
      <c r="HR34" s="10">
        <f t="shared" si="192"/>
        <v>4.7959305678763657</v>
      </c>
      <c r="HS34" s="539">
        <f t="shared" si="193"/>
        <v>343.86822171673543</v>
      </c>
      <c r="HT34" s="19">
        <f t="shared" si="194"/>
        <v>14.483710314986624</v>
      </c>
      <c r="HU34" s="10">
        <f t="shared" si="195"/>
        <v>0.20200432796355122</v>
      </c>
      <c r="HV34" s="10">
        <f t="shared" si="196"/>
        <v>4.9979348958399168</v>
      </c>
      <c r="HW34" s="539">
        <f t="shared" si="197"/>
        <v>358.35193203172207</v>
      </c>
      <c r="HX34" s="19">
        <f t="shared" si="198"/>
        <v>15.093763385436549</v>
      </c>
      <c r="HY34" s="10">
        <f t="shared" si="199"/>
        <v>0.21051273898795744</v>
      </c>
      <c r="HZ34" s="10">
        <f t="shared" si="200"/>
        <v>5.2084476348278743</v>
      </c>
      <c r="IA34" s="539">
        <f t="shared" si="201"/>
        <v>373.44569541715862</v>
      </c>
      <c r="IB34" s="19">
        <f t="shared" si="202"/>
        <v>15.72951185718018</v>
      </c>
      <c r="IF34" s="185"/>
      <c r="IG34" s="11"/>
      <c r="IH34" s="11"/>
      <c r="II34" s="11"/>
      <c r="IJ34" s="233"/>
      <c r="IK34" s="11"/>
      <c r="IL34" s="11"/>
      <c r="IM34" s="27"/>
      <c r="IP34" s="236"/>
      <c r="IY34"/>
    </row>
    <row r="35" spans="1:263">
      <c r="A35" s="11"/>
      <c r="B35" s="156"/>
      <c r="C35" s="177" t="s">
        <v>2342</v>
      </c>
      <c r="D35" s="47" t="s">
        <v>2130</v>
      </c>
      <c r="E35" s="396">
        <f t="shared" ref="E35" si="315">F35+O35</f>
        <v>24.036899999999999</v>
      </c>
      <c r="F35" s="242">
        <v>3.0369000000000002</v>
      </c>
      <c r="G35" s="48">
        <f>'Update Stock Prices'!S35</f>
        <v>365384615.38461536</v>
      </c>
      <c r="H35" s="991">
        <f t="shared" ref="H35" si="316">F35/G35</f>
        <v>8.3115157894736847E-9</v>
      </c>
      <c r="I35" s="49">
        <f>'Update Stock Prices'!D35</f>
        <v>15.08</v>
      </c>
      <c r="J35" s="49">
        <f t="shared" si="1"/>
        <v>45.796452000000002</v>
      </c>
      <c r="K35" s="30">
        <v>52.95</v>
      </c>
      <c r="L35" s="49">
        <f t="shared" ref="L35" si="317">J35-K35</f>
        <v>-7.1535480000000007</v>
      </c>
      <c r="M35" s="50">
        <f t="shared" ref="M35" si="318">L35/K35</f>
        <v>-0.1351000566572238</v>
      </c>
      <c r="N35" s="49">
        <f t="shared" ref="N35" si="319">K35/F35</f>
        <v>17.435542823273732</v>
      </c>
      <c r="O35" s="48">
        <f t="shared" ref="O35" si="320">IF(INT(($B$11-$B$12)/I35)&lt;0,0,INT(($B$11-$B$12)/I35))</f>
        <v>21</v>
      </c>
      <c r="P35" s="49">
        <f t="shared" ref="P35" si="321">IF(($B$11-$B$12)-(O35*I35)&lt;0,0,($B$11-$B$12)-(O35*I35))</f>
        <v>4.3299999999999841</v>
      </c>
      <c r="Q35" s="30">
        <f>0.19*4</f>
        <v>0.76</v>
      </c>
      <c r="R35" s="49">
        <f>S35/365.25</f>
        <v>6.3190800821355244E-3</v>
      </c>
      <c r="S35" s="49">
        <f t="shared" ref="S35" si="322">F35*Q35</f>
        <v>2.3080440000000002</v>
      </c>
      <c r="T35" s="49">
        <f>S35/12</f>
        <v>0.19233700000000001</v>
      </c>
      <c r="U35" s="49" t="s">
        <v>54</v>
      </c>
      <c r="V35" s="50">
        <f t="shared" ref="V35" si="323">Q35/I35</f>
        <v>5.0397877984084884E-2</v>
      </c>
      <c r="W35" s="50">
        <f t="shared" ref="W35" si="324">S35/K35</f>
        <v>4.3589121813031165E-2</v>
      </c>
      <c r="X35" s="49">
        <f t="shared" ref="X35" si="325">12*((E35*Q35)/12-T35)</f>
        <v>15.96</v>
      </c>
      <c r="Y35" s="49">
        <f t="shared" ref="Y35" si="326">IF(U35="Q",3*T35,IF(U35="Y",12*T35,IF(U35="B",6*T35,IF(U35="M",T35,0))))</f>
        <v>0.57701100000000005</v>
      </c>
      <c r="Z35" s="860">
        <f t="shared" ref="Z35" si="327">IF(Y35/I35&gt;1,1,0)</f>
        <v>0</v>
      </c>
      <c r="AA35" s="860">
        <f t="shared" ref="AA35" si="328">IF(Z35=1,"",IF(AND(U35&lt;&gt;"",Z35=0),I35/(Y35/F35)-F35,""))</f>
        <v>76.331521052631572</v>
      </c>
      <c r="AB35" s="49">
        <f t="shared" ref="AB35" si="329">IF(AA35&lt;&gt;"",AA35*I35,"")</f>
        <v>1151.0793374736841</v>
      </c>
      <c r="AC35" s="48">
        <v>1</v>
      </c>
      <c r="AD35" s="47" t="str">
        <f t="shared" ref="AD35" si="330">D35</f>
        <v>DDR</v>
      </c>
      <c r="AE35" s="49">
        <f t="shared" ref="AE35" si="331">J35</f>
        <v>45.796452000000002</v>
      </c>
      <c r="AF35" s="50" t="e">
        <f t="shared" si="310"/>
        <v>#REF!</v>
      </c>
      <c r="AG35" s="890" t="e">
        <f t="shared" si="15"/>
        <v>#REF!</v>
      </c>
      <c r="AH35" s="207" t="s">
        <v>2131</v>
      </c>
      <c r="AI35" s="240">
        <f t="shared" si="312"/>
        <v>4.7611514732058104E-3</v>
      </c>
      <c r="AJ35" s="11">
        <f t="shared" si="33"/>
        <v>3</v>
      </c>
      <c r="AK35" s="11">
        <v>1</v>
      </c>
      <c r="AL35" s="11"/>
      <c r="AM35" s="11"/>
      <c r="AN35" s="11"/>
      <c r="AO35" s="11"/>
      <c r="AP35" s="11"/>
      <c r="AQ35" s="11" t="str">
        <f>'Update Stock Prices'!Q35</f>
        <v>mid</v>
      </c>
      <c r="AR35" s="11"/>
      <c r="AS35" s="11"/>
      <c r="AT35" s="177" t="s">
        <v>2004</v>
      </c>
      <c r="AU35" s="11"/>
      <c r="AV35" s="836" t="s">
        <v>1705</v>
      </c>
      <c r="AW35" s="533" t="s">
        <v>1711</v>
      </c>
      <c r="AX35" s="420">
        <f t="shared" si="314"/>
        <v>68</v>
      </c>
      <c r="AY35" s="19">
        <f t="shared" si="293"/>
        <v>5630.9685450960278</v>
      </c>
      <c r="AZ35" s="19">
        <f t="shared" si="291"/>
        <v>469.2473787580023</v>
      </c>
      <c r="BA35" s="19">
        <f t="shared" si="292"/>
        <v>15.416751663507263</v>
      </c>
      <c r="BB35" s="234">
        <f t="shared" si="294"/>
        <v>139197.54243477382</v>
      </c>
      <c r="BC35" s="19"/>
      <c r="BD35" s="932"/>
      <c r="BE35" s="593">
        <f t="shared" si="17"/>
        <v>0</v>
      </c>
      <c r="BF35" s="725">
        <f t="shared" si="221"/>
        <v>785207.97391798277</v>
      </c>
      <c r="BG35" s="420" t="str">
        <f t="shared" ca="1" si="18"/>
        <v/>
      </c>
      <c r="BH35" s="593">
        <f t="shared" ca="1" si="34"/>
        <v>36</v>
      </c>
      <c r="BI35" s="420">
        <f t="shared" ca="1" si="35"/>
        <v>70</v>
      </c>
      <c r="BJ35" s="420">
        <f t="shared" ca="1" si="35"/>
        <v>76</v>
      </c>
      <c r="BK35" s="420">
        <f t="shared" ca="1" si="36"/>
        <v>2050</v>
      </c>
      <c r="BL35" s="420" t="s">
        <v>1082</v>
      </c>
      <c r="BM35" s="19">
        <f t="shared" si="19"/>
        <v>1140790.8604735413</v>
      </c>
      <c r="BN35" s="19">
        <f>GY149</f>
        <v>355582.88655555848</v>
      </c>
      <c r="BO35" s="19">
        <f>GZ149</f>
        <v>24404.06766184375</v>
      </c>
      <c r="BP35" s="183">
        <f t="shared" si="20"/>
        <v>6.8631164728538502E-2</v>
      </c>
      <c r="BQ35" s="19">
        <f t="shared" si="21"/>
        <v>2033.6723051536458</v>
      </c>
      <c r="BS35" s="420" t="str">
        <f t="shared" si="37"/>
        <v>DDR</v>
      </c>
      <c r="BT35" s="425">
        <f t="shared" si="38"/>
        <v>3.0369000000000002</v>
      </c>
      <c r="BU35" s="19">
        <f t="shared" si="39"/>
        <v>15.08</v>
      </c>
      <c r="BV35" s="19">
        <f t="shared" si="40"/>
        <v>45.796452000000002</v>
      </c>
      <c r="BW35" s="539">
        <f t="shared" si="41"/>
        <v>0.76</v>
      </c>
      <c r="BX35" s="19">
        <f t="shared" si="42"/>
        <v>2.3080440000000002</v>
      </c>
      <c r="BY35" s="10">
        <f t="shared" si="43"/>
        <v>0.15305331564986738</v>
      </c>
      <c r="BZ35" s="10">
        <f t="shared" si="44"/>
        <v>3.1899533156498676</v>
      </c>
      <c r="CA35" s="539">
        <f t="shared" si="45"/>
        <v>48.104496000000005</v>
      </c>
      <c r="CB35" s="19">
        <f t="shared" si="46"/>
        <v>2.4243645198938992</v>
      </c>
      <c r="CC35" s="10">
        <f t="shared" si="47"/>
        <v>0.16076687797704903</v>
      </c>
      <c r="CD35" s="10">
        <f t="shared" si="48"/>
        <v>3.3507201936269166</v>
      </c>
      <c r="CE35" s="539">
        <f t="shared" si="49"/>
        <v>50.528860519893904</v>
      </c>
      <c r="CF35" s="19">
        <f t="shared" si="50"/>
        <v>2.5465473471564568</v>
      </c>
      <c r="CG35" s="10">
        <f t="shared" si="51"/>
        <v>0.16886918747721863</v>
      </c>
      <c r="CH35" s="10">
        <f t="shared" si="52"/>
        <v>3.5195893811041352</v>
      </c>
      <c r="CI35" s="539">
        <f t="shared" si="53"/>
        <v>53.075407867050359</v>
      </c>
      <c r="CJ35" s="19">
        <f t="shared" si="54"/>
        <v>2.674887929639143</v>
      </c>
      <c r="CK35" s="10">
        <f t="shared" si="55"/>
        <v>0.17737983618296704</v>
      </c>
      <c r="CL35" s="10">
        <f t="shared" si="56"/>
        <v>3.6969692172871023</v>
      </c>
      <c r="CM35" s="539">
        <f t="shared" si="57"/>
        <v>55.7502957966895</v>
      </c>
      <c r="CN35" s="19">
        <f t="shared" si="58"/>
        <v>2.809696605138198</v>
      </c>
      <c r="CO35" s="10">
        <f t="shared" si="59"/>
        <v>0.18631940352375317</v>
      </c>
      <c r="CP35" s="10">
        <f t="shared" si="60"/>
        <v>3.8832886208108555</v>
      </c>
      <c r="CQ35" s="539">
        <f t="shared" si="61"/>
        <v>58.559992401827699</v>
      </c>
      <c r="CR35" s="19">
        <f t="shared" si="62"/>
        <v>2.95129935181625</v>
      </c>
      <c r="CS35" s="10">
        <f t="shared" si="63"/>
        <v>0.19570950608861074</v>
      </c>
      <c r="CT35" s="10">
        <f t="shared" si="64"/>
        <v>4.0789981268994664</v>
      </c>
      <c r="CU35" s="539">
        <f t="shared" si="65"/>
        <v>61.511291753643953</v>
      </c>
      <c r="CV35" s="19">
        <f t="shared" si="66"/>
        <v>3.1000385764435947</v>
      </c>
      <c r="CW35" s="10">
        <f t="shared" si="67"/>
        <v>0.20557284989679009</v>
      </c>
      <c r="CX35" s="10">
        <f t="shared" si="68"/>
        <v>4.2845709767962568</v>
      </c>
      <c r="CY35" s="539">
        <f t="shared" si="69"/>
        <v>64.611330330087554</v>
      </c>
      <c r="CZ35" s="19">
        <f t="shared" si="70"/>
        <v>3.256273942365155</v>
      </c>
      <c r="DA35" s="10">
        <f t="shared" si="71"/>
        <v>0.21593328530272912</v>
      </c>
      <c r="DB35" s="10">
        <f t="shared" si="72"/>
        <v>4.5005042620989855</v>
      </c>
      <c r="DC35" s="539">
        <f t="shared" si="73"/>
        <v>67.867604272452695</v>
      </c>
      <c r="DD35" s="19">
        <f t="shared" si="74"/>
        <v>3.4203832391952291</v>
      </c>
      <c r="DE35" s="10">
        <f t="shared" si="75"/>
        <v>0.22681586466811865</v>
      </c>
      <c r="DF35" s="10">
        <f t="shared" si="76"/>
        <v>4.7273201267671041</v>
      </c>
      <c r="DG35" s="539">
        <f t="shared" si="77"/>
        <v>71.287987511647927</v>
      </c>
      <c r="DH35" s="19">
        <f t="shared" si="78"/>
        <v>3.5927632963429992</v>
      </c>
      <c r="DI35" s="10">
        <f t="shared" si="79"/>
        <v>0.23824690294051717</v>
      </c>
      <c r="DJ35" s="10">
        <f t="shared" si="80"/>
        <v>4.9655670297076213</v>
      </c>
      <c r="DK35" s="539">
        <f t="shared" si="81"/>
        <v>74.880750807990935</v>
      </c>
      <c r="DL35" s="19">
        <f t="shared" si="82"/>
        <v>3.7738309425777921</v>
      </c>
      <c r="DM35" s="10">
        <f t="shared" si="83"/>
        <v>0.25025404128499945</v>
      </c>
      <c r="DN35" s="10">
        <f t="shared" si="84"/>
        <v>5.2158210709926207</v>
      </c>
      <c r="DO35" s="539">
        <f t="shared" si="85"/>
        <v>78.654581750568724</v>
      </c>
      <c r="DP35" s="19">
        <f t="shared" si="86"/>
        <v>3.9640240139543916</v>
      </c>
      <c r="DQ35" s="10">
        <f t="shared" si="87"/>
        <v>0.26286631392270504</v>
      </c>
      <c r="DR35" s="10">
        <f t="shared" si="88"/>
        <v>5.4786873849153261</v>
      </c>
      <c r="DS35" s="539">
        <f t="shared" si="89"/>
        <v>82.618605764523124</v>
      </c>
      <c r="DT35" s="19">
        <f t="shared" si="90"/>
        <v>4.1638024125356479</v>
      </c>
      <c r="DU35" s="10">
        <f t="shared" si="91"/>
        <v>0.27611421833790767</v>
      </c>
      <c r="DV35" s="10">
        <f t="shared" si="92"/>
        <v>5.7548016032532336</v>
      </c>
      <c r="DW35" s="539">
        <f t="shared" si="93"/>
        <v>86.78240817705877</v>
      </c>
      <c r="DX35" s="19">
        <f t="shared" si="94"/>
        <v>4.3736492184724574</v>
      </c>
      <c r="DY35" s="10">
        <f t="shared" si="95"/>
        <v>0.29002978902337251</v>
      </c>
      <c r="DZ35" s="10">
        <f t="shared" si="96"/>
        <v>6.0448313922766062</v>
      </c>
      <c r="EA35" s="539">
        <f t="shared" si="97"/>
        <v>91.156057395531221</v>
      </c>
      <c r="EB35" s="19">
        <f t="shared" si="98"/>
        <v>4.5940718581302207</v>
      </c>
      <c r="EC35" s="10">
        <f t="shared" si="99"/>
        <v>0.30464667494232234</v>
      </c>
      <c r="ED35" s="10">
        <f t="shared" si="100"/>
        <v>6.3494780672189286</v>
      </c>
      <c r="EE35" s="539">
        <f t="shared" si="101"/>
        <v>95.750129253661441</v>
      </c>
      <c r="EF35" s="19">
        <f t="shared" si="102"/>
        <v>4.8256033310863859</v>
      </c>
      <c r="EG35" s="10">
        <f t="shared" si="103"/>
        <v>0.32000022089432267</v>
      </c>
      <c r="EH35" s="10">
        <f t="shared" si="104"/>
        <v>6.6694782881132513</v>
      </c>
      <c r="EI35" s="539">
        <f t="shared" si="105"/>
        <v>100.57573258474783</v>
      </c>
      <c r="EJ35" s="19">
        <f t="shared" si="106"/>
        <v>5.0688034989660711</v>
      </c>
      <c r="EK35" s="10">
        <f t="shared" si="107"/>
        <v>0.33612755298183494</v>
      </c>
      <c r="EL35" s="10">
        <f t="shared" si="108"/>
        <v>7.0056058410950861</v>
      </c>
      <c r="EM35" s="539">
        <f t="shared" si="109"/>
        <v>105.6445360837139</v>
      </c>
      <c r="EN35" s="19">
        <f t="shared" si="110"/>
        <v>5.3242604392322654</v>
      </c>
      <c r="EO35" s="10">
        <f t="shared" si="111"/>
        <v>0.35306766838410247</v>
      </c>
      <c r="EP35" s="10">
        <f t="shared" si="112"/>
        <v>7.3586735094791882</v>
      </c>
      <c r="EQ35" s="539">
        <f t="shared" si="113"/>
        <v>110.96879652294616</v>
      </c>
      <c r="ER35" s="19">
        <f t="shared" si="114"/>
        <v>5.5925918672041828</v>
      </c>
      <c r="ES35" s="10">
        <f t="shared" si="115"/>
        <v>0.37086152965544977</v>
      </c>
      <c r="ET35" s="10">
        <f t="shared" si="116"/>
        <v>7.729535039134638</v>
      </c>
      <c r="EU35" s="539">
        <f t="shared" si="117"/>
        <v>116.56138839015034</v>
      </c>
      <c r="EV35" s="19">
        <f t="shared" si="118"/>
        <v>5.8744466297423248</v>
      </c>
      <c r="EW35" s="10">
        <f t="shared" si="119"/>
        <v>0.38955216377601626</v>
      </c>
      <c r="EX35" s="10">
        <f t="shared" si="120"/>
        <v>8.119087202910654</v>
      </c>
      <c r="EY35" s="539">
        <f t="shared" si="121"/>
        <v>122.43583501989266</v>
      </c>
      <c r="EZ35" s="19">
        <f t="shared" si="122"/>
        <v>6.1705062742120971</v>
      </c>
      <c r="FA35" s="10">
        <f t="shared" si="123"/>
        <v>0.40918476619443617</v>
      </c>
      <c r="FB35" s="10">
        <f t="shared" si="124"/>
        <v>8.5282719691050897</v>
      </c>
      <c r="FC35" s="539">
        <f t="shared" si="125"/>
        <v>128.60634129410477</v>
      </c>
      <c r="FD35" s="19">
        <f t="shared" si="126"/>
        <v>6.4814866965198679</v>
      </c>
      <c r="FE35" s="10">
        <f t="shared" si="127"/>
        <v>0.42980681011404959</v>
      </c>
      <c r="FF35" s="10">
        <f t="shared" si="128"/>
        <v>8.9580787792191394</v>
      </c>
      <c r="FG35" s="539">
        <f t="shared" si="129"/>
        <v>135.08782799062462</v>
      </c>
      <c r="FH35" s="19">
        <f t="shared" si="130"/>
        <v>6.8081398722065458</v>
      </c>
      <c r="FI35" s="10">
        <f t="shared" si="131"/>
        <v>0.4514681612869062</v>
      </c>
      <c r="FJ35" s="10">
        <f t="shared" si="132"/>
        <v>9.4095469405060452</v>
      </c>
      <c r="FK35" s="539">
        <f t="shared" si="133"/>
        <v>141.89596786283116</v>
      </c>
      <c r="FL35" s="19">
        <f t="shared" si="134"/>
        <v>7.1512556747845943</v>
      </c>
      <c r="FM35" s="10">
        <f t="shared" si="135"/>
        <v>0.47422119859314288</v>
      </c>
      <c r="FN35" s="10">
        <f t="shared" si="136"/>
        <v>9.8837681390991889</v>
      </c>
      <c r="FO35" s="539">
        <f t="shared" si="137"/>
        <v>149.04722353761576</v>
      </c>
      <c r="FP35" s="19">
        <f t="shared" si="138"/>
        <v>7.5116637857153838</v>
      </c>
      <c r="FQ35" s="10">
        <f t="shared" si="139"/>
        <v>0.49812094069730661</v>
      </c>
      <c r="FR35" s="10">
        <f t="shared" si="140"/>
        <v>10.381889079796496</v>
      </c>
      <c r="FS35" s="539">
        <f t="shared" si="141"/>
        <v>156.55888732333116</v>
      </c>
      <c r="FT35" s="19">
        <f t="shared" si="142"/>
        <v>7.890235700645337</v>
      </c>
      <c r="FU35" s="10">
        <f t="shared" si="143"/>
        <v>0.52322517908788702</v>
      </c>
      <c r="FV35" s="10">
        <f t="shared" si="144"/>
        <v>10.905114258884383</v>
      </c>
      <c r="FW35" s="539">
        <f t="shared" si="145"/>
        <v>164.44912302397651</v>
      </c>
      <c r="FX35" s="19">
        <f t="shared" si="146"/>
        <v>8.287886836752131</v>
      </c>
      <c r="FY35" s="10">
        <f t="shared" si="147"/>
        <v>0.54959461782175933</v>
      </c>
      <c r="FZ35" s="10">
        <f t="shared" si="148"/>
        <v>11.454708876706142</v>
      </c>
      <c r="GA35" s="539">
        <f t="shared" si="149"/>
        <v>172.73700986072862</v>
      </c>
      <c r="GB35" s="19">
        <f t="shared" si="150"/>
        <v>8.7055787462966681</v>
      </c>
      <c r="GC35" s="10">
        <f t="shared" si="151"/>
        <v>0.57729302031145013</v>
      </c>
      <c r="GD35" s="10">
        <f t="shared" si="152"/>
        <v>12.032001897017592</v>
      </c>
      <c r="GE35" s="539">
        <f t="shared" si="153"/>
        <v>181.4425886070253</v>
      </c>
      <c r="GF35" s="19">
        <f t="shared" si="154"/>
        <v>9.1443214417333696</v>
      </c>
      <c r="GG35" s="10">
        <f t="shared" si="155"/>
        <v>0.60638736351017042</v>
      </c>
      <c r="GH35" s="10">
        <f t="shared" si="156"/>
        <v>12.638389260527763</v>
      </c>
      <c r="GI35" s="539">
        <f t="shared" si="157"/>
        <v>190.58691004875865</v>
      </c>
      <c r="GJ35" s="19">
        <f t="shared" si="158"/>
        <v>9.6051758380011005</v>
      </c>
      <c r="GK35" s="10">
        <f t="shared" si="159"/>
        <v>0.63694799986744699</v>
      </c>
      <c r="GL35" s="10">
        <f t="shared" si="160"/>
        <v>13.27533726039521</v>
      </c>
      <c r="GM35" s="539">
        <f t="shared" si="161"/>
        <v>200.19208588675977</v>
      </c>
      <c r="GN35" s="19">
        <f t="shared" si="162"/>
        <v>10.089256317900359</v>
      </c>
      <c r="GO35" s="10">
        <f t="shared" si="163"/>
        <v>0.66904882744697336</v>
      </c>
      <c r="GP35" s="10">
        <f t="shared" si="164"/>
        <v>13.944386087842183</v>
      </c>
      <c r="GQ35" s="539">
        <f t="shared" si="165"/>
        <v>210.28134220466012</v>
      </c>
      <c r="GR35" s="19">
        <f t="shared" si="166"/>
        <v>10.59773342676006</v>
      </c>
      <c r="GS35" s="10">
        <f t="shared" si="167"/>
        <v>0.70276746861804107</v>
      </c>
      <c r="GT35" s="10">
        <f t="shared" si="168"/>
        <v>14.647153556460225</v>
      </c>
      <c r="GU35" s="539">
        <f t="shared" si="169"/>
        <v>220.87907563142019</v>
      </c>
      <c r="GV35" s="19">
        <f t="shared" si="170"/>
        <v>11.131836702909771</v>
      </c>
      <c r="GW35" s="10">
        <f t="shared" si="171"/>
        <v>0.73818545775263733</v>
      </c>
      <c r="GX35" s="10">
        <f t="shared" si="172"/>
        <v>15.385339014212862</v>
      </c>
      <c r="GY35" s="539">
        <f t="shared" si="173"/>
        <v>232.01091233432996</v>
      </c>
      <c r="GZ35" s="19">
        <f t="shared" si="174"/>
        <v>11.692857650801775</v>
      </c>
      <c r="HA35" s="10">
        <f t="shared" si="175"/>
        <v>0.7753884383820806</v>
      </c>
      <c r="HB35" s="10">
        <f t="shared" si="176"/>
        <v>16.160727452594944</v>
      </c>
      <c r="HC35" s="539">
        <f t="shared" si="177"/>
        <v>243.70376998513177</v>
      </c>
      <c r="HD35" s="19">
        <f t="shared" si="178"/>
        <v>12.282152863972158</v>
      </c>
      <c r="HE35" s="10">
        <f t="shared" si="179"/>
        <v>0.81446637028993085</v>
      </c>
      <c r="HF35" s="10">
        <f t="shared" si="180"/>
        <v>16.975193822884876</v>
      </c>
      <c r="HG35" s="539">
        <f t="shared" si="181"/>
        <v>255.98592284910393</v>
      </c>
      <c r="HH35" s="19">
        <f t="shared" si="182"/>
        <v>12.901147305392506</v>
      </c>
      <c r="HI35" s="10">
        <f t="shared" si="183"/>
        <v>0.85551374704194338</v>
      </c>
      <c r="HJ35" s="10">
        <f t="shared" si="184"/>
        <v>17.830707569926819</v>
      </c>
      <c r="HK35" s="539">
        <f t="shared" si="185"/>
        <v>268.88707015449643</v>
      </c>
      <c r="HL35" s="19">
        <f t="shared" si="186"/>
        <v>13.551337753144383</v>
      </c>
      <c r="HM35" s="10">
        <f t="shared" si="187"/>
        <v>0.89862982447907047</v>
      </c>
      <c r="HN35" s="10">
        <f t="shared" si="188"/>
        <v>18.729337394405889</v>
      </c>
      <c r="HO35" s="539">
        <f t="shared" si="189"/>
        <v>282.43840790764079</v>
      </c>
      <c r="HP35" s="19">
        <f t="shared" si="190"/>
        <v>14.234296419748475</v>
      </c>
      <c r="HQ35" s="10">
        <f t="shared" si="191"/>
        <v>0.94391886072602615</v>
      </c>
      <c r="HR35" s="10">
        <f t="shared" si="192"/>
        <v>19.673256255131914</v>
      </c>
      <c r="HS35" s="539">
        <f t="shared" si="193"/>
        <v>296.67270432738928</v>
      </c>
      <c r="HT35" s="19">
        <f t="shared" si="194"/>
        <v>14.951674753900255</v>
      </c>
      <c r="HU35" s="10">
        <f t="shared" si="195"/>
        <v>0.99149036829577286</v>
      </c>
      <c r="HV35" s="10">
        <f t="shared" si="196"/>
        <v>20.664746623427686</v>
      </c>
      <c r="HW35" s="539">
        <f t="shared" si="197"/>
        <v>311.62437908128948</v>
      </c>
      <c r="HX35" s="19">
        <f t="shared" si="198"/>
        <v>15.705207433805041</v>
      </c>
      <c r="HY35" s="10">
        <f t="shared" si="199"/>
        <v>1.0414593788995385</v>
      </c>
      <c r="HZ35" s="10">
        <f t="shared" si="200"/>
        <v>21.706206002327225</v>
      </c>
      <c r="IA35" s="539">
        <f t="shared" si="201"/>
        <v>327.32958651509455</v>
      </c>
      <c r="IB35" s="19">
        <f t="shared" si="202"/>
        <v>16.49671656176869</v>
      </c>
      <c r="IF35" s="185" t="s">
        <v>1356</v>
      </c>
      <c r="IG35" s="11" t="s">
        <v>1403</v>
      </c>
      <c r="IH35" s="11" t="s">
        <v>1404</v>
      </c>
      <c r="II35" s="11" t="s">
        <v>1405</v>
      </c>
      <c r="IJ35" s="11"/>
      <c r="IK35" s="11"/>
      <c r="IL35" s="11"/>
      <c r="IM35" s="15">
        <f>IM31+IM33</f>
        <v>1</v>
      </c>
      <c r="IP35" s="236"/>
      <c r="IY35"/>
    </row>
    <row r="36" spans="1:263">
      <c r="A36" s="20"/>
      <c r="B36" s="56"/>
      <c r="C36" s="1214" t="s">
        <v>2342</v>
      </c>
      <c r="D36" s="47" t="s">
        <v>336</v>
      </c>
      <c r="E36" s="396">
        <f t="shared" si="0"/>
        <v>148.44999999999999</v>
      </c>
      <c r="F36" s="242">
        <v>55.45</v>
      </c>
      <c r="G36" s="48">
        <f>'Update Stock Prices'!S36</f>
        <v>72707602.339181289</v>
      </c>
      <c r="H36" s="991">
        <f t="shared" si="27"/>
        <v>7.6264377061047218E-7</v>
      </c>
      <c r="I36" s="49">
        <f>'Update Stock Prices'!D36</f>
        <v>3.42</v>
      </c>
      <c r="J36" s="49">
        <f t="shared" si="1"/>
        <v>189.63900000000001</v>
      </c>
      <c r="K36" s="30">
        <v>219.88</v>
      </c>
      <c r="L36" s="49">
        <f t="shared" si="28"/>
        <v>-30.240999999999985</v>
      </c>
      <c r="M36" s="50">
        <f t="shared" si="29"/>
        <v>-0.13753410951428047</v>
      </c>
      <c r="N36" s="49">
        <f t="shared" si="30"/>
        <v>3.9653742110009014</v>
      </c>
      <c r="O36" s="48">
        <f t="shared" si="2"/>
        <v>93</v>
      </c>
      <c r="P36" s="49">
        <f>IF(($B$11-$B$12)-(O36*I36)&lt;0,0,($B$11-$B$12)-(O36*I36))</f>
        <v>2.9499999999999886</v>
      </c>
      <c r="Q36" s="30">
        <f>0.0265*12</f>
        <v>0.318</v>
      </c>
      <c r="R36" s="49">
        <f t="shared" si="242"/>
        <v>4.8276796714579059E-2</v>
      </c>
      <c r="S36" s="49">
        <f t="shared" si="4"/>
        <v>17.633100000000002</v>
      </c>
      <c r="T36" s="49">
        <f t="shared" si="31"/>
        <v>1.4694250000000002</v>
      </c>
      <c r="U36" s="49" t="s">
        <v>56</v>
      </c>
      <c r="V36" s="50">
        <f t="shared" si="6"/>
        <v>9.2982456140350875E-2</v>
      </c>
      <c r="W36" s="50">
        <f t="shared" si="7"/>
        <v>8.0194196834637091E-2</v>
      </c>
      <c r="X36" s="49">
        <f>12*((E36*Q36)/12-T36)</f>
        <v>29.573999999999998</v>
      </c>
      <c r="Y36" s="49">
        <f t="shared" si="32"/>
        <v>1.4694250000000002</v>
      </c>
      <c r="Z36" s="860">
        <f t="shared" si="9"/>
        <v>0</v>
      </c>
      <c r="AA36" s="860">
        <f t="shared" si="10"/>
        <v>73.606603773584894</v>
      </c>
      <c r="AB36" s="49">
        <f t="shared" si="11"/>
        <v>251.73458490566034</v>
      </c>
      <c r="AC36" s="48">
        <v>1</v>
      </c>
      <c r="AD36" s="47" t="str">
        <f t="shared" si="12"/>
        <v>DHF</v>
      </c>
      <c r="AE36" s="49">
        <f t="shared" si="13"/>
        <v>189.63900000000001</v>
      </c>
      <c r="AF36" s="50" t="e">
        <f t="shared" si="310"/>
        <v>#REF!</v>
      </c>
      <c r="AG36" s="890" t="e">
        <f t="shared" ref="AG36:AG68" si="332">(100*AF36)^2</f>
        <v>#REF!</v>
      </c>
      <c r="AH36" s="207" t="s">
        <v>338</v>
      </c>
      <c r="AI36" s="240">
        <f t="shared" si="312"/>
        <v>8.1640122066879539E-2</v>
      </c>
      <c r="AJ36" s="11">
        <f t="shared" si="33"/>
        <v>3</v>
      </c>
      <c r="AK36" s="11"/>
      <c r="AL36" s="11"/>
      <c r="AM36" s="11"/>
      <c r="AN36" s="11"/>
      <c r="AO36" s="11"/>
      <c r="AP36" s="11"/>
      <c r="AQ36" s="11" t="str">
        <f>'Update Stock Prices'!Q36</f>
        <v>micro</v>
      </c>
      <c r="AR36" s="11"/>
      <c r="AS36" s="11"/>
      <c r="AT36" s="177" t="s">
        <v>2006</v>
      </c>
      <c r="AU36" s="11"/>
      <c r="AV36" s="836" t="s">
        <v>1706</v>
      </c>
      <c r="AW36" s="533" t="s">
        <v>1706</v>
      </c>
      <c r="AX36" s="420">
        <f t="shared" si="314"/>
        <v>69</v>
      </c>
      <c r="AY36" s="19">
        <f t="shared" si="293"/>
        <v>5567.9016973909529</v>
      </c>
      <c r="AZ36" s="19">
        <f t="shared" si="291"/>
        <v>463.99180811591276</v>
      </c>
      <c r="BA36" s="19">
        <f t="shared" si="292"/>
        <v>15.244084044875983</v>
      </c>
      <c r="BB36" s="234">
        <f t="shared" si="294"/>
        <v>137638.52995950435</v>
      </c>
      <c r="BC36" s="19"/>
      <c r="BD36" s="932"/>
      <c r="BE36" s="593">
        <f t="shared" si="17"/>
        <v>0</v>
      </c>
      <c r="BF36" s="725">
        <f t="shared" si="221"/>
        <v>811870.50339634239</v>
      </c>
      <c r="BG36" s="420" t="str">
        <f t="shared" ca="1" si="18"/>
        <v/>
      </c>
      <c r="BH36" s="593">
        <f t="shared" ca="1" si="34"/>
        <v>37</v>
      </c>
      <c r="BI36" s="420">
        <f t="shared" ca="1" si="35"/>
        <v>71</v>
      </c>
      <c r="BJ36" s="420">
        <f t="shared" ca="1" si="35"/>
        <v>77</v>
      </c>
      <c r="BK36" s="420">
        <f t="shared" ca="1" si="36"/>
        <v>2051</v>
      </c>
      <c r="BL36" s="420" t="s">
        <v>1083</v>
      </c>
      <c r="BM36" s="19">
        <f t="shared" si="19"/>
        <v>1191857.4576137448</v>
      </c>
      <c r="BN36" s="19">
        <f>HC149</f>
        <v>379986.95421740226</v>
      </c>
      <c r="BO36" s="19">
        <f>HD149</f>
        <v>26495.8602277424</v>
      </c>
      <c r="BP36" s="183">
        <f t="shared" si="20"/>
        <v>6.972834181192257E-2</v>
      </c>
      <c r="BQ36" s="19">
        <f t="shared" si="21"/>
        <v>2207.9883523118665</v>
      </c>
      <c r="BS36" s="420" t="str">
        <f t="shared" si="37"/>
        <v>DHF</v>
      </c>
      <c r="BT36" s="425">
        <f t="shared" si="38"/>
        <v>55.45</v>
      </c>
      <c r="BU36" s="19">
        <f t="shared" si="39"/>
        <v>3.42</v>
      </c>
      <c r="BV36" s="19">
        <f t="shared" si="40"/>
        <v>189.63900000000001</v>
      </c>
      <c r="BW36" s="539">
        <f t="shared" si="41"/>
        <v>0.318</v>
      </c>
      <c r="BX36" s="19">
        <f t="shared" si="42"/>
        <v>17.633100000000002</v>
      </c>
      <c r="BY36" s="10">
        <f t="shared" si="43"/>
        <v>5.1558771929824569</v>
      </c>
      <c r="BZ36" s="10">
        <f t="shared" si="44"/>
        <v>60.605877192982462</v>
      </c>
      <c r="CA36" s="539">
        <f t="shared" si="45"/>
        <v>207.27210000000002</v>
      </c>
      <c r="CB36" s="19">
        <f t="shared" si="46"/>
        <v>19.272668947368423</v>
      </c>
      <c r="CC36" s="10">
        <f t="shared" si="47"/>
        <v>5.6352833179439834</v>
      </c>
      <c r="CD36" s="10">
        <f t="shared" si="48"/>
        <v>66.241160510926449</v>
      </c>
      <c r="CE36" s="539">
        <f t="shared" si="49"/>
        <v>226.54476894736845</v>
      </c>
      <c r="CF36" s="19">
        <f t="shared" si="50"/>
        <v>21.064689042474612</v>
      </c>
      <c r="CG36" s="10">
        <f t="shared" si="51"/>
        <v>6.1592658018931612</v>
      </c>
      <c r="CH36" s="10">
        <f t="shared" si="52"/>
        <v>72.400426312819604</v>
      </c>
      <c r="CI36" s="539">
        <f t="shared" si="53"/>
        <v>247.60945798984304</v>
      </c>
      <c r="CJ36" s="19">
        <f t="shared" si="54"/>
        <v>23.023335567476636</v>
      </c>
      <c r="CK36" s="10">
        <f t="shared" si="55"/>
        <v>6.7319694641744547</v>
      </c>
      <c r="CL36" s="10">
        <f t="shared" si="56"/>
        <v>79.132395776994059</v>
      </c>
      <c r="CM36" s="539">
        <f t="shared" si="57"/>
        <v>270.6327935573197</v>
      </c>
      <c r="CN36" s="19">
        <f t="shared" si="58"/>
        <v>25.164101857084113</v>
      </c>
      <c r="CO36" s="10">
        <f t="shared" si="59"/>
        <v>7.3579245196152376</v>
      </c>
      <c r="CP36" s="10">
        <f t="shared" si="60"/>
        <v>86.490320296609298</v>
      </c>
      <c r="CQ36" s="539">
        <f t="shared" si="61"/>
        <v>295.79689541440376</v>
      </c>
      <c r="CR36" s="19">
        <f t="shared" si="62"/>
        <v>27.503921854321757</v>
      </c>
      <c r="CS36" s="10">
        <f t="shared" si="63"/>
        <v>8.0420824135443727</v>
      </c>
      <c r="CT36" s="10">
        <f t="shared" si="64"/>
        <v>94.532402710153676</v>
      </c>
      <c r="CU36" s="539">
        <f t="shared" si="65"/>
        <v>323.30081726872555</v>
      </c>
      <c r="CV36" s="19">
        <f t="shared" si="66"/>
        <v>30.061304061828871</v>
      </c>
      <c r="CW36" s="10">
        <f t="shared" si="67"/>
        <v>8.7898549888388509</v>
      </c>
      <c r="CX36" s="10">
        <f t="shared" si="68"/>
        <v>103.32225769899253</v>
      </c>
      <c r="CY36" s="539">
        <f t="shared" si="69"/>
        <v>353.36212133055443</v>
      </c>
      <c r="CZ36" s="19">
        <f t="shared" si="70"/>
        <v>32.856477948279625</v>
      </c>
      <c r="DA36" s="10">
        <f t="shared" si="71"/>
        <v>9.6071572948186041</v>
      </c>
      <c r="DB36" s="10">
        <f t="shared" si="72"/>
        <v>112.92941499381114</v>
      </c>
      <c r="DC36" s="539">
        <f t="shared" si="73"/>
        <v>386.21859927883406</v>
      </c>
      <c r="DD36" s="19">
        <f t="shared" si="74"/>
        <v>35.911553968031939</v>
      </c>
      <c r="DE36" s="10">
        <f t="shared" si="75"/>
        <v>10.500454376617526</v>
      </c>
      <c r="DF36" s="10">
        <f t="shared" si="76"/>
        <v>123.42986937042866</v>
      </c>
      <c r="DG36" s="539">
        <f t="shared" si="77"/>
        <v>422.13015324686603</v>
      </c>
      <c r="DH36" s="19">
        <f t="shared" si="78"/>
        <v>39.250698459796318</v>
      </c>
      <c r="DI36" s="10">
        <f t="shared" si="79"/>
        <v>11.476812415145123</v>
      </c>
      <c r="DJ36" s="10">
        <f t="shared" si="80"/>
        <v>134.9066817855738</v>
      </c>
      <c r="DK36" s="539">
        <f t="shared" si="81"/>
        <v>461.38085170666238</v>
      </c>
      <c r="DL36" s="19">
        <f t="shared" si="82"/>
        <v>42.900324807812467</v>
      </c>
      <c r="DM36" s="10">
        <f t="shared" si="83"/>
        <v>12.543954622167389</v>
      </c>
      <c r="DN36" s="10">
        <f t="shared" si="84"/>
        <v>147.45063640774117</v>
      </c>
      <c r="DO36" s="539">
        <f t="shared" si="85"/>
        <v>504.28117651447479</v>
      </c>
      <c r="DP36" s="19">
        <f t="shared" si="86"/>
        <v>46.889302377661693</v>
      </c>
      <c r="DQ36" s="10">
        <f t="shared" si="87"/>
        <v>13.710322332649618</v>
      </c>
      <c r="DR36" s="10">
        <f t="shared" si="88"/>
        <v>161.16095874039078</v>
      </c>
      <c r="DS36" s="539">
        <f t="shared" si="89"/>
        <v>551.17047889213643</v>
      </c>
      <c r="DT36" s="19">
        <f t="shared" si="90"/>
        <v>51.249184879444272</v>
      </c>
      <c r="DU36" s="10">
        <f t="shared" si="91"/>
        <v>14.985141777615285</v>
      </c>
      <c r="DV36" s="10">
        <f t="shared" si="92"/>
        <v>176.14610051800608</v>
      </c>
      <c r="DW36" s="539">
        <f t="shared" si="93"/>
        <v>602.41966377158076</v>
      </c>
      <c r="DX36" s="19">
        <f t="shared" si="94"/>
        <v>56.014459964725937</v>
      </c>
      <c r="DY36" s="10">
        <f t="shared" si="95"/>
        <v>16.37849706570934</v>
      </c>
      <c r="DZ36" s="10">
        <f t="shared" si="96"/>
        <v>192.52459758371543</v>
      </c>
      <c r="EA36" s="539">
        <f t="shared" si="97"/>
        <v>658.43412373630679</v>
      </c>
      <c r="EB36" s="19">
        <f t="shared" si="98"/>
        <v>61.222822031621511</v>
      </c>
      <c r="EC36" s="10">
        <f t="shared" si="99"/>
        <v>17.901409950766524</v>
      </c>
      <c r="ED36" s="10">
        <f t="shared" si="100"/>
        <v>210.42600753448195</v>
      </c>
      <c r="EE36" s="539">
        <f t="shared" si="101"/>
        <v>719.65694576792828</v>
      </c>
      <c r="EF36" s="19">
        <f t="shared" si="102"/>
        <v>66.915470395965258</v>
      </c>
      <c r="EG36" s="10">
        <f t="shared" si="103"/>
        <v>19.56592701636411</v>
      </c>
      <c r="EH36" s="10">
        <f t="shared" si="104"/>
        <v>229.99193455084605</v>
      </c>
      <c r="EI36" s="539">
        <f t="shared" si="105"/>
        <v>786.57241616389354</v>
      </c>
      <c r="EJ36" s="19">
        <f t="shared" si="106"/>
        <v>73.137435187169046</v>
      </c>
      <c r="EK36" s="10">
        <f t="shared" si="107"/>
        <v>21.385214967008494</v>
      </c>
      <c r="EL36" s="10">
        <f t="shared" si="108"/>
        <v>251.37714951785455</v>
      </c>
      <c r="EM36" s="539">
        <f t="shared" si="109"/>
        <v>859.70985135106253</v>
      </c>
      <c r="EN36" s="19">
        <f t="shared" si="110"/>
        <v>79.937933546677741</v>
      </c>
      <c r="EO36" s="10">
        <f t="shared" si="111"/>
        <v>23.373664779730333</v>
      </c>
      <c r="EP36" s="10">
        <f t="shared" si="112"/>
        <v>274.7508142975849</v>
      </c>
      <c r="EQ36" s="539">
        <f t="shared" si="113"/>
        <v>939.64778489774028</v>
      </c>
      <c r="ER36" s="19">
        <f t="shared" si="114"/>
        <v>87.370758946631994</v>
      </c>
      <c r="ES36" s="10">
        <f t="shared" si="115"/>
        <v>25.547005539950877</v>
      </c>
      <c r="ET36" s="10">
        <f t="shared" si="116"/>
        <v>300.29781983753577</v>
      </c>
      <c r="EU36" s="539">
        <f t="shared" si="117"/>
        <v>1027.0185438443723</v>
      </c>
      <c r="EV36" s="19">
        <f t="shared" si="118"/>
        <v>95.494706708336381</v>
      </c>
      <c r="EW36" s="10">
        <f t="shared" si="119"/>
        <v>27.922428862086662</v>
      </c>
      <c r="EX36" s="10">
        <f t="shared" si="120"/>
        <v>328.2202486996224</v>
      </c>
      <c r="EY36" s="539">
        <f t="shared" si="121"/>
        <v>1122.5132505527085</v>
      </c>
      <c r="EZ36" s="19">
        <f t="shared" si="122"/>
        <v>104.37403908647993</v>
      </c>
      <c r="FA36" s="10">
        <f t="shared" si="123"/>
        <v>30.518724879087699</v>
      </c>
      <c r="FB36" s="10">
        <f t="shared" si="124"/>
        <v>358.7389735787101</v>
      </c>
      <c r="FC36" s="539">
        <f t="shared" si="125"/>
        <v>1226.8872896391886</v>
      </c>
      <c r="FD36" s="19">
        <f t="shared" si="126"/>
        <v>114.07899359802981</v>
      </c>
      <c r="FE36" s="10">
        <f t="shared" si="127"/>
        <v>33.356430876616905</v>
      </c>
      <c r="FF36" s="10">
        <f t="shared" si="128"/>
        <v>392.09540445532701</v>
      </c>
      <c r="FG36" s="539">
        <f t="shared" si="129"/>
        <v>1340.9662832372182</v>
      </c>
      <c r="FH36" s="19">
        <f t="shared" si="130"/>
        <v>124.68633861679399</v>
      </c>
      <c r="FI36" s="10">
        <f t="shared" si="131"/>
        <v>36.457993747600582</v>
      </c>
      <c r="FJ36" s="10">
        <f t="shared" si="132"/>
        <v>428.55339820292761</v>
      </c>
      <c r="FK36" s="539">
        <f t="shared" si="133"/>
        <v>1465.6526218540123</v>
      </c>
      <c r="FL36" s="19">
        <f t="shared" si="134"/>
        <v>136.27998062853098</v>
      </c>
      <c r="FM36" s="10">
        <f t="shared" si="135"/>
        <v>39.847947552202044</v>
      </c>
      <c r="FN36" s="10">
        <f t="shared" si="136"/>
        <v>468.40134575512968</v>
      </c>
      <c r="FO36" s="539">
        <f t="shared" si="137"/>
        <v>1601.9326024825434</v>
      </c>
      <c r="FP36" s="19">
        <f t="shared" si="138"/>
        <v>148.95162795013124</v>
      </c>
      <c r="FQ36" s="10">
        <f t="shared" si="139"/>
        <v>43.553107587757673</v>
      </c>
      <c r="FR36" s="10">
        <f t="shared" si="140"/>
        <v>511.95445334288735</v>
      </c>
      <c r="FS36" s="539">
        <f t="shared" si="141"/>
        <v>1750.8842304326747</v>
      </c>
      <c r="FT36" s="19">
        <f t="shared" si="142"/>
        <v>162.80151616303817</v>
      </c>
      <c r="FU36" s="10">
        <f t="shared" si="143"/>
        <v>47.602782503812335</v>
      </c>
      <c r="FV36" s="10">
        <f t="shared" si="144"/>
        <v>559.55723584669965</v>
      </c>
      <c r="FW36" s="539">
        <f t="shared" si="145"/>
        <v>1913.6857465957128</v>
      </c>
      <c r="FX36" s="19">
        <f t="shared" si="146"/>
        <v>177.93920099925049</v>
      </c>
      <c r="FY36" s="10">
        <f t="shared" si="147"/>
        <v>52.02900614013172</v>
      </c>
      <c r="FZ36" s="10">
        <f t="shared" si="148"/>
        <v>611.5862419868314</v>
      </c>
      <c r="GA36" s="539">
        <f t="shared" si="149"/>
        <v>2091.6249475949635</v>
      </c>
      <c r="GB36" s="19">
        <f t="shared" si="150"/>
        <v>194.4844249518124</v>
      </c>
      <c r="GC36" s="10">
        <f t="shared" si="151"/>
        <v>56.866790921582577</v>
      </c>
      <c r="GD36" s="10">
        <f t="shared" si="152"/>
        <v>668.453032908414</v>
      </c>
      <c r="GE36" s="539">
        <f t="shared" si="153"/>
        <v>2286.1093725467758</v>
      </c>
      <c r="GF36" s="19">
        <f t="shared" si="154"/>
        <v>212.56806446487565</v>
      </c>
      <c r="GG36" s="10">
        <f t="shared" si="155"/>
        <v>62.154404814291127</v>
      </c>
      <c r="GH36" s="10">
        <f t="shared" si="156"/>
        <v>730.60743772270507</v>
      </c>
      <c r="GI36" s="539">
        <f t="shared" si="157"/>
        <v>2498.6774370116514</v>
      </c>
      <c r="GJ36" s="19">
        <f t="shared" si="158"/>
        <v>232.33316519582021</v>
      </c>
      <c r="GK36" s="10">
        <f t="shared" si="159"/>
        <v>67.933674033865557</v>
      </c>
      <c r="GL36" s="10">
        <f t="shared" si="160"/>
        <v>798.54111175657067</v>
      </c>
      <c r="GM36" s="539">
        <f t="shared" si="161"/>
        <v>2731.0106022074715</v>
      </c>
      <c r="GN36" s="19">
        <f t="shared" si="162"/>
        <v>253.93607353858948</v>
      </c>
      <c r="GO36" s="10">
        <f t="shared" si="163"/>
        <v>74.250313900172358</v>
      </c>
      <c r="GP36" s="10">
        <f t="shared" si="164"/>
        <v>872.79142565674306</v>
      </c>
      <c r="GQ36" s="539">
        <f t="shared" si="165"/>
        <v>2984.9466757460614</v>
      </c>
      <c r="GR36" s="19">
        <f t="shared" si="166"/>
        <v>277.54767335884429</v>
      </c>
      <c r="GS36" s="10">
        <f t="shared" si="167"/>
        <v>81.154290455802425</v>
      </c>
      <c r="GT36" s="10">
        <f t="shared" si="168"/>
        <v>953.94571611254548</v>
      </c>
      <c r="GU36" s="539">
        <f t="shared" si="169"/>
        <v>3262.4943491049053</v>
      </c>
      <c r="GV36" s="19">
        <f t="shared" si="170"/>
        <v>303.35473772378947</v>
      </c>
      <c r="GW36" s="10">
        <f t="shared" si="171"/>
        <v>88.700215708710374</v>
      </c>
      <c r="GX36" s="10">
        <f t="shared" si="172"/>
        <v>1042.6459318212558</v>
      </c>
      <c r="GY36" s="539">
        <f t="shared" si="173"/>
        <v>3565.8490868286945</v>
      </c>
      <c r="GZ36" s="19">
        <f t="shared" si="174"/>
        <v>331.56140631915935</v>
      </c>
      <c r="HA36" s="10">
        <f t="shared" si="175"/>
        <v>96.947779625485197</v>
      </c>
      <c r="HB36" s="10">
        <f t="shared" si="176"/>
        <v>1139.5937114467411</v>
      </c>
      <c r="HC36" s="539">
        <f t="shared" si="177"/>
        <v>3897.4104931478541</v>
      </c>
      <c r="HD36" s="19">
        <f t="shared" si="178"/>
        <v>362.39080024006364</v>
      </c>
      <c r="HE36" s="10">
        <f t="shared" si="179"/>
        <v>105.96222229241627</v>
      </c>
      <c r="HF36" s="10">
        <f t="shared" si="180"/>
        <v>1245.5559337391574</v>
      </c>
      <c r="HG36" s="539">
        <f t="shared" si="181"/>
        <v>4259.8012933879181</v>
      </c>
      <c r="HH36" s="19">
        <f t="shared" si="182"/>
        <v>396.08678692905204</v>
      </c>
      <c r="HI36" s="10">
        <f t="shared" si="183"/>
        <v>115.81484997925499</v>
      </c>
      <c r="HJ36" s="10">
        <f t="shared" si="184"/>
        <v>1361.3707837184124</v>
      </c>
      <c r="HK36" s="539">
        <f t="shared" si="185"/>
        <v>4655.8880803169704</v>
      </c>
      <c r="HL36" s="19">
        <f t="shared" si="186"/>
        <v>432.91590922245518</v>
      </c>
      <c r="HM36" s="10">
        <f t="shared" si="187"/>
        <v>126.5835991878524</v>
      </c>
      <c r="HN36" s="10">
        <f t="shared" si="188"/>
        <v>1487.9543829062648</v>
      </c>
      <c r="HO36" s="539">
        <f t="shared" si="189"/>
        <v>5088.8039895394249</v>
      </c>
      <c r="HP36" s="19">
        <f t="shared" si="190"/>
        <v>473.16949376419223</v>
      </c>
      <c r="HQ36" s="10">
        <f t="shared" si="191"/>
        <v>138.35365314742464</v>
      </c>
      <c r="HR36" s="10">
        <f t="shared" si="192"/>
        <v>1626.3080360536894</v>
      </c>
      <c r="HS36" s="539">
        <f t="shared" si="193"/>
        <v>5561.9734833036173</v>
      </c>
      <c r="HT36" s="19">
        <f t="shared" si="194"/>
        <v>517.16595546507324</v>
      </c>
      <c r="HU36" s="10">
        <f t="shared" si="195"/>
        <v>151.21811563306235</v>
      </c>
      <c r="HV36" s="10">
        <f t="shared" si="196"/>
        <v>1777.5261516867517</v>
      </c>
      <c r="HW36" s="539">
        <f t="shared" si="197"/>
        <v>6079.1394387686905</v>
      </c>
      <c r="HX36" s="19">
        <f t="shared" si="198"/>
        <v>565.25331623638704</v>
      </c>
      <c r="HY36" s="10">
        <f t="shared" si="199"/>
        <v>165.27874743754006</v>
      </c>
      <c r="HZ36" s="10">
        <f t="shared" si="200"/>
        <v>1942.8048991242918</v>
      </c>
      <c r="IA36" s="539">
        <f t="shared" si="201"/>
        <v>6644.3927550050776</v>
      </c>
      <c r="IB36" s="19">
        <f t="shared" si="202"/>
        <v>617.81195792152482</v>
      </c>
      <c r="IF36" s="185">
        <f>SUMPRODUCT(IG41:IG54,IH41:IH54)/SUM(IG41:IG54)</f>
        <v>169.74363905091545</v>
      </c>
      <c r="IG36" s="20">
        <f>STDEV(IH41:IH54)</f>
        <v>94.04146017712371</v>
      </c>
      <c r="IH36" s="20">
        <f>IF32-1.96*IG36</f>
        <v>-36.49165746728309</v>
      </c>
      <c r="II36" s="20">
        <f>IF32+1.96*IG36</f>
        <v>332.15086642704182</v>
      </c>
      <c r="IJ36" s="11"/>
      <c r="IK36" s="11"/>
      <c r="IL36" s="11"/>
      <c r="IM36" s="68"/>
      <c r="IP36" s="236"/>
      <c r="IY36"/>
    </row>
    <row r="37" spans="1:263" ht="13.5" thickBot="1">
      <c r="A37" s="20"/>
      <c r="B37" s="20"/>
      <c r="C37" s="1214" t="s">
        <v>2342</v>
      </c>
      <c r="D37" s="47" t="s">
        <v>596</v>
      </c>
      <c r="E37" s="396">
        <f t="shared" si="0"/>
        <v>180.5128</v>
      </c>
      <c r="F37" s="242">
        <v>62.512799999999999</v>
      </c>
      <c r="G37" s="48">
        <f>'Update Stock Prices'!S37</f>
        <v>100658088.2352941</v>
      </c>
      <c r="H37" s="991">
        <f t="shared" si="27"/>
        <v>6.21041002227985E-7</v>
      </c>
      <c r="I37" s="49">
        <f>'Update Stock Prices'!D37</f>
        <v>2.72</v>
      </c>
      <c r="J37" s="49">
        <f t="shared" si="1"/>
        <v>170.03481600000001</v>
      </c>
      <c r="K37" s="30">
        <v>187.14</v>
      </c>
      <c r="L37" s="49">
        <f t="shared" si="28"/>
        <v>-17.10518399999998</v>
      </c>
      <c r="M37" s="50">
        <f t="shared" si="29"/>
        <v>-9.1403142032702694E-2</v>
      </c>
      <c r="N37" s="49">
        <f t="shared" si="30"/>
        <v>2.9936269052098128</v>
      </c>
      <c r="O37" s="48">
        <f t="shared" si="2"/>
        <v>118</v>
      </c>
      <c r="P37" s="49">
        <f t="shared" si="3"/>
        <v>4.9999999999954525E-2</v>
      </c>
      <c r="Q37" s="30">
        <f>0.024*12</f>
        <v>0.28800000000000003</v>
      </c>
      <c r="R37" s="49">
        <f>S37/365.25</f>
        <v>4.9291406981519514E-2</v>
      </c>
      <c r="S37" s="49">
        <f t="shared" si="4"/>
        <v>18.003686400000003</v>
      </c>
      <c r="T37" s="49">
        <f>S37/12</f>
        <v>1.5003072000000002</v>
      </c>
      <c r="U37" s="49" t="s">
        <v>56</v>
      </c>
      <c r="V37" s="50">
        <f t="shared" si="6"/>
        <v>0.10588235294117647</v>
      </c>
      <c r="W37" s="50">
        <f t="shared" si="7"/>
        <v>9.6204373196537379E-2</v>
      </c>
      <c r="X37" s="49">
        <f>12*((E37*Q37)/12-T37)</f>
        <v>33.984000000000009</v>
      </c>
      <c r="Y37" s="49">
        <f t="shared" si="32"/>
        <v>1.5003072000000002</v>
      </c>
      <c r="Z37" s="860">
        <f t="shared" si="9"/>
        <v>0</v>
      </c>
      <c r="AA37" s="860">
        <f t="shared" si="10"/>
        <v>50.82053333333333</v>
      </c>
      <c r="AB37" s="49">
        <f t="shared" si="11"/>
        <v>138.23185066666667</v>
      </c>
      <c r="AC37" s="48">
        <v>1</v>
      </c>
      <c r="AD37" s="47" t="str">
        <f t="shared" si="12"/>
        <v>DHY</v>
      </c>
      <c r="AE37" s="49">
        <f t="shared" si="13"/>
        <v>170.03481600000001</v>
      </c>
      <c r="AF37" s="50" t="e">
        <f t="shared" si="310"/>
        <v>#REF!</v>
      </c>
      <c r="AG37" s="890" t="e">
        <f t="shared" si="332"/>
        <v>#REF!</v>
      </c>
      <c r="AH37" s="207" t="s">
        <v>597</v>
      </c>
      <c r="AI37" s="240">
        <f t="shared" si="312"/>
        <v>6.5633270231487892E-2</v>
      </c>
      <c r="AJ37" s="11">
        <f t="shared" si="33"/>
        <v>3</v>
      </c>
      <c r="AK37" s="11"/>
      <c r="AL37" s="11"/>
      <c r="AM37" s="11"/>
      <c r="AN37" s="11"/>
      <c r="AO37" s="11"/>
      <c r="AP37" s="11"/>
      <c r="AQ37" s="11" t="str">
        <f>'Update Stock Prices'!Q37</f>
        <v>micro</v>
      </c>
      <c r="AR37" s="11"/>
      <c r="AS37" s="11"/>
      <c r="AT37" s="177" t="s">
        <v>2151</v>
      </c>
      <c r="AU37" s="11"/>
      <c r="AV37" s="660" t="s">
        <v>1736</v>
      </c>
      <c r="AW37" s="236" t="s">
        <v>1736</v>
      </c>
      <c r="AX37" s="420">
        <f t="shared" si="314"/>
        <v>70</v>
      </c>
      <c r="AY37" s="19">
        <f t="shared" si="293"/>
        <v>5505.5411983801741</v>
      </c>
      <c r="AZ37" s="19">
        <f t="shared" si="291"/>
        <v>458.79509986501449</v>
      </c>
      <c r="BA37" s="19">
        <f t="shared" si="292"/>
        <v>15.073350303573372</v>
      </c>
      <c r="BB37" s="234">
        <f t="shared" si="294"/>
        <v>136096.97842395789</v>
      </c>
      <c r="BC37" s="19"/>
      <c r="BD37" s="932"/>
      <c r="BE37" s="593">
        <f t="shared" si="17"/>
        <v>0</v>
      </c>
      <c r="BF37" s="725">
        <f t="shared" si="221"/>
        <v>839066.28346426925</v>
      </c>
      <c r="BG37" s="420" t="str">
        <f t="shared" ca="1" si="18"/>
        <v/>
      </c>
      <c r="BH37" s="593">
        <f t="shared" ca="1" si="34"/>
        <v>38</v>
      </c>
      <c r="BI37" s="420">
        <f t="shared" ca="1" si="35"/>
        <v>72</v>
      </c>
      <c r="BJ37" s="420">
        <f t="shared" ca="1" si="35"/>
        <v>78</v>
      </c>
      <c r="BK37" s="420">
        <f t="shared" ca="1" si="36"/>
        <v>2052</v>
      </c>
      <c r="BL37" s="420" t="s">
        <v>1084</v>
      </c>
      <c r="BM37" s="19">
        <f t="shared" si="19"/>
        <v>1245549.0979094137</v>
      </c>
      <c r="BN37" s="19">
        <f>HG149</f>
        <v>406482.81444514461</v>
      </c>
      <c r="BO37" s="19">
        <f>HH149</f>
        <v>28792.327653583696</v>
      </c>
      <c r="BP37" s="183">
        <f t="shared" si="20"/>
        <v>7.0832828917713711E-2</v>
      </c>
      <c r="BQ37" s="19">
        <f t="shared" si="21"/>
        <v>2399.3606377986412</v>
      </c>
      <c r="BS37" s="420" t="str">
        <f t="shared" si="37"/>
        <v>DHY</v>
      </c>
      <c r="BT37" s="425">
        <f t="shared" si="38"/>
        <v>62.512799999999999</v>
      </c>
      <c r="BU37" s="19">
        <f t="shared" si="39"/>
        <v>2.72</v>
      </c>
      <c r="BV37" s="19">
        <f t="shared" si="40"/>
        <v>170.03481600000001</v>
      </c>
      <c r="BW37" s="539">
        <f t="shared" si="41"/>
        <v>0.28800000000000003</v>
      </c>
      <c r="BX37" s="19">
        <f t="shared" si="42"/>
        <v>18.003686400000003</v>
      </c>
      <c r="BY37" s="10">
        <f t="shared" si="43"/>
        <v>6.6190023529411768</v>
      </c>
      <c r="BZ37" s="10">
        <f t="shared" si="44"/>
        <v>69.131802352941179</v>
      </c>
      <c r="CA37" s="539">
        <f t="shared" si="45"/>
        <v>188.03850240000003</v>
      </c>
      <c r="CB37" s="19">
        <f t="shared" si="46"/>
        <v>19.909959077647063</v>
      </c>
      <c r="CC37" s="10">
        <f t="shared" si="47"/>
        <v>7.3198378961937722</v>
      </c>
      <c r="CD37" s="10">
        <f t="shared" si="48"/>
        <v>76.451640249134954</v>
      </c>
      <c r="CE37" s="539">
        <f t="shared" si="49"/>
        <v>207.9484614776471</v>
      </c>
      <c r="CF37" s="19">
        <f t="shared" si="50"/>
        <v>22.01807239175087</v>
      </c>
      <c r="CG37" s="10">
        <f t="shared" si="51"/>
        <v>8.0948795557907598</v>
      </c>
      <c r="CH37" s="10">
        <f t="shared" si="52"/>
        <v>84.546519804925708</v>
      </c>
      <c r="CI37" s="539">
        <f t="shared" si="53"/>
        <v>229.96653386939795</v>
      </c>
      <c r="CJ37" s="19">
        <f t="shared" si="54"/>
        <v>24.349397703818607</v>
      </c>
      <c r="CK37" s="10">
        <f t="shared" si="55"/>
        <v>8.9519844499333114</v>
      </c>
      <c r="CL37" s="10">
        <f t="shared" si="56"/>
        <v>93.498504254859014</v>
      </c>
      <c r="CM37" s="539">
        <f t="shared" si="57"/>
        <v>254.31593157321655</v>
      </c>
      <c r="CN37" s="19">
        <f t="shared" si="58"/>
        <v>26.927569225399399</v>
      </c>
      <c r="CO37" s="10">
        <f t="shared" si="59"/>
        <v>9.8998416269850722</v>
      </c>
      <c r="CP37" s="10">
        <f t="shared" si="60"/>
        <v>103.39834588184408</v>
      </c>
      <c r="CQ37" s="539">
        <f t="shared" si="61"/>
        <v>281.24350079861591</v>
      </c>
      <c r="CR37" s="19">
        <f t="shared" si="62"/>
        <v>29.778723613971099</v>
      </c>
      <c r="CS37" s="10">
        <f t="shared" si="63"/>
        <v>10.948060152195255</v>
      </c>
      <c r="CT37" s="10">
        <f t="shared" si="64"/>
        <v>114.34640603403933</v>
      </c>
      <c r="CU37" s="539">
        <f t="shared" si="65"/>
        <v>311.02222441258704</v>
      </c>
      <c r="CV37" s="19">
        <f t="shared" si="66"/>
        <v>32.931764937803329</v>
      </c>
      <c r="CW37" s="10">
        <f t="shared" si="67"/>
        <v>12.107266521251223</v>
      </c>
      <c r="CX37" s="10">
        <f t="shared" si="68"/>
        <v>126.45367255529055</v>
      </c>
      <c r="CY37" s="539">
        <f t="shared" si="69"/>
        <v>343.95398935039032</v>
      </c>
      <c r="CZ37" s="19">
        <f t="shared" si="70"/>
        <v>36.418657695923685</v>
      </c>
      <c r="DA37" s="10">
        <f t="shared" si="71"/>
        <v>13.389212388207236</v>
      </c>
      <c r="DB37" s="10">
        <f t="shared" si="72"/>
        <v>139.84288494349778</v>
      </c>
      <c r="DC37" s="539">
        <f t="shared" si="73"/>
        <v>380.372647046314</v>
      </c>
      <c r="DD37" s="19">
        <f t="shared" si="74"/>
        <v>40.274750863727363</v>
      </c>
      <c r="DE37" s="10">
        <f t="shared" si="75"/>
        <v>14.806893699899765</v>
      </c>
      <c r="DF37" s="10">
        <f t="shared" si="76"/>
        <v>154.64977864339755</v>
      </c>
      <c r="DG37" s="539">
        <f t="shared" si="77"/>
        <v>420.64739791004138</v>
      </c>
      <c r="DH37" s="19">
        <f t="shared" si="78"/>
        <v>44.539136249298501</v>
      </c>
      <c r="DI37" s="10">
        <f t="shared" si="79"/>
        <v>16.374682444595035</v>
      </c>
      <c r="DJ37" s="10">
        <f t="shared" si="80"/>
        <v>171.02446108799259</v>
      </c>
      <c r="DK37" s="539">
        <f t="shared" si="81"/>
        <v>465.18653415933989</v>
      </c>
      <c r="DL37" s="19">
        <f t="shared" si="82"/>
        <v>49.255044793341874</v>
      </c>
      <c r="DM37" s="10">
        <f t="shared" si="83"/>
        <v>18.108472350493333</v>
      </c>
      <c r="DN37" s="10">
        <f t="shared" si="84"/>
        <v>189.13293343848594</v>
      </c>
      <c r="DO37" s="539">
        <f t="shared" si="85"/>
        <v>514.44157895268177</v>
      </c>
      <c r="DP37" s="19">
        <f t="shared" si="86"/>
        <v>54.470284830283958</v>
      </c>
      <c r="DQ37" s="10">
        <f t="shared" si="87"/>
        <v>20.025840011133806</v>
      </c>
      <c r="DR37" s="10">
        <f t="shared" si="88"/>
        <v>209.15877344961973</v>
      </c>
      <c r="DS37" s="539">
        <f t="shared" si="89"/>
        <v>568.91186378296572</v>
      </c>
      <c r="DT37" s="19">
        <f t="shared" si="90"/>
        <v>60.237726753490492</v>
      </c>
      <c r="DU37" s="10">
        <f t="shared" si="91"/>
        <v>22.146223071136209</v>
      </c>
      <c r="DV37" s="10">
        <f t="shared" si="92"/>
        <v>231.30499652075594</v>
      </c>
      <c r="DW37" s="539">
        <f t="shared" si="93"/>
        <v>629.14959053645623</v>
      </c>
      <c r="DX37" s="19">
        <f t="shared" si="94"/>
        <v>66.615838997977718</v>
      </c>
      <c r="DY37" s="10">
        <f t="shared" si="95"/>
        <v>24.491117278668277</v>
      </c>
      <c r="DZ37" s="10">
        <f t="shared" si="96"/>
        <v>255.79611379942421</v>
      </c>
      <c r="EA37" s="539">
        <f t="shared" si="97"/>
        <v>695.76542953443391</v>
      </c>
      <c r="EB37" s="19">
        <f t="shared" si="98"/>
        <v>73.669280774234181</v>
      </c>
      <c r="EC37" s="10">
        <f t="shared" si="99"/>
        <v>27.084294402291977</v>
      </c>
      <c r="ED37" s="10">
        <f t="shared" si="100"/>
        <v>282.88040820171619</v>
      </c>
      <c r="EE37" s="539">
        <f t="shared" si="101"/>
        <v>769.43471030866806</v>
      </c>
      <c r="EF37" s="19">
        <f t="shared" si="102"/>
        <v>81.469557562094266</v>
      </c>
      <c r="EG37" s="10">
        <f t="shared" si="103"/>
        <v>29.952043221358185</v>
      </c>
      <c r="EH37" s="10">
        <f t="shared" si="104"/>
        <v>312.83245142307436</v>
      </c>
      <c r="EI37" s="539">
        <f t="shared" si="105"/>
        <v>850.90426787076228</v>
      </c>
      <c r="EJ37" s="19">
        <f t="shared" si="106"/>
        <v>90.095746009845428</v>
      </c>
      <c r="EK37" s="10">
        <f t="shared" si="107"/>
        <v>33.123436033031403</v>
      </c>
      <c r="EL37" s="10">
        <f t="shared" si="108"/>
        <v>345.95588745610576</v>
      </c>
      <c r="EM37" s="539">
        <f t="shared" si="109"/>
        <v>941.00001388060775</v>
      </c>
      <c r="EN37" s="19">
        <f t="shared" si="110"/>
        <v>99.63529558735847</v>
      </c>
      <c r="EO37" s="10">
        <f t="shared" si="111"/>
        <v>36.630623377705319</v>
      </c>
      <c r="EP37" s="10">
        <f t="shared" si="112"/>
        <v>382.58651083381108</v>
      </c>
      <c r="EQ37" s="539">
        <f t="shared" si="113"/>
        <v>1040.6353094679662</v>
      </c>
      <c r="ER37" s="19">
        <f t="shared" si="114"/>
        <v>110.1849151201376</v>
      </c>
      <c r="ES37" s="10">
        <f t="shared" si="115"/>
        <v>40.509159970638819</v>
      </c>
      <c r="ET37" s="10">
        <f t="shared" si="116"/>
        <v>423.09567080444992</v>
      </c>
      <c r="EU37" s="539">
        <f t="shared" si="117"/>
        <v>1150.8202245881039</v>
      </c>
      <c r="EV37" s="19">
        <f t="shared" si="118"/>
        <v>121.85155319168159</v>
      </c>
      <c r="EW37" s="10">
        <f t="shared" si="119"/>
        <v>44.798365144000584</v>
      </c>
      <c r="EX37" s="10">
        <f t="shared" si="120"/>
        <v>467.89403594845049</v>
      </c>
      <c r="EY37" s="539">
        <f t="shared" si="121"/>
        <v>1272.6717777797855</v>
      </c>
      <c r="EZ37" s="19">
        <f t="shared" si="122"/>
        <v>134.75348235315377</v>
      </c>
      <c r="FA37" s="10">
        <f t="shared" si="123"/>
        <v>49.541721453365355</v>
      </c>
      <c r="FB37" s="10">
        <f t="shared" si="124"/>
        <v>517.43575740181586</v>
      </c>
      <c r="FC37" s="539">
        <f t="shared" si="125"/>
        <v>1407.4252601329392</v>
      </c>
      <c r="FD37" s="19">
        <f t="shared" si="126"/>
        <v>149.02149813172298</v>
      </c>
      <c r="FE37" s="10">
        <f t="shared" si="127"/>
        <v>54.787315489604033</v>
      </c>
      <c r="FF37" s="10">
        <f t="shared" si="128"/>
        <v>572.22307289141986</v>
      </c>
      <c r="FG37" s="539">
        <f t="shared" si="129"/>
        <v>1556.4467582646621</v>
      </c>
      <c r="FH37" s="19">
        <f t="shared" si="130"/>
        <v>164.80024499272895</v>
      </c>
      <c r="FI37" s="10">
        <f t="shared" si="131"/>
        <v>60.588325364973876</v>
      </c>
      <c r="FJ37" s="10">
        <f t="shared" si="132"/>
        <v>632.81139825639377</v>
      </c>
      <c r="FK37" s="539">
        <f t="shared" si="133"/>
        <v>1721.2470032573913</v>
      </c>
      <c r="FL37" s="19">
        <f t="shared" si="134"/>
        <v>182.24968269784142</v>
      </c>
      <c r="FM37" s="10">
        <f t="shared" si="135"/>
        <v>67.003559815382872</v>
      </c>
      <c r="FN37" s="10">
        <f t="shared" si="136"/>
        <v>699.81495807177669</v>
      </c>
      <c r="FO37" s="539">
        <f t="shared" si="137"/>
        <v>1903.4966859552328</v>
      </c>
      <c r="FP37" s="19">
        <f t="shared" si="138"/>
        <v>201.54670792467172</v>
      </c>
      <c r="FQ37" s="10">
        <f t="shared" si="139"/>
        <v>74.09805438407048</v>
      </c>
      <c r="FR37" s="10">
        <f t="shared" si="140"/>
        <v>773.91301245584714</v>
      </c>
      <c r="FS37" s="539">
        <f t="shared" si="141"/>
        <v>2105.0433938799042</v>
      </c>
      <c r="FT37" s="19">
        <f t="shared" si="142"/>
        <v>222.886947587284</v>
      </c>
      <c r="FU37" s="10">
        <f t="shared" si="143"/>
        <v>81.943730730619109</v>
      </c>
      <c r="FV37" s="10">
        <f t="shared" si="144"/>
        <v>855.85674318646625</v>
      </c>
      <c r="FW37" s="539">
        <f t="shared" si="145"/>
        <v>2327.9303414671886</v>
      </c>
      <c r="FX37" s="19">
        <f t="shared" si="146"/>
        <v>246.4867420377023</v>
      </c>
      <c r="FY37" s="10">
        <f t="shared" si="147"/>
        <v>90.62012574915525</v>
      </c>
      <c r="FZ37" s="10">
        <f t="shared" si="148"/>
        <v>946.4768689356215</v>
      </c>
      <c r="GA37" s="539">
        <f t="shared" si="149"/>
        <v>2574.4170835048908</v>
      </c>
      <c r="GB37" s="19">
        <f t="shared" si="150"/>
        <v>272.58533825345904</v>
      </c>
      <c r="GC37" s="10">
        <f t="shared" si="151"/>
        <v>100.21519788730112</v>
      </c>
      <c r="GD37" s="10">
        <f t="shared" si="152"/>
        <v>1046.6920668229227</v>
      </c>
      <c r="GE37" s="539">
        <f t="shared" si="153"/>
        <v>2847.00242175835</v>
      </c>
      <c r="GF37" s="19">
        <f t="shared" si="154"/>
        <v>301.44731524500179</v>
      </c>
      <c r="GG37" s="10">
        <f t="shared" si="155"/>
        <v>110.82621884007418</v>
      </c>
      <c r="GH37" s="10">
        <f t="shared" si="156"/>
        <v>1157.518285662997</v>
      </c>
      <c r="GI37" s="539">
        <f t="shared" si="157"/>
        <v>3148.4497370033519</v>
      </c>
      <c r="GJ37" s="19">
        <f t="shared" si="158"/>
        <v>333.36526627094315</v>
      </c>
      <c r="GK37" s="10">
        <f t="shared" si="159"/>
        <v>122.56075965843497</v>
      </c>
      <c r="GL37" s="10">
        <f t="shared" si="160"/>
        <v>1280.079045321432</v>
      </c>
      <c r="GM37" s="539">
        <f t="shared" si="161"/>
        <v>3481.8150032742951</v>
      </c>
      <c r="GN37" s="19">
        <f t="shared" si="162"/>
        <v>368.66276505257247</v>
      </c>
      <c r="GO37" s="10">
        <f t="shared" si="163"/>
        <v>135.53778126932809</v>
      </c>
      <c r="GP37" s="10">
        <f t="shared" si="164"/>
        <v>1415.61682659076</v>
      </c>
      <c r="GQ37" s="539">
        <f t="shared" si="165"/>
        <v>3850.4777683268671</v>
      </c>
      <c r="GR37" s="19">
        <f t="shared" si="166"/>
        <v>407.6976460581389</v>
      </c>
      <c r="GS37" s="10">
        <f t="shared" si="167"/>
        <v>149.88884046255106</v>
      </c>
      <c r="GT37" s="10">
        <f t="shared" si="168"/>
        <v>1565.5056670533111</v>
      </c>
      <c r="GU37" s="539">
        <f t="shared" si="169"/>
        <v>4258.1754143850067</v>
      </c>
      <c r="GV37" s="19">
        <f t="shared" si="170"/>
        <v>450.86563211135365</v>
      </c>
      <c r="GW37" s="10">
        <f t="shared" si="171"/>
        <v>165.75942357035061</v>
      </c>
      <c r="GX37" s="10">
        <f t="shared" si="172"/>
        <v>1731.2650906236618</v>
      </c>
      <c r="GY37" s="539">
        <f t="shared" si="173"/>
        <v>4709.0410464963607</v>
      </c>
      <c r="GZ37" s="19">
        <f t="shared" si="174"/>
        <v>498.60434609961465</v>
      </c>
      <c r="HA37" s="10">
        <f t="shared" si="175"/>
        <v>183.31042136015242</v>
      </c>
      <c r="HB37" s="10">
        <f t="shared" si="176"/>
        <v>1914.5755119838141</v>
      </c>
      <c r="HC37" s="539">
        <f t="shared" si="177"/>
        <v>5207.645392595975</v>
      </c>
      <c r="HD37" s="19">
        <f t="shared" si="178"/>
        <v>551.39774745133855</v>
      </c>
      <c r="HE37" s="10">
        <f t="shared" si="179"/>
        <v>202.71976009240387</v>
      </c>
      <c r="HF37" s="10">
        <f t="shared" si="180"/>
        <v>2117.2952720762178</v>
      </c>
      <c r="HG37" s="539">
        <f t="shared" si="181"/>
        <v>5759.0431400473126</v>
      </c>
      <c r="HH37" s="19">
        <f t="shared" si="182"/>
        <v>609.78103835795082</v>
      </c>
      <c r="HI37" s="10">
        <f t="shared" si="183"/>
        <v>224.18420527865837</v>
      </c>
      <c r="HJ37" s="10">
        <f t="shared" si="184"/>
        <v>2341.4794773548761</v>
      </c>
      <c r="HK37" s="539">
        <f t="shared" si="185"/>
        <v>6368.8241784052634</v>
      </c>
      <c r="HL37" s="19">
        <f t="shared" si="186"/>
        <v>674.34608947820436</v>
      </c>
      <c r="HM37" s="10">
        <f t="shared" si="187"/>
        <v>247.92135642581042</v>
      </c>
      <c r="HN37" s="10">
        <f t="shared" si="188"/>
        <v>2589.4008337806863</v>
      </c>
      <c r="HO37" s="539">
        <f t="shared" si="189"/>
        <v>7043.1702678834672</v>
      </c>
      <c r="HP37" s="19">
        <f t="shared" si="190"/>
        <v>745.74744012883775</v>
      </c>
      <c r="HQ37" s="10">
        <f t="shared" si="191"/>
        <v>274.17185298854326</v>
      </c>
      <c r="HR37" s="10">
        <f t="shared" si="192"/>
        <v>2863.5726867692297</v>
      </c>
      <c r="HS37" s="539">
        <f t="shared" si="193"/>
        <v>7788.9177080123054</v>
      </c>
      <c r="HT37" s="19">
        <f t="shared" si="194"/>
        <v>824.70893378953826</v>
      </c>
      <c r="HU37" s="10">
        <f t="shared" si="195"/>
        <v>303.2018138932126</v>
      </c>
      <c r="HV37" s="10">
        <f t="shared" si="196"/>
        <v>3166.7745006624423</v>
      </c>
      <c r="HW37" s="539">
        <f t="shared" si="197"/>
        <v>8613.626641801844</v>
      </c>
      <c r="HX37" s="19">
        <f t="shared" si="198"/>
        <v>912.03105619078349</v>
      </c>
      <c r="HY37" s="10">
        <f t="shared" si="199"/>
        <v>335.30553536425862</v>
      </c>
      <c r="HZ37" s="10">
        <f t="shared" si="200"/>
        <v>3502.0800360267008</v>
      </c>
      <c r="IA37" s="539">
        <f t="shared" si="201"/>
        <v>9525.6576979926267</v>
      </c>
      <c r="IB37" s="19">
        <f t="shared" si="202"/>
        <v>1008.5990503756899</v>
      </c>
      <c r="IF37" s="185" t="str">
        <f>IF(IF36&lt;IG4,"Overvalued","Undervalued")</f>
        <v>Overvalued</v>
      </c>
      <c r="IG37" s="11"/>
      <c r="IH37" s="11"/>
      <c r="II37" s="11"/>
      <c r="IJ37" s="11"/>
      <c r="IK37" s="11"/>
      <c r="IL37" s="11"/>
      <c r="IM37" s="27"/>
      <c r="IP37" s="236"/>
      <c r="IY37"/>
    </row>
    <row r="38" spans="1:263" ht="13.5" thickBot="1">
      <c r="A38" s="11"/>
      <c r="B38" s="1369" t="str">
        <f>IG30</f>
        <v>Sell (or don't buy)</v>
      </c>
      <c r="C38" s="1215" t="s">
        <v>2342</v>
      </c>
      <c r="D38" s="47" t="s">
        <v>45</v>
      </c>
      <c r="E38" s="396">
        <f t="shared" ref="E38:E70" si="333">F38+O38</f>
        <v>30.0731</v>
      </c>
      <c r="F38" s="242">
        <v>29.0731</v>
      </c>
      <c r="G38" s="48">
        <f>'Update Stock Prices'!S38</f>
        <v>83291745.683201924</v>
      </c>
      <c r="H38" s="991">
        <f t="shared" si="27"/>
        <v>3.4905139472738165E-7</v>
      </c>
      <c r="I38" s="49">
        <f>'Update Stock Prices'!D38</f>
        <v>200.38</v>
      </c>
      <c r="J38" s="49">
        <f t="shared" si="1"/>
        <v>5825.667778</v>
      </c>
      <c r="K38" s="30">
        <v>3641.9</v>
      </c>
      <c r="L38" s="49">
        <f t="shared" si="28"/>
        <v>2183.7677779999999</v>
      </c>
      <c r="M38" s="50">
        <f t="shared" si="29"/>
        <v>0.59962321260880302</v>
      </c>
      <c r="N38" s="49">
        <f t="shared" si="30"/>
        <v>125.2669993911898</v>
      </c>
      <c r="O38" s="48">
        <f t="shared" ref="O38:O70" si="334">IF(INT(($B$11-$B$12)/I38)&lt;0,0,INT(($B$11-$B$12)/I38))</f>
        <v>1</v>
      </c>
      <c r="P38" s="49">
        <f>IF(($B$11-$B$12)-(O38*I38)&lt;0,0,($B$11-$B$12)-(O38*I38))</f>
        <v>120.63</v>
      </c>
      <c r="Q38" s="30">
        <f>AVERAGE(0.61,0.37,0.13,0.61,0.36,0.13,0.66,0.35,0.18,0.53,0.43,0.19)</f>
        <v>0.37916666666666665</v>
      </c>
      <c r="R38" s="49">
        <f t="shared" si="242"/>
        <v>3.0180836185261233E-2</v>
      </c>
      <c r="S38" s="49">
        <f t="shared" ref="S38:S70" si="335">F38*Q38</f>
        <v>11.023550416666666</v>
      </c>
      <c r="T38" s="49">
        <f t="shared" si="31"/>
        <v>0.91862920138888882</v>
      </c>
      <c r="U38" s="49" t="s">
        <v>56</v>
      </c>
      <c r="V38" s="50">
        <f t="shared" ref="V38:V70" si="336">Q38/I38</f>
        <v>1.8922380809794723E-3</v>
      </c>
      <c r="W38" s="50">
        <f t="shared" si="7"/>
        <v>3.0268679581170999E-3</v>
      </c>
      <c r="X38" s="49">
        <f>12*((E38*Q38)/12-T38)</f>
        <v>0.37916666666666599</v>
      </c>
      <c r="Y38" s="49">
        <f t="shared" si="32"/>
        <v>0.91862920138888882</v>
      </c>
      <c r="Z38" s="860">
        <f t="shared" ref="Z38:Z70" si="337">IF(Y38/I38&gt;1,1,0)</f>
        <v>0</v>
      </c>
      <c r="AA38" s="860">
        <f t="shared" ref="AA38:AA70" si="338">IF(Z38=1,"",IF(AND(U38&lt;&gt;"",Z38=0),I38/(Y38/F38)-F38,""))</f>
        <v>6312.6236032967035</v>
      </c>
      <c r="AB38" s="49">
        <f t="shared" ref="AB38:AB70" si="339">IF(AA38&lt;&gt;"",AA38*I38,"")</f>
        <v>1264923.5176285934</v>
      </c>
      <c r="AC38" s="48">
        <v>1</v>
      </c>
      <c r="AD38" s="47" t="str">
        <f t="shared" ref="AD38:AD70" si="340">D38</f>
        <v>DIA</v>
      </c>
      <c r="AE38" s="49">
        <f t="shared" ref="AE38:AE70" si="341">J38</f>
        <v>5825.667778</v>
      </c>
      <c r="AF38" s="50" t="e">
        <f t="shared" si="310"/>
        <v>#REF!</v>
      </c>
      <c r="AG38" s="890" t="e">
        <f t="shared" si="332"/>
        <v>#REF!</v>
      </c>
      <c r="AH38" s="207" t="s">
        <v>548</v>
      </c>
      <c r="AI38" s="240">
        <f t="shared" si="312"/>
        <v>77.044166485007779</v>
      </c>
      <c r="AJ38" s="11">
        <f t="shared" si="33"/>
        <v>3</v>
      </c>
      <c r="AK38" s="11"/>
      <c r="AL38" s="11"/>
      <c r="AM38" s="11"/>
      <c r="AN38" s="11"/>
      <c r="AO38" s="11"/>
      <c r="AP38" s="11"/>
      <c r="AQ38" s="11" t="str">
        <f>'Update Stock Prices'!Q38</f>
        <v>mid</v>
      </c>
      <c r="AR38" s="11"/>
      <c r="AS38" s="11"/>
      <c r="AT38" s="177" t="s">
        <v>2392</v>
      </c>
      <c r="AU38" s="11"/>
      <c r="AV38" s="837">
        <f>BB121/(AV32*(1+AV62))</f>
        <v>1735613.5922330096</v>
      </c>
      <c r="AW38" s="234">
        <f>(AW32*BB121)/AV32</f>
        <v>893841</v>
      </c>
      <c r="AX38" s="420">
        <f t="shared" si="314"/>
        <v>71</v>
      </c>
      <c r="AY38" s="19">
        <f t="shared" si="293"/>
        <v>5443.8791369583159</v>
      </c>
      <c r="AZ38" s="19">
        <f t="shared" si="291"/>
        <v>453.65659474652631</v>
      </c>
      <c r="BA38" s="19">
        <f t="shared" si="292"/>
        <v>14.904528780173349</v>
      </c>
      <c r="BB38" s="234">
        <f t="shared" si="294"/>
        <v>134572.69226560957</v>
      </c>
      <c r="BC38" s="19"/>
      <c r="BD38" s="932"/>
      <c r="BE38" s="593">
        <f t="shared" si="17"/>
        <v>0</v>
      </c>
      <c r="BF38" s="725">
        <f t="shared" si="221"/>
        <v>866805.97913355462</v>
      </c>
      <c r="BG38" s="420" t="str">
        <f t="shared" ca="1" si="18"/>
        <v/>
      </c>
      <c r="BH38" s="593">
        <f t="shared" ca="1" si="34"/>
        <v>39</v>
      </c>
      <c r="BI38" s="420">
        <f t="shared" ca="1" si="35"/>
        <v>73</v>
      </c>
      <c r="BJ38" s="420">
        <f t="shared" ca="1" si="35"/>
        <v>79</v>
      </c>
      <c r="BK38" s="420">
        <f t="shared" ca="1" si="36"/>
        <v>2053</v>
      </c>
      <c r="BL38" s="420" t="s">
        <v>1085</v>
      </c>
      <c r="BM38" s="19">
        <f t="shared" si="19"/>
        <v>1302081.1212322831</v>
      </c>
      <c r="BN38" s="19">
        <f>HK149</f>
        <v>435275.14209872839</v>
      </c>
      <c r="BO38" s="19">
        <f>HL149</f>
        <v>31315.358440846114</v>
      </c>
      <c r="BP38" s="183">
        <f t="shared" si="20"/>
        <v>7.1943824519487984E-2</v>
      </c>
      <c r="BQ38" s="19">
        <f t="shared" si="21"/>
        <v>2609.6132034038428</v>
      </c>
      <c r="BS38" s="420" t="str">
        <f t="shared" si="37"/>
        <v>DIA</v>
      </c>
      <c r="BT38" s="425">
        <f t="shared" si="38"/>
        <v>29.0731</v>
      </c>
      <c r="BU38" s="19">
        <f t="shared" si="39"/>
        <v>200.38</v>
      </c>
      <c r="BV38" s="19">
        <f t="shared" si="40"/>
        <v>5825.667778</v>
      </c>
      <c r="BW38" s="539">
        <f t="shared" si="41"/>
        <v>0.37916666666666665</v>
      </c>
      <c r="BX38" s="19">
        <f t="shared" si="42"/>
        <v>11.023550416666666</v>
      </c>
      <c r="BY38" s="10">
        <f t="shared" si="43"/>
        <v>5.5013226952124294E-2</v>
      </c>
      <c r="BZ38" s="10">
        <f t="shared" si="44"/>
        <v>29.128113226952124</v>
      </c>
      <c r="CA38" s="539">
        <f t="shared" si="45"/>
        <v>5836.6913284166667</v>
      </c>
      <c r="CB38" s="19">
        <f t="shared" si="46"/>
        <v>11.044409598552679</v>
      </c>
      <c r="CC38" s="10">
        <f t="shared" si="47"/>
        <v>5.5117325075120668E-2</v>
      </c>
      <c r="CD38" s="10">
        <f t="shared" si="48"/>
        <v>29.183230552027243</v>
      </c>
      <c r="CE38" s="539">
        <f t="shared" si="49"/>
        <v>5847.7357380152189</v>
      </c>
      <c r="CF38" s="19">
        <f t="shared" si="50"/>
        <v>11.065308250976996</v>
      </c>
      <c r="CG38" s="10">
        <f t="shared" si="51"/>
        <v>5.5221620176549538E-2</v>
      </c>
      <c r="CH38" s="10">
        <f t="shared" si="52"/>
        <v>29.238452172203793</v>
      </c>
      <c r="CI38" s="539">
        <f t="shared" si="53"/>
        <v>5858.801046266196</v>
      </c>
      <c r="CJ38" s="19">
        <f t="shared" si="54"/>
        <v>11.086246448627271</v>
      </c>
      <c r="CK38" s="10">
        <f t="shared" si="55"/>
        <v>5.5326112629140993E-2</v>
      </c>
      <c r="CL38" s="10">
        <f t="shared" si="56"/>
        <v>29.293778284832936</v>
      </c>
      <c r="CM38" s="539">
        <f t="shared" si="57"/>
        <v>5869.8872927148232</v>
      </c>
      <c r="CN38" s="19">
        <f t="shared" si="58"/>
        <v>11.107224266332487</v>
      </c>
      <c r="CO38" s="10">
        <f t="shared" si="59"/>
        <v>5.5430802806330406E-2</v>
      </c>
      <c r="CP38" s="10">
        <f t="shared" si="60"/>
        <v>29.349209087639267</v>
      </c>
      <c r="CQ38" s="539">
        <f t="shared" si="61"/>
        <v>5880.9945169811563</v>
      </c>
      <c r="CR38" s="19">
        <f t="shared" si="62"/>
        <v>11.128241779063222</v>
      </c>
      <c r="CS38" s="10">
        <f t="shared" si="63"/>
        <v>5.5535691082259815E-2</v>
      </c>
      <c r="CT38" s="10">
        <f t="shared" si="64"/>
        <v>29.404744778721525</v>
      </c>
      <c r="CU38" s="539">
        <f t="shared" si="65"/>
        <v>5892.1227587602189</v>
      </c>
      <c r="CV38" s="19">
        <f t="shared" si="66"/>
        <v>11.149299061931911</v>
      </c>
      <c r="CW38" s="10">
        <f t="shared" si="67"/>
        <v>5.5640777831779176E-2</v>
      </c>
      <c r="CX38" s="10">
        <f t="shared" si="68"/>
        <v>29.460385556553305</v>
      </c>
      <c r="CY38" s="539">
        <f t="shared" si="69"/>
        <v>5903.2720578221515</v>
      </c>
      <c r="CZ38" s="19">
        <f t="shared" si="70"/>
        <v>11.170396190193127</v>
      </c>
      <c r="DA38" s="10">
        <f t="shared" si="71"/>
        <v>5.5746063430447787E-2</v>
      </c>
      <c r="DB38" s="10">
        <f t="shared" si="72"/>
        <v>29.516131619983753</v>
      </c>
      <c r="DC38" s="539">
        <f t="shared" si="73"/>
        <v>5914.4424540123446</v>
      </c>
      <c r="DD38" s="19">
        <f t="shared" si="74"/>
        <v>11.191533239243839</v>
      </c>
      <c r="DE38" s="10">
        <f t="shared" si="75"/>
        <v>5.5851548254535574E-2</v>
      </c>
      <c r="DF38" s="10">
        <f t="shared" si="76"/>
        <v>29.571983168238287</v>
      </c>
      <c r="DG38" s="539">
        <f t="shared" si="77"/>
        <v>5925.6339872515873</v>
      </c>
      <c r="DH38" s="19">
        <f t="shared" si="78"/>
        <v>11.212710284623684</v>
      </c>
      <c r="DI38" s="10">
        <f t="shared" si="79"/>
        <v>5.5957232681024476E-2</v>
      </c>
      <c r="DJ38" s="10">
        <f t="shared" si="80"/>
        <v>29.627940400919311</v>
      </c>
      <c r="DK38" s="539">
        <f t="shared" si="81"/>
        <v>5936.8466975362117</v>
      </c>
      <c r="DL38" s="19">
        <f t="shared" si="82"/>
        <v>11.233927402015238</v>
      </c>
      <c r="DM38" s="10">
        <f t="shared" si="83"/>
        <v>5.6063117087609735E-2</v>
      </c>
      <c r="DN38" s="10">
        <f t="shared" si="84"/>
        <v>29.684003518006921</v>
      </c>
      <c r="DO38" s="539">
        <f t="shared" si="85"/>
        <v>5948.0806249382267</v>
      </c>
      <c r="DP38" s="19">
        <f t="shared" si="86"/>
        <v>11.25518466724429</v>
      </c>
      <c r="DQ38" s="10">
        <f t="shared" si="87"/>
        <v>5.6169201852701321E-2</v>
      </c>
      <c r="DR38" s="10">
        <f t="shared" si="88"/>
        <v>29.740172719859622</v>
      </c>
      <c r="DS38" s="539">
        <f t="shared" si="89"/>
        <v>5959.3358096054708</v>
      </c>
      <c r="DT38" s="19">
        <f t="shared" si="90"/>
        <v>11.276482156280107</v>
      </c>
      <c r="DU38" s="10">
        <f t="shared" si="91"/>
        <v>5.627548735542523E-2</v>
      </c>
      <c r="DV38" s="10">
        <f t="shared" si="92"/>
        <v>29.796448207215047</v>
      </c>
      <c r="DW38" s="539">
        <f t="shared" si="93"/>
        <v>5970.6122917617513</v>
      </c>
      <c r="DX38" s="19">
        <f t="shared" si="94"/>
        <v>11.297819945235705</v>
      </c>
      <c r="DY38" s="10">
        <f t="shared" si="95"/>
        <v>5.638197397562484E-2</v>
      </c>
      <c r="DZ38" s="10">
        <f t="shared" si="96"/>
        <v>29.852830181190672</v>
      </c>
      <c r="EA38" s="539">
        <f t="shared" si="97"/>
        <v>5981.9101117069868</v>
      </c>
      <c r="EB38" s="19">
        <f t="shared" si="98"/>
        <v>11.319198110368129</v>
      </c>
      <c r="EC38" s="10">
        <f t="shared" si="99"/>
        <v>5.6488662093862309E-2</v>
      </c>
      <c r="ED38" s="10">
        <f t="shared" si="100"/>
        <v>29.909318843284534</v>
      </c>
      <c r="EE38" s="539">
        <f t="shared" si="101"/>
        <v>5993.229309817355</v>
      </c>
      <c r="EF38" s="19">
        <f t="shared" si="102"/>
        <v>11.340616728078718</v>
      </c>
      <c r="EG38" s="10">
        <f t="shared" si="103"/>
        <v>5.6595552091419893E-2</v>
      </c>
      <c r="EH38" s="10">
        <f t="shared" si="104"/>
        <v>29.965914395375954</v>
      </c>
      <c r="EI38" s="539">
        <f t="shared" si="105"/>
        <v>6004.5699265454332</v>
      </c>
      <c r="EJ38" s="19">
        <f t="shared" si="106"/>
        <v>11.362075874913382</v>
      </c>
      <c r="EK38" s="10">
        <f t="shared" si="107"/>
        <v>5.670264435030134E-2</v>
      </c>
      <c r="EL38" s="10">
        <f t="shared" si="108"/>
        <v>30.022617039726256</v>
      </c>
      <c r="EM38" s="539">
        <f t="shared" si="109"/>
        <v>6015.9320024203471</v>
      </c>
      <c r="EN38" s="19">
        <f t="shared" si="110"/>
        <v>11.383575627562871</v>
      </c>
      <c r="EO38" s="10">
        <f t="shared" si="111"/>
        <v>5.6809939253233216E-2</v>
      </c>
      <c r="EP38" s="10">
        <f t="shared" si="112"/>
        <v>30.079426978979491</v>
      </c>
      <c r="EQ38" s="539">
        <f t="shared" si="113"/>
        <v>6027.3155780479101</v>
      </c>
      <c r="ER38" s="19">
        <f t="shared" si="114"/>
        <v>11.405116062863057</v>
      </c>
      <c r="ES38" s="10">
        <f t="shared" si="115"/>
        <v>5.691743718366632E-2</v>
      </c>
      <c r="ET38" s="10">
        <f t="shared" si="116"/>
        <v>30.136344416163158</v>
      </c>
      <c r="EU38" s="539">
        <f t="shared" si="117"/>
        <v>6038.7206941107734</v>
      </c>
      <c r="EV38" s="19">
        <f t="shared" si="118"/>
        <v>11.426697257795198</v>
      </c>
      <c r="EW38" s="10">
        <f t="shared" si="119"/>
        <v>5.7025138525777015E-2</v>
      </c>
      <c r="EX38" s="10">
        <f t="shared" si="120"/>
        <v>30.193369554688935</v>
      </c>
      <c r="EY38" s="539">
        <f t="shared" si="121"/>
        <v>6050.1473913685686</v>
      </c>
      <c r="EZ38" s="19">
        <f t="shared" si="122"/>
        <v>11.448319289486221</v>
      </c>
      <c r="FA38" s="10">
        <f t="shared" si="123"/>
        <v>5.713304366446862E-2</v>
      </c>
      <c r="FB38" s="10">
        <f t="shared" si="124"/>
        <v>30.250502598353403</v>
      </c>
      <c r="FC38" s="539">
        <f t="shared" si="125"/>
        <v>6061.5957106580545</v>
      </c>
      <c r="FD38" s="19">
        <f t="shared" si="126"/>
        <v>11.469982235208999</v>
      </c>
      <c r="FE38" s="10">
        <f t="shared" si="127"/>
        <v>5.7241152985372787E-2</v>
      </c>
      <c r="FF38" s="10">
        <f t="shared" si="128"/>
        <v>30.307743751338776</v>
      </c>
      <c r="FG38" s="539">
        <f t="shared" si="129"/>
        <v>6073.065692893264</v>
      </c>
      <c r="FH38" s="19">
        <f t="shared" si="130"/>
        <v>11.49168617238262</v>
      </c>
      <c r="FI38" s="10">
        <f t="shared" si="131"/>
        <v>5.7349466874850881E-2</v>
      </c>
      <c r="FJ38" s="10">
        <f t="shared" si="132"/>
        <v>30.365093218213627</v>
      </c>
      <c r="FK38" s="539">
        <f t="shared" si="133"/>
        <v>6084.5573790656463</v>
      </c>
      <c r="FL38" s="19">
        <f t="shared" si="134"/>
        <v>11.513431178572667</v>
      </c>
      <c r="FM38" s="10">
        <f t="shared" si="135"/>
        <v>5.7457985719995344E-2</v>
      </c>
      <c r="FN38" s="10">
        <f t="shared" si="136"/>
        <v>30.422551203933622</v>
      </c>
      <c r="FO38" s="539">
        <f t="shared" si="137"/>
        <v>6096.0708102442195</v>
      </c>
      <c r="FP38" s="19">
        <f t="shared" si="138"/>
        <v>11.535217331491499</v>
      </c>
      <c r="FQ38" s="10">
        <f t="shared" si="139"/>
        <v>5.7566709908631095E-2</v>
      </c>
      <c r="FR38" s="10">
        <f t="shared" si="140"/>
        <v>30.480117913842253</v>
      </c>
      <c r="FS38" s="539">
        <f t="shared" si="141"/>
        <v>6107.6060275757109</v>
      </c>
      <c r="FT38" s="19">
        <f t="shared" si="142"/>
        <v>11.55704470899852</v>
      </c>
      <c r="FU38" s="10">
        <f t="shared" si="143"/>
        <v>5.7675639829316901E-2</v>
      </c>
      <c r="FV38" s="10">
        <f t="shared" si="144"/>
        <v>30.53779355367157</v>
      </c>
      <c r="FW38" s="539">
        <f t="shared" si="145"/>
        <v>6119.1630722847094</v>
      </c>
      <c r="FX38" s="19">
        <f t="shared" si="146"/>
        <v>11.578913389100469</v>
      </c>
      <c r="FY38" s="10">
        <f t="shared" si="147"/>
        <v>5.778477587134679E-2</v>
      </c>
      <c r="FZ38" s="10">
        <f t="shared" si="148"/>
        <v>30.595578329542917</v>
      </c>
      <c r="GA38" s="539">
        <f t="shared" si="149"/>
        <v>6130.7419856738097</v>
      </c>
      <c r="GB38" s="19">
        <f t="shared" si="150"/>
        <v>11.600823449951688</v>
      </c>
      <c r="GC38" s="10">
        <f t="shared" si="151"/>
        <v>5.7894118424751416E-2</v>
      </c>
      <c r="GD38" s="10">
        <f t="shared" si="152"/>
        <v>30.653472447967669</v>
      </c>
      <c r="GE38" s="539">
        <f t="shared" si="153"/>
        <v>6142.3428091237611</v>
      </c>
      <c r="GF38" s="19">
        <f t="shared" si="154"/>
        <v>11.622774969854408</v>
      </c>
      <c r="GG38" s="10">
        <f t="shared" si="155"/>
        <v>5.8003667880299474E-2</v>
      </c>
      <c r="GH38" s="10">
        <f t="shared" si="156"/>
        <v>30.711476115847969</v>
      </c>
      <c r="GI38" s="539">
        <f t="shared" si="157"/>
        <v>6153.9655840936157</v>
      </c>
      <c r="GJ38" s="19">
        <f t="shared" si="158"/>
        <v>11.644768027259021</v>
      </c>
      <c r="GK38" s="10">
        <f t="shared" si="159"/>
        <v>5.8113424629499054E-2</v>
      </c>
      <c r="GL38" s="10">
        <f t="shared" si="160"/>
        <v>30.769589540477469</v>
      </c>
      <c r="GM38" s="539">
        <f t="shared" si="161"/>
        <v>6165.6103521208752</v>
      </c>
      <c r="GN38" s="19">
        <f t="shared" si="162"/>
        <v>11.666802700764373</v>
      </c>
      <c r="GO38" s="10">
        <f t="shared" si="163"/>
        <v>5.8223389064599132E-2</v>
      </c>
      <c r="GP38" s="10">
        <f t="shared" si="164"/>
        <v>30.82781292954207</v>
      </c>
      <c r="GQ38" s="539">
        <f t="shared" si="165"/>
        <v>6177.2771548216397</v>
      </c>
      <c r="GR38" s="19">
        <f t="shared" si="166"/>
        <v>11.688879069118034</v>
      </c>
      <c r="GS38" s="10">
        <f t="shared" si="167"/>
        <v>5.8333561578590848E-2</v>
      </c>
      <c r="GT38" s="10">
        <f t="shared" si="168"/>
        <v>30.886146491120659</v>
      </c>
      <c r="GU38" s="539">
        <f t="shared" si="169"/>
        <v>6188.9660338907579</v>
      </c>
      <c r="GV38" s="19">
        <f t="shared" si="170"/>
        <v>11.710997211216583</v>
      </c>
      <c r="GW38" s="10">
        <f t="shared" si="171"/>
        <v>5.8443942565209017E-2</v>
      </c>
      <c r="GX38" s="10">
        <f t="shared" si="172"/>
        <v>30.944590433685867</v>
      </c>
      <c r="GY38" s="539">
        <f t="shared" si="173"/>
        <v>6200.6770311019736</v>
      </c>
      <c r="GZ38" s="19">
        <f t="shared" si="174"/>
        <v>11.733157206105892</v>
      </c>
      <c r="HA38" s="10">
        <f t="shared" si="175"/>
        <v>5.8554532418933485E-2</v>
      </c>
      <c r="HB38" s="10">
        <f t="shared" si="176"/>
        <v>31.003144966104802</v>
      </c>
      <c r="HC38" s="539">
        <f t="shared" si="177"/>
        <v>6212.4101883080803</v>
      </c>
      <c r="HD38" s="19">
        <f t="shared" si="178"/>
        <v>11.755359132981404</v>
      </c>
      <c r="HE38" s="10">
        <f t="shared" si="179"/>
        <v>5.8665331534990539E-2</v>
      </c>
      <c r="HF38" s="10">
        <f t="shared" si="180"/>
        <v>31.061810297639791</v>
      </c>
      <c r="HG38" s="539">
        <f t="shared" si="181"/>
        <v>6224.1655474410609</v>
      </c>
      <c r="HH38" s="19">
        <f t="shared" si="182"/>
        <v>11.77760307118842</v>
      </c>
      <c r="HI38" s="10">
        <f t="shared" si="183"/>
        <v>5.8776340309354323E-2</v>
      </c>
      <c r="HJ38" s="10">
        <f t="shared" si="184"/>
        <v>31.120586637949145</v>
      </c>
      <c r="HK38" s="539">
        <f t="shared" si="185"/>
        <v>6235.9431505122493</v>
      </c>
      <c r="HL38" s="19">
        <f t="shared" si="186"/>
        <v>11.799889100222384</v>
      </c>
      <c r="HM38" s="10">
        <f t="shared" si="187"/>
        <v>5.8887559138748297E-2</v>
      </c>
      <c r="HN38" s="10">
        <f t="shared" si="188"/>
        <v>31.179474197087895</v>
      </c>
      <c r="HO38" s="539">
        <f t="shared" si="189"/>
        <v>6247.7430396124719</v>
      </c>
      <c r="HP38" s="19">
        <f t="shared" si="190"/>
        <v>11.822217299729159</v>
      </c>
      <c r="HQ38" s="10">
        <f t="shared" si="191"/>
        <v>5.8998988420646568E-2</v>
      </c>
      <c r="HR38" s="10">
        <f t="shared" si="192"/>
        <v>31.238473185508543</v>
      </c>
      <c r="HS38" s="539">
        <f t="shared" si="193"/>
        <v>6259.5652569122012</v>
      </c>
      <c r="HT38" s="19">
        <f t="shared" si="194"/>
        <v>11.844587749505322</v>
      </c>
      <c r="HU38" s="10">
        <f t="shared" si="195"/>
        <v>5.9110628553275389E-2</v>
      </c>
      <c r="HV38" s="10">
        <f t="shared" si="196"/>
        <v>31.297583814061817</v>
      </c>
      <c r="HW38" s="539">
        <f t="shared" si="197"/>
        <v>6271.4098446617063</v>
      </c>
      <c r="HX38" s="19">
        <f t="shared" si="198"/>
        <v>11.867000529498439</v>
      </c>
      <c r="HY38" s="10">
        <f t="shared" si="199"/>
        <v>5.9222479935614525E-2</v>
      </c>
      <c r="HZ38" s="10">
        <f t="shared" si="200"/>
        <v>31.35680629399743</v>
      </c>
      <c r="IA38" s="539">
        <f t="shared" si="201"/>
        <v>6283.2768451912052</v>
      </c>
      <c r="IB38" s="19">
        <f t="shared" si="202"/>
        <v>11.889455719807358</v>
      </c>
      <c r="IF38" s="237"/>
      <c r="IG38" s="229"/>
      <c r="IH38" s="229"/>
      <c r="II38" s="229"/>
      <c r="IJ38" s="229"/>
      <c r="IK38" s="229"/>
      <c r="IL38" s="229"/>
      <c r="IM38" s="229"/>
      <c r="IN38" s="238"/>
      <c r="IO38" s="238"/>
      <c r="IP38" s="646"/>
      <c r="IY38"/>
    </row>
    <row r="39" spans="1:263" ht="13.5" thickBot="1">
      <c r="A39" s="11"/>
      <c r="B39" s="27">
        <f>IG32/I38-1</f>
        <v>-8.3429463188079089E-2</v>
      </c>
      <c r="C39" s="826" t="s">
        <v>2341</v>
      </c>
      <c r="D39" s="47" t="s">
        <v>1140</v>
      </c>
      <c r="E39" s="396">
        <f t="shared" si="333"/>
        <v>6.0338000000000003</v>
      </c>
      <c r="F39" s="242">
        <v>1.0338000000000001</v>
      </c>
      <c r="G39" s="48">
        <f>'Update Stock Prices'!S39</f>
        <v>1127885733.2668991</v>
      </c>
      <c r="H39" s="991">
        <f t="shared" si="27"/>
        <v>9.1658221175084685E-10</v>
      </c>
      <c r="I39" s="49">
        <f>'Update Stock Prices'!D39</f>
        <v>60.21</v>
      </c>
      <c r="J39" s="49">
        <f t="shared" si="1"/>
        <v>62.245098000000006</v>
      </c>
      <c r="K39" s="30">
        <v>45.57</v>
      </c>
      <c r="L39" s="49">
        <f t="shared" si="28"/>
        <v>16.675098000000006</v>
      </c>
      <c r="M39" s="50">
        <f t="shared" si="29"/>
        <v>0.36592271231073087</v>
      </c>
      <c r="N39" s="49">
        <f t="shared" si="30"/>
        <v>44.080092861288449</v>
      </c>
      <c r="O39" s="48">
        <f t="shared" si="334"/>
        <v>5</v>
      </c>
      <c r="P39" s="49">
        <f t="shared" ref="P39:P70" si="342">IF(($B$11-$B$12)-(O39*I39)&lt;0,0,($B$11-$B$12)-(O39*I39))</f>
        <v>19.95999999999998</v>
      </c>
      <c r="Q39" s="30">
        <f>0.46*4</f>
        <v>1.84</v>
      </c>
      <c r="R39" s="49">
        <f t="shared" ref="R39" si="343">S39/365.25</f>
        <v>5.2079178644763866E-3</v>
      </c>
      <c r="S39" s="49">
        <f t="shared" si="335"/>
        <v>1.9021920000000001</v>
      </c>
      <c r="T39" s="49">
        <f t="shared" ref="T39" si="344">S39/12</f>
        <v>0.15851600000000002</v>
      </c>
      <c r="U39" s="49" t="s">
        <v>54</v>
      </c>
      <c r="V39" s="50">
        <f t="shared" si="336"/>
        <v>3.0559707689752535E-2</v>
      </c>
      <c r="W39" s="50">
        <f t="shared" si="7"/>
        <v>4.174219881500988E-2</v>
      </c>
      <c r="X39" s="49">
        <f t="shared" ref="X39:X70" si="345">12*((E39*Q39)/12-T39)</f>
        <v>9.2000000000000011</v>
      </c>
      <c r="Y39" s="49">
        <f t="shared" ref="Y39" si="346">IF(U39="Q",3*T39,IF(U39="Y",12*T39,IF(U39="B",6*T39,IF(U39="M",T39,0))))</f>
        <v>0.47554800000000008</v>
      </c>
      <c r="Z39" s="860">
        <f t="shared" si="337"/>
        <v>0</v>
      </c>
      <c r="AA39" s="860">
        <f t="shared" si="338"/>
        <v>129.85750434782605</v>
      </c>
      <c r="AB39" s="49">
        <f t="shared" si="339"/>
        <v>7818.7203367826069</v>
      </c>
      <c r="AC39" s="48">
        <v>1</v>
      </c>
      <c r="AD39" s="47" t="str">
        <f t="shared" si="340"/>
        <v>DOW</v>
      </c>
      <c r="AE39" s="49">
        <f t="shared" si="341"/>
        <v>62.245098000000006</v>
      </c>
      <c r="AF39" s="50" t="e">
        <f t="shared" si="310"/>
        <v>#REF!</v>
      </c>
      <c r="AG39" s="890" t="e">
        <f t="shared" si="332"/>
        <v>#REF!</v>
      </c>
      <c r="AH39" s="207" t="s">
        <v>1139</v>
      </c>
      <c r="AI39" s="240">
        <f t="shared" si="312"/>
        <v>8.7954617118553065E-3</v>
      </c>
      <c r="AJ39" s="11">
        <f t="shared" si="33"/>
        <v>3</v>
      </c>
      <c r="AK39" s="11"/>
      <c r="AL39" s="11">
        <v>1</v>
      </c>
      <c r="AM39" s="11"/>
      <c r="AN39" s="11"/>
      <c r="AO39" s="11"/>
      <c r="AP39" s="11"/>
      <c r="AQ39" s="11" t="str">
        <f>'Update Stock Prices'!Q39</f>
        <v>big</v>
      </c>
      <c r="AR39" s="11"/>
      <c r="AS39" s="11"/>
      <c r="AT39" s="177" t="s">
        <v>2398</v>
      </c>
      <c r="AU39" s="11"/>
      <c r="AV39" s="836"/>
      <c r="AW39" s="533"/>
      <c r="AX39" s="420">
        <f t="shared" si="314"/>
        <v>72</v>
      </c>
      <c r="AY39" s="19">
        <f t="shared" si="293"/>
        <v>5382.9076906243827</v>
      </c>
      <c r="AZ39" s="19">
        <f t="shared" si="291"/>
        <v>448.5756408853652</v>
      </c>
      <c r="BA39" s="19">
        <f t="shared" si="292"/>
        <v>14.737598057835408</v>
      </c>
      <c r="BB39" s="234">
        <f t="shared" si="294"/>
        <v>133065.47811223473</v>
      </c>
      <c r="BC39" s="19"/>
      <c r="BD39" s="932"/>
      <c r="BE39" s="593">
        <f t="shared" si="17"/>
        <v>0</v>
      </c>
      <c r="BF39" s="725">
        <f t="shared" si="221"/>
        <v>895100.4687162257</v>
      </c>
      <c r="BG39" s="420" t="str">
        <f t="shared" ca="1" si="18"/>
        <v/>
      </c>
      <c r="BH39" s="593">
        <f t="shared" ca="1" si="34"/>
        <v>40</v>
      </c>
      <c r="BI39" s="420">
        <f t="shared" ca="1" si="35"/>
        <v>74</v>
      </c>
      <c r="BJ39" s="420">
        <f t="shared" ca="1" si="35"/>
        <v>80</v>
      </c>
      <c r="BK39" s="420">
        <f t="shared" ca="1" si="36"/>
        <v>2054</v>
      </c>
      <c r="BL39" s="420" t="s">
        <v>1086</v>
      </c>
      <c r="BM39" s="19">
        <f t="shared" si="19"/>
        <v>1361690.9692558001</v>
      </c>
      <c r="BN39" s="19">
        <f>HO149</f>
        <v>466590.50053957448</v>
      </c>
      <c r="BO39" s="19">
        <f>HP149</f>
        <v>34089.326913134595</v>
      </c>
      <c r="BP39" s="183">
        <f t="shared" si="20"/>
        <v>7.3060482100927956E-2</v>
      </c>
      <c r="BQ39" s="19">
        <f t="shared" si="21"/>
        <v>2840.7772427612163</v>
      </c>
      <c r="BS39" s="420" t="str">
        <f t="shared" si="37"/>
        <v>DOW</v>
      </c>
      <c r="BT39" s="425">
        <f t="shared" si="38"/>
        <v>1.0338000000000001</v>
      </c>
      <c r="BU39" s="19">
        <f t="shared" si="39"/>
        <v>60.21</v>
      </c>
      <c r="BV39" s="19">
        <f t="shared" si="40"/>
        <v>62.245098000000006</v>
      </c>
      <c r="BW39" s="539">
        <f t="shared" si="41"/>
        <v>1.84</v>
      </c>
      <c r="BX39" s="19">
        <f t="shared" si="42"/>
        <v>1.9021920000000001</v>
      </c>
      <c r="BY39" s="10">
        <f t="shared" si="43"/>
        <v>3.1592625809666167E-2</v>
      </c>
      <c r="BZ39" s="10">
        <f t="shared" si="44"/>
        <v>1.0653926258096662</v>
      </c>
      <c r="CA39" s="539">
        <f t="shared" si="45"/>
        <v>64.147289999999998</v>
      </c>
      <c r="CB39" s="19">
        <f t="shared" si="46"/>
        <v>1.9603224314897858</v>
      </c>
      <c r="CC39" s="10">
        <f t="shared" si="47"/>
        <v>3.2558087219561299E-2</v>
      </c>
      <c r="CD39" s="10">
        <f t="shared" si="48"/>
        <v>1.0979507130292274</v>
      </c>
      <c r="CE39" s="539">
        <f t="shared" si="49"/>
        <v>66.107612431489784</v>
      </c>
      <c r="CF39" s="19">
        <f t="shared" si="50"/>
        <v>2.0202293119737784</v>
      </c>
      <c r="CG39" s="10">
        <f t="shared" si="51"/>
        <v>3.3553052847928554E-2</v>
      </c>
      <c r="CH39" s="10">
        <f t="shared" si="52"/>
        <v>1.1315037658771561</v>
      </c>
      <c r="CI39" s="539">
        <f t="shared" si="53"/>
        <v>68.127841743463563</v>
      </c>
      <c r="CJ39" s="19">
        <f t="shared" si="54"/>
        <v>2.0819669292139671</v>
      </c>
      <c r="CK39" s="10">
        <f t="shared" si="55"/>
        <v>3.4578424335060073E-2</v>
      </c>
      <c r="CL39" s="10">
        <f t="shared" si="56"/>
        <v>1.166082190212216</v>
      </c>
      <c r="CM39" s="539">
        <f t="shared" si="57"/>
        <v>70.209808672677525</v>
      </c>
      <c r="CN39" s="19">
        <f t="shared" si="58"/>
        <v>2.1455912299904778</v>
      </c>
      <c r="CO39" s="10">
        <f t="shared" si="59"/>
        <v>3.5635130875111741E-2</v>
      </c>
      <c r="CP39" s="10">
        <f t="shared" si="60"/>
        <v>1.2017173210873278</v>
      </c>
      <c r="CQ39" s="539">
        <f t="shared" si="61"/>
        <v>72.355399902668012</v>
      </c>
      <c r="CR39" s="19">
        <f t="shared" si="62"/>
        <v>2.211159870800683</v>
      </c>
      <c r="CS39" s="10">
        <f t="shared" si="63"/>
        <v>3.6724130058141222E-2</v>
      </c>
      <c r="CT39" s="10">
        <f t="shared" si="64"/>
        <v>1.2384414511454689</v>
      </c>
      <c r="CU39" s="539">
        <f t="shared" si="65"/>
        <v>74.566559773468683</v>
      </c>
      <c r="CV39" s="19">
        <f t="shared" si="66"/>
        <v>2.2787322701076627</v>
      </c>
      <c r="CW39" s="10">
        <f t="shared" si="67"/>
        <v>3.7846408737878472E-2</v>
      </c>
      <c r="CX39" s="10">
        <f t="shared" si="68"/>
        <v>1.2762878598833474</v>
      </c>
      <c r="CY39" s="539">
        <f t="shared" si="69"/>
        <v>76.84529204357635</v>
      </c>
      <c r="CZ39" s="19">
        <f t="shared" si="70"/>
        <v>2.3483696621853594</v>
      </c>
      <c r="DA39" s="10">
        <f t="shared" si="71"/>
        <v>3.9002983926014936E-2</v>
      </c>
      <c r="DB39" s="10">
        <f t="shared" si="72"/>
        <v>1.3152908438093622</v>
      </c>
      <c r="DC39" s="539">
        <f t="shared" si="73"/>
        <v>79.193661705761698</v>
      </c>
      <c r="DD39" s="19">
        <f t="shared" si="74"/>
        <v>2.4201351526092267</v>
      </c>
      <c r="DE39" s="10">
        <f t="shared" si="75"/>
        <v>4.0194903713822068E-2</v>
      </c>
      <c r="DF39" s="10">
        <f t="shared" si="76"/>
        <v>1.3554857475231843</v>
      </c>
      <c r="DG39" s="539">
        <f t="shared" si="77"/>
        <v>81.613796858370932</v>
      </c>
      <c r="DH39" s="19">
        <f t="shared" si="78"/>
        <v>2.4940937754426593</v>
      </c>
      <c r="DI39" s="10">
        <f t="shared" si="79"/>
        <v>4.1423248221934217E-2</v>
      </c>
      <c r="DJ39" s="10">
        <f t="shared" si="80"/>
        <v>1.3969089957451186</v>
      </c>
      <c r="DK39" s="539">
        <f t="shared" si="81"/>
        <v>84.107890633813597</v>
      </c>
      <c r="DL39" s="19">
        <f t="shared" si="82"/>
        <v>2.5703125521710182</v>
      </c>
      <c r="DM39" s="10">
        <f t="shared" si="83"/>
        <v>4.2689130579156589E-2</v>
      </c>
      <c r="DN39" s="10">
        <f t="shared" si="84"/>
        <v>1.4395981263242752</v>
      </c>
      <c r="DO39" s="539">
        <f t="shared" si="85"/>
        <v>86.678203185984614</v>
      </c>
      <c r="DP39" s="19">
        <f t="shared" si="86"/>
        <v>2.6488605524366666</v>
      </c>
      <c r="DQ39" s="10">
        <f t="shared" si="87"/>
        <v>4.3993697931185294E-2</v>
      </c>
      <c r="DR39" s="10">
        <f t="shared" si="88"/>
        <v>1.4835918242554604</v>
      </c>
      <c r="DS39" s="539">
        <f t="shared" si="89"/>
        <v>89.327063738421273</v>
      </c>
      <c r="DT39" s="19">
        <f t="shared" si="90"/>
        <v>2.7298089566300474</v>
      </c>
      <c r="DU39" s="10">
        <f t="shared" si="91"/>
        <v>4.5338132480153587E-2</v>
      </c>
      <c r="DV39" s="10">
        <f t="shared" si="92"/>
        <v>1.528929956735614</v>
      </c>
      <c r="DW39" s="539">
        <f t="shared" si="93"/>
        <v>92.056872695051325</v>
      </c>
      <c r="DX39" s="19">
        <f t="shared" si="94"/>
        <v>2.8132311203935298</v>
      </c>
      <c r="DY39" s="10">
        <f t="shared" si="95"/>
        <v>4.6723652555946349E-2</v>
      </c>
      <c r="DZ39" s="10">
        <f t="shared" si="96"/>
        <v>1.5756536092915603</v>
      </c>
      <c r="EA39" s="539">
        <f t="shared" si="97"/>
        <v>94.87010381544485</v>
      </c>
      <c r="EB39" s="19">
        <f t="shared" si="98"/>
        <v>2.8992026410964709</v>
      </c>
      <c r="EC39" s="10">
        <f t="shared" si="99"/>
        <v>4.8151513720253628E-2</v>
      </c>
      <c r="ED39" s="10">
        <f t="shared" si="100"/>
        <v>1.623805123011814</v>
      </c>
      <c r="EE39" s="539">
        <f t="shared" si="101"/>
        <v>97.769306456541329</v>
      </c>
      <c r="EF39" s="19">
        <f t="shared" si="102"/>
        <v>2.9878014263417381</v>
      </c>
      <c r="EG39" s="10">
        <f t="shared" si="103"/>
        <v>4.9623009904363691E-2</v>
      </c>
      <c r="EH39" s="10">
        <f t="shared" si="104"/>
        <v>1.6734281329161778</v>
      </c>
      <c r="EI39" s="539">
        <f t="shared" si="105"/>
        <v>100.75710788288306</v>
      </c>
      <c r="EJ39" s="19">
        <f t="shared" si="106"/>
        <v>3.0791077645657672</v>
      </c>
      <c r="EK39" s="10">
        <f t="shared" si="107"/>
        <v>5.113947458172674E-2</v>
      </c>
      <c r="EL39" s="10">
        <f t="shared" si="108"/>
        <v>1.7245676074979044</v>
      </c>
      <c r="EM39" s="539">
        <f t="shared" si="109"/>
        <v>103.83621564744882</v>
      </c>
      <c r="EN39" s="19">
        <f t="shared" si="110"/>
        <v>3.1732043977961442</v>
      </c>
      <c r="EO39" s="10">
        <f t="shared" si="111"/>
        <v>5.2702281976351836E-2</v>
      </c>
      <c r="EP39" s="10">
        <f t="shared" si="112"/>
        <v>1.7772698894742562</v>
      </c>
      <c r="EQ39" s="539">
        <f t="shared" si="113"/>
        <v>107.00942004524497</v>
      </c>
      <c r="ER39" s="19">
        <f t="shared" si="114"/>
        <v>3.2701765966326315</v>
      </c>
      <c r="ES39" s="10">
        <f t="shared" si="115"/>
        <v>5.4312848308132058E-2</v>
      </c>
      <c r="ET39" s="10">
        <f t="shared" si="116"/>
        <v>1.8315827377823883</v>
      </c>
      <c r="EU39" s="539">
        <f t="shared" si="117"/>
        <v>110.2795966418776</v>
      </c>
      <c r="EV39" s="19">
        <f t="shared" si="118"/>
        <v>3.3701122375195949</v>
      </c>
      <c r="EW39" s="10">
        <f t="shared" si="119"/>
        <v>5.5972633076226457E-2</v>
      </c>
      <c r="EX39" s="10">
        <f t="shared" si="120"/>
        <v>1.8875553708586148</v>
      </c>
      <c r="EY39" s="539">
        <f t="shared" si="121"/>
        <v>113.6497088793972</v>
      </c>
      <c r="EZ39" s="19">
        <f t="shared" si="122"/>
        <v>3.4731018823798512</v>
      </c>
      <c r="FA39" s="10">
        <f t="shared" si="123"/>
        <v>5.7683140381661703E-2</v>
      </c>
      <c r="FB39" s="10">
        <f t="shared" si="124"/>
        <v>1.9452385112402766</v>
      </c>
      <c r="FC39" s="539">
        <f t="shared" si="125"/>
        <v>117.12281076177706</v>
      </c>
      <c r="FD39" s="19">
        <f t="shared" si="126"/>
        <v>3.5792388606821093</v>
      </c>
      <c r="FE39" s="10">
        <f t="shared" si="127"/>
        <v>5.9445920290352255E-2</v>
      </c>
      <c r="FF39" s="10">
        <f t="shared" si="128"/>
        <v>2.0046844315306287</v>
      </c>
      <c r="FG39" s="539">
        <f t="shared" si="129"/>
        <v>120.70204962245916</v>
      </c>
      <c r="FH39" s="19">
        <f t="shared" si="130"/>
        <v>3.6886193540163568</v>
      </c>
      <c r="FI39" s="10">
        <f t="shared" si="131"/>
        <v>6.1262570237773741E-2</v>
      </c>
      <c r="FJ39" s="10">
        <f t="shared" si="132"/>
        <v>2.0659470017684023</v>
      </c>
      <c r="FK39" s="539">
        <f t="shared" si="133"/>
        <v>124.39066897647551</v>
      </c>
      <c r="FL39" s="19">
        <f t="shared" si="134"/>
        <v>3.8013424832538605</v>
      </c>
      <c r="FM39" s="10">
        <f t="shared" si="135"/>
        <v>6.3134736476563036E-2</v>
      </c>
      <c r="FN39" s="10">
        <f t="shared" si="136"/>
        <v>2.1290817382449654</v>
      </c>
      <c r="FO39" s="539">
        <f t="shared" si="137"/>
        <v>128.19201145972937</v>
      </c>
      <c r="FP39" s="19">
        <f t="shared" si="138"/>
        <v>3.9175103983707364</v>
      </c>
      <c r="FQ39" s="10">
        <f t="shared" si="139"/>
        <v>6.5064115568356354E-2</v>
      </c>
      <c r="FR39" s="10">
        <f t="shared" si="140"/>
        <v>2.1941458538133216</v>
      </c>
      <c r="FS39" s="539">
        <f t="shared" si="141"/>
        <v>132.10952185810009</v>
      </c>
      <c r="FT39" s="19">
        <f t="shared" si="142"/>
        <v>4.0372283710165116</v>
      </c>
      <c r="FU39" s="10">
        <f t="shared" si="143"/>
        <v>6.7052455921217599E-2</v>
      </c>
      <c r="FV39" s="10">
        <f t="shared" si="144"/>
        <v>2.2611983097345392</v>
      </c>
      <c r="FW39" s="539">
        <f t="shared" si="145"/>
        <v>136.14675022911661</v>
      </c>
      <c r="FX39" s="19">
        <f t="shared" si="146"/>
        <v>4.1606048899115526</v>
      </c>
      <c r="FY39" s="10">
        <f t="shared" si="147"/>
        <v>6.9101559374050034E-2</v>
      </c>
      <c r="FZ39" s="10">
        <f t="shared" si="148"/>
        <v>2.3302998691085892</v>
      </c>
      <c r="GA39" s="539">
        <f t="shared" si="149"/>
        <v>140.30735511902816</v>
      </c>
      <c r="GB39" s="19">
        <f t="shared" si="150"/>
        <v>4.2877517591598044</v>
      </c>
      <c r="GC39" s="10">
        <f t="shared" si="151"/>
        <v>7.1213282829427071E-2</v>
      </c>
      <c r="GD39" s="10">
        <f t="shared" si="152"/>
        <v>2.4015131519380164</v>
      </c>
      <c r="GE39" s="539">
        <f t="shared" si="153"/>
        <v>144.59510687818798</v>
      </c>
      <c r="GF39" s="19">
        <f t="shared" si="154"/>
        <v>4.41878419956595</v>
      </c>
      <c r="GG39" s="10">
        <f t="shared" si="155"/>
        <v>7.3389539936322037E-2</v>
      </c>
      <c r="GH39" s="10">
        <f t="shared" si="156"/>
        <v>2.4749026918743384</v>
      </c>
      <c r="GI39" s="539">
        <f t="shared" si="157"/>
        <v>149.01389107775393</v>
      </c>
      <c r="GJ39" s="19">
        <f t="shared" si="158"/>
        <v>4.553820953048783</v>
      </c>
      <c r="GK39" s="10">
        <f t="shared" si="159"/>
        <v>7.5632302824261463E-2</v>
      </c>
      <c r="GL39" s="10">
        <f t="shared" si="160"/>
        <v>2.5505349946985998</v>
      </c>
      <c r="GM39" s="539">
        <f t="shared" si="161"/>
        <v>153.56771203080268</v>
      </c>
      <c r="GN39" s="19">
        <f t="shared" si="162"/>
        <v>4.6929843902454236</v>
      </c>
      <c r="GO39" s="10">
        <f t="shared" si="163"/>
        <v>7.7943603890473737E-2</v>
      </c>
      <c r="GP39" s="10">
        <f t="shared" si="164"/>
        <v>2.6284785985890737</v>
      </c>
      <c r="GQ39" s="539">
        <f t="shared" si="165"/>
        <v>158.26069642104812</v>
      </c>
      <c r="GR39" s="19">
        <f t="shared" si="166"/>
        <v>4.8364006214038957</v>
      </c>
      <c r="GS39" s="10">
        <f t="shared" si="167"/>
        <v>8.0325537641652484E-2</v>
      </c>
      <c r="GT39" s="10">
        <f t="shared" si="168"/>
        <v>2.708804136230726</v>
      </c>
      <c r="GU39" s="539">
        <f t="shared" si="169"/>
        <v>163.09709704245202</v>
      </c>
      <c r="GV39" s="19">
        <f t="shared" si="170"/>
        <v>4.9841996106645361</v>
      </c>
      <c r="GW39" s="10">
        <f t="shared" si="171"/>
        <v>8.2780262592003592E-2</v>
      </c>
      <c r="GX39" s="10">
        <f t="shared" si="172"/>
        <v>2.7915843988227298</v>
      </c>
      <c r="GY39" s="539">
        <f t="shared" si="173"/>
        <v>168.08129665311657</v>
      </c>
      <c r="GZ39" s="19">
        <f t="shared" si="174"/>
        <v>5.1365152938338232</v>
      </c>
      <c r="HA39" s="10">
        <f t="shared" si="175"/>
        <v>8.5310003219296188E-2</v>
      </c>
      <c r="HB39" s="10">
        <f t="shared" si="176"/>
        <v>2.876894402042026</v>
      </c>
      <c r="HC39" s="539">
        <f t="shared" si="177"/>
        <v>173.21781194695038</v>
      </c>
      <c r="HD39" s="19">
        <f t="shared" si="178"/>
        <v>5.2934856997573281</v>
      </c>
      <c r="HE39" s="10">
        <f t="shared" si="179"/>
        <v>8.791705198068972E-2</v>
      </c>
      <c r="HF39" s="10">
        <f t="shared" si="180"/>
        <v>2.9648114540227155</v>
      </c>
      <c r="HG39" s="539">
        <f t="shared" si="181"/>
        <v>178.5112976467077</v>
      </c>
      <c r="HH39" s="19">
        <f t="shared" si="182"/>
        <v>5.4552530754017967</v>
      </c>
      <c r="HI39" s="10">
        <f t="shared" si="183"/>
        <v>9.0603771390164373E-2</v>
      </c>
      <c r="HJ39" s="10">
        <f t="shared" si="184"/>
        <v>3.0554152254128799</v>
      </c>
      <c r="HK39" s="539">
        <f t="shared" si="185"/>
        <v>183.9665507221095</v>
      </c>
      <c r="HL39" s="19">
        <f t="shared" si="186"/>
        <v>5.6219640147596994</v>
      </c>
      <c r="HM39" s="10">
        <f t="shared" si="187"/>
        <v>9.3372596159436966E-2</v>
      </c>
      <c r="HN39" s="10">
        <f t="shared" si="188"/>
        <v>3.1487878215723168</v>
      </c>
      <c r="HO39" s="539">
        <f t="shared" si="189"/>
        <v>189.5885147368692</v>
      </c>
      <c r="HP39" s="19">
        <f t="shared" si="190"/>
        <v>5.7937695916930636</v>
      </c>
      <c r="HQ39" s="10">
        <f t="shared" si="191"/>
        <v>9.6226035404302662E-2</v>
      </c>
      <c r="HR39" s="10">
        <f t="shared" si="192"/>
        <v>3.2450138569766196</v>
      </c>
      <c r="HS39" s="539">
        <f t="shared" si="193"/>
        <v>195.38228432856226</v>
      </c>
      <c r="HT39" s="19">
        <f t="shared" si="194"/>
        <v>5.9708254968369801</v>
      </c>
      <c r="HU39" s="10">
        <f t="shared" si="195"/>
        <v>9.916667491840192E-2</v>
      </c>
      <c r="HV39" s="10">
        <f t="shared" si="196"/>
        <v>3.3441805318950215</v>
      </c>
      <c r="HW39" s="539">
        <f t="shared" si="197"/>
        <v>201.35310982539926</v>
      </c>
      <c r="HX39" s="19">
        <f t="shared" si="198"/>
        <v>6.15329217868684</v>
      </c>
      <c r="HY39" s="10">
        <f t="shared" si="199"/>
        <v>0.102197179516473</v>
      </c>
      <c r="HZ39" s="10">
        <f t="shared" si="200"/>
        <v>3.4463777114114946</v>
      </c>
      <c r="IA39" s="539">
        <f t="shared" si="201"/>
        <v>207.50640200408608</v>
      </c>
      <c r="IB39" s="19">
        <f t="shared" si="202"/>
        <v>6.3413349889971506</v>
      </c>
      <c r="IK39" s="11"/>
      <c r="IL39" s="11"/>
      <c r="IY39"/>
    </row>
    <row r="40" spans="1:263">
      <c r="A40" s="20"/>
      <c r="B40" s="442"/>
      <c r="C40" s="826" t="s">
        <v>2342</v>
      </c>
      <c r="D40" s="47" t="s">
        <v>40</v>
      </c>
      <c r="E40" s="396">
        <f t="shared" si="333"/>
        <v>769.51940000000002</v>
      </c>
      <c r="F40" s="242">
        <v>731.51940000000002</v>
      </c>
      <c r="G40" s="48">
        <f>'Update Stock Prices'!S40</f>
        <v>49216248.506571092</v>
      </c>
      <c r="H40" s="991">
        <f t="shared" si="27"/>
        <v>1.4863371796863619E-5</v>
      </c>
      <c r="I40" s="49">
        <f>'Update Stock Prices'!D40</f>
        <v>8.3699999999999992</v>
      </c>
      <c r="J40" s="49">
        <f t="shared" si="1"/>
        <v>6122.8173779999997</v>
      </c>
      <c r="K40" s="30">
        <v>5932.47</v>
      </c>
      <c r="L40" s="49">
        <f t="shared" si="28"/>
        <v>190.34737799999948</v>
      </c>
      <c r="M40" s="50">
        <f t="shared" si="29"/>
        <v>3.2085687411819948E-2</v>
      </c>
      <c r="N40" s="49">
        <f t="shared" si="30"/>
        <v>8.1097917567189608</v>
      </c>
      <c r="O40" s="48">
        <f t="shared" si="334"/>
        <v>38</v>
      </c>
      <c r="P40" s="49">
        <f>IF(($B$11-$B$12)-(O40*I40)&lt;0,0,($B$11-$B$12)-(O40*I40))</f>
        <v>2.9500000000000455</v>
      </c>
      <c r="Q40" s="30">
        <f>0.0415*12</f>
        <v>0.498</v>
      </c>
      <c r="R40" s="49">
        <f t="shared" si="242"/>
        <v>0.99738990061601651</v>
      </c>
      <c r="S40" s="49">
        <f t="shared" si="335"/>
        <v>364.29666120000002</v>
      </c>
      <c r="T40" s="49">
        <f t="shared" si="31"/>
        <v>30.358055100000001</v>
      </c>
      <c r="U40" s="49" t="s">
        <v>56</v>
      </c>
      <c r="V40" s="50">
        <f t="shared" si="336"/>
        <v>5.9498207885304667E-2</v>
      </c>
      <c r="W40" s="50">
        <f t="shared" si="7"/>
        <v>6.140724878507603E-2</v>
      </c>
      <c r="X40" s="49">
        <f>12*((E40*Q40)/12-T40)</f>
        <v>18.923999999999978</v>
      </c>
      <c r="Y40" s="49">
        <f t="shared" si="32"/>
        <v>30.358055100000001</v>
      </c>
      <c r="Z40" s="860">
        <f t="shared" si="337"/>
        <v>1</v>
      </c>
      <c r="AA40" s="860" t="str">
        <f t="shared" si="338"/>
        <v/>
      </c>
      <c r="AB40" s="49" t="str">
        <f t="shared" si="339"/>
        <v/>
      </c>
      <c r="AC40" s="48">
        <v>1</v>
      </c>
      <c r="AD40" s="47" t="str">
        <f t="shared" si="340"/>
        <v>DSM</v>
      </c>
      <c r="AE40" s="49">
        <f t="shared" si="341"/>
        <v>6122.8173779999997</v>
      </c>
      <c r="AF40" s="50" t="e">
        <f t="shared" si="310"/>
        <v>#REF!</v>
      </c>
      <c r="AG40" s="890" t="e">
        <f t="shared" si="332"/>
        <v>#REF!</v>
      </c>
      <c r="AH40" s="207" t="s">
        <v>598</v>
      </c>
      <c r="AI40" s="240">
        <f t="shared" si="312"/>
        <v>85.104190404778137</v>
      </c>
      <c r="AJ40" s="11">
        <f t="shared" si="33"/>
        <v>3</v>
      </c>
      <c r="AK40" s="11"/>
      <c r="AL40" s="11"/>
      <c r="AM40" s="11"/>
      <c r="AN40" s="11"/>
      <c r="AO40" s="11"/>
      <c r="AP40" s="11"/>
      <c r="AQ40" s="11" t="str">
        <f>'Update Stock Prices'!Q40</f>
        <v>small</v>
      </c>
      <c r="AR40" s="11"/>
      <c r="AS40" s="11"/>
      <c r="AT40" s="177" t="s">
        <v>2591</v>
      </c>
      <c r="AU40" s="11"/>
      <c r="AV40" s="838" t="s">
        <v>1707</v>
      </c>
      <c r="AW40" s="452" t="s">
        <v>1707</v>
      </c>
      <c r="AX40" s="420">
        <f t="shared" si="314"/>
        <v>73</v>
      </c>
      <c r="AY40" s="19">
        <f t="shared" si="293"/>
        <v>5322.6191244893898</v>
      </c>
      <c r="AZ40" s="19">
        <f t="shared" si="291"/>
        <v>443.55159370744917</v>
      </c>
      <c r="BA40" s="19">
        <f t="shared" si="292"/>
        <v>14.572536959587651</v>
      </c>
      <c r="BB40" s="234">
        <f t="shared" si="294"/>
        <v>131575.14475737771</v>
      </c>
      <c r="BC40" s="19"/>
      <c r="BD40" s="932"/>
      <c r="BE40" s="593">
        <f t="shared" si="17"/>
        <v>0</v>
      </c>
      <c r="BF40" s="725">
        <f t="shared" si="221"/>
        <v>923960.84809055028</v>
      </c>
      <c r="BG40" s="420" t="str">
        <f t="shared" ca="1" si="18"/>
        <v/>
      </c>
      <c r="BH40" s="593">
        <f t="shared" ca="1" si="34"/>
        <v>41</v>
      </c>
      <c r="BI40" s="420">
        <f t="shared" ca="1" si="35"/>
        <v>75</v>
      </c>
      <c r="BJ40" s="420">
        <f t="shared" ca="1" si="35"/>
        <v>81</v>
      </c>
      <c r="BK40" s="420">
        <f t="shared" ca="1" si="36"/>
        <v>2055</v>
      </c>
      <c r="BL40" s="420" t="s">
        <v>1087</v>
      </c>
      <c r="BM40" s="19">
        <f t="shared" si="19"/>
        <v>1424640.6755432594</v>
      </c>
      <c r="BN40" s="19">
        <f>HS149</f>
        <v>500679.82745270914</v>
      </c>
      <c r="BO40" s="19">
        <f>HT149</f>
        <v>37141.387559158044</v>
      </c>
      <c r="BP40" s="183">
        <f t="shared" si="20"/>
        <v>7.41819133159827E-2</v>
      </c>
      <c r="BQ40" s="19">
        <f t="shared" si="21"/>
        <v>3095.1156299298368</v>
      </c>
      <c r="BS40" s="420" t="str">
        <f t="shared" si="37"/>
        <v>DSM</v>
      </c>
      <c r="BT40" s="425">
        <f t="shared" si="38"/>
        <v>731.51940000000002</v>
      </c>
      <c r="BU40" s="19">
        <f t="shared" si="39"/>
        <v>8.3699999999999992</v>
      </c>
      <c r="BV40" s="19">
        <f t="shared" si="40"/>
        <v>6122.8173779999997</v>
      </c>
      <c r="BW40" s="539">
        <f t="shared" si="41"/>
        <v>0.498</v>
      </c>
      <c r="BX40" s="19">
        <f t="shared" si="42"/>
        <v>364.29666120000002</v>
      </c>
      <c r="BY40" s="10">
        <f t="shared" si="43"/>
        <v>43.52409333333334</v>
      </c>
      <c r="BZ40" s="10">
        <f t="shared" si="44"/>
        <v>775.04349333333334</v>
      </c>
      <c r="CA40" s="539">
        <f t="shared" si="45"/>
        <v>6487.1140391999998</v>
      </c>
      <c r="CB40" s="19">
        <f t="shared" si="46"/>
        <v>385.97165968000002</v>
      </c>
      <c r="CC40" s="10">
        <f t="shared" si="47"/>
        <v>46.113698886499407</v>
      </c>
      <c r="CD40" s="10">
        <f t="shared" si="48"/>
        <v>821.15719221983272</v>
      </c>
      <c r="CE40" s="539">
        <f t="shared" si="49"/>
        <v>6873.0856988799997</v>
      </c>
      <c r="CF40" s="19">
        <f t="shared" si="50"/>
        <v>408.9362817254767</v>
      </c>
      <c r="CG40" s="10">
        <f t="shared" si="51"/>
        <v>48.857381329208692</v>
      </c>
      <c r="CH40" s="10">
        <f t="shared" si="52"/>
        <v>870.01457354904142</v>
      </c>
      <c r="CI40" s="539">
        <f t="shared" si="53"/>
        <v>7282.0219806054756</v>
      </c>
      <c r="CJ40" s="19">
        <f t="shared" si="54"/>
        <v>433.26725762742262</v>
      </c>
      <c r="CK40" s="10">
        <f t="shared" si="55"/>
        <v>51.764307960265555</v>
      </c>
      <c r="CL40" s="10">
        <f t="shared" si="56"/>
        <v>921.77888150930698</v>
      </c>
      <c r="CM40" s="539">
        <f t="shared" si="57"/>
        <v>7715.2892382328992</v>
      </c>
      <c r="CN40" s="19">
        <f t="shared" si="58"/>
        <v>459.04588299163487</v>
      </c>
      <c r="CO40" s="10">
        <f t="shared" si="59"/>
        <v>54.844191516324365</v>
      </c>
      <c r="CP40" s="10">
        <f t="shared" si="60"/>
        <v>976.62307302563136</v>
      </c>
      <c r="CQ40" s="539">
        <f t="shared" si="61"/>
        <v>8174.3351212245334</v>
      </c>
      <c r="CR40" s="19">
        <f t="shared" si="62"/>
        <v>486.35829036676444</v>
      </c>
      <c r="CS40" s="10">
        <f t="shared" si="63"/>
        <v>58.107322624464096</v>
      </c>
      <c r="CT40" s="10">
        <f t="shared" si="64"/>
        <v>1034.7303956500955</v>
      </c>
      <c r="CU40" s="539">
        <f t="shared" si="65"/>
        <v>8660.6934115912991</v>
      </c>
      <c r="CV40" s="19">
        <f t="shared" si="66"/>
        <v>515.29573703374751</v>
      </c>
      <c r="CW40" s="10">
        <f t="shared" si="67"/>
        <v>61.564604185632923</v>
      </c>
      <c r="CX40" s="10">
        <f t="shared" si="68"/>
        <v>1096.2949998357285</v>
      </c>
      <c r="CY40" s="539">
        <f t="shared" si="69"/>
        <v>9175.9891486250472</v>
      </c>
      <c r="CZ40" s="19">
        <f t="shared" si="70"/>
        <v>545.95490991819281</v>
      </c>
      <c r="DA40" s="10">
        <f t="shared" si="71"/>
        <v>65.22758780384622</v>
      </c>
      <c r="DB40" s="10">
        <f t="shared" si="72"/>
        <v>1161.5225876395748</v>
      </c>
      <c r="DC40" s="539">
        <f t="shared" si="73"/>
        <v>9721.9440585432403</v>
      </c>
      <c r="DD40" s="19">
        <f t="shared" si="74"/>
        <v>578.43824864450823</v>
      </c>
      <c r="DE40" s="10">
        <f t="shared" si="75"/>
        <v>69.108512382856432</v>
      </c>
      <c r="DF40" s="10">
        <f t="shared" si="76"/>
        <v>1230.6311000224312</v>
      </c>
      <c r="DG40" s="539">
        <f t="shared" si="77"/>
        <v>10300.382307187749</v>
      </c>
      <c r="DH40" s="19">
        <f t="shared" si="78"/>
        <v>612.85428781117071</v>
      </c>
      <c r="DI40" s="10">
        <f t="shared" si="79"/>
        <v>73.22034501925576</v>
      </c>
      <c r="DJ40" s="10">
        <f t="shared" si="80"/>
        <v>1303.8514450416869</v>
      </c>
      <c r="DK40" s="539">
        <f t="shared" si="81"/>
        <v>10913.236594998918</v>
      </c>
      <c r="DL40" s="19">
        <f t="shared" si="82"/>
        <v>649.31801963076009</v>
      </c>
      <c r="DM40" s="10">
        <f t="shared" si="83"/>
        <v>77.576824328645174</v>
      </c>
      <c r="DN40" s="10">
        <f t="shared" si="84"/>
        <v>1381.4282693703321</v>
      </c>
      <c r="DO40" s="539">
        <f t="shared" si="85"/>
        <v>11562.554614629678</v>
      </c>
      <c r="DP40" s="19">
        <f t="shared" si="86"/>
        <v>687.95127814642535</v>
      </c>
      <c r="DQ40" s="10">
        <f t="shared" si="87"/>
        <v>82.192506349632666</v>
      </c>
      <c r="DR40" s="10">
        <f t="shared" si="88"/>
        <v>1463.6207757199647</v>
      </c>
      <c r="DS40" s="539">
        <f t="shared" si="89"/>
        <v>12250.505892776104</v>
      </c>
      <c r="DT40" s="19">
        <f t="shared" si="90"/>
        <v>728.88314630854245</v>
      </c>
      <c r="DU40" s="10">
        <f t="shared" si="91"/>
        <v>87.082813179037345</v>
      </c>
      <c r="DV40" s="10">
        <f t="shared" si="92"/>
        <v>1550.7035888990022</v>
      </c>
      <c r="DW40" s="539">
        <f t="shared" si="93"/>
        <v>12979.389039084646</v>
      </c>
      <c r="DX40" s="19">
        <f t="shared" si="94"/>
        <v>772.25038727170306</v>
      </c>
      <c r="DY40" s="10">
        <f t="shared" si="95"/>
        <v>92.264084500800848</v>
      </c>
      <c r="DZ40" s="10">
        <f t="shared" si="96"/>
        <v>1642.9676733998031</v>
      </c>
      <c r="EA40" s="539">
        <f t="shared" si="97"/>
        <v>13751.639426356351</v>
      </c>
      <c r="EB40" s="19">
        <f t="shared" si="98"/>
        <v>818.19790135310188</v>
      </c>
      <c r="EC40" s="10">
        <f t="shared" si="99"/>
        <v>97.753632180776819</v>
      </c>
      <c r="ED40" s="10">
        <f t="shared" si="100"/>
        <v>1740.7213055805798</v>
      </c>
      <c r="EE40" s="539">
        <f t="shared" si="101"/>
        <v>14569.837327709452</v>
      </c>
      <c r="EF40" s="19">
        <f t="shared" si="102"/>
        <v>866.87921017912879</v>
      </c>
      <c r="EG40" s="10">
        <f t="shared" si="103"/>
        <v>103.5697981098123</v>
      </c>
      <c r="EH40" s="10">
        <f t="shared" si="104"/>
        <v>1844.2911036903922</v>
      </c>
      <c r="EI40" s="539">
        <f t="shared" si="105"/>
        <v>15436.716537888582</v>
      </c>
      <c r="EJ40" s="19">
        <f t="shared" si="106"/>
        <v>918.45696963781529</v>
      </c>
      <c r="EK40" s="10">
        <f t="shared" si="107"/>
        <v>109.73201548838894</v>
      </c>
      <c r="EL40" s="10">
        <f t="shared" si="108"/>
        <v>1954.0231191787811</v>
      </c>
      <c r="EM40" s="539">
        <f t="shared" si="109"/>
        <v>16355.173507526397</v>
      </c>
      <c r="EN40" s="19">
        <f t="shared" si="110"/>
        <v>973.10351335103303</v>
      </c>
      <c r="EO40" s="10">
        <f t="shared" si="111"/>
        <v>116.26087375759057</v>
      </c>
      <c r="EP40" s="10">
        <f t="shared" si="112"/>
        <v>2070.2839929363718</v>
      </c>
      <c r="EQ40" s="539">
        <f t="shared" si="113"/>
        <v>17328.277020877431</v>
      </c>
      <c r="ER40" s="19">
        <f t="shared" si="114"/>
        <v>1031.001428482313</v>
      </c>
      <c r="ES40" s="10">
        <f t="shared" si="115"/>
        <v>123.17818739334685</v>
      </c>
      <c r="ET40" s="10">
        <f t="shared" si="116"/>
        <v>2193.4621803297186</v>
      </c>
      <c r="EU40" s="539">
        <f t="shared" si="117"/>
        <v>18359.278449359743</v>
      </c>
      <c r="EV40" s="19">
        <f t="shared" si="118"/>
        <v>1092.3441658042</v>
      </c>
      <c r="EW40" s="10">
        <f t="shared" si="119"/>
        <v>130.50706879381124</v>
      </c>
      <c r="EX40" s="10">
        <f t="shared" si="120"/>
        <v>2323.9692491235301</v>
      </c>
      <c r="EY40" s="539">
        <f t="shared" si="121"/>
        <v>19451.622615163946</v>
      </c>
      <c r="EZ40" s="19">
        <f t="shared" si="122"/>
        <v>1157.3366860635181</v>
      </c>
      <c r="FA40" s="10">
        <f t="shared" si="123"/>
        <v>138.2720055034072</v>
      </c>
      <c r="FB40" s="10">
        <f t="shared" si="124"/>
        <v>2462.2412546269375</v>
      </c>
      <c r="FC40" s="539">
        <f t="shared" si="125"/>
        <v>20608.959301227464</v>
      </c>
      <c r="FD40" s="19">
        <f t="shared" si="126"/>
        <v>1226.1961448042148</v>
      </c>
      <c r="FE40" s="10">
        <f t="shared" si="127"/>
        <v>146.49894203156688</v>
      </c>
      <c r="FF40" s="10">
        <f t="shared" si="128"/>
        <v>2608.7401966585044</v>
      </c>
      <c r="FG40" s="539">
        <f t="shared" si="129"/>
        <v>21835.15544603168</v>
      </c>
      <c r="FH40" s="19">
        <f t="shared" si="130"/>
        <v>1299.1526179359353</v>
      </c>
      <c r="FI40" s="10">
        <f t="shared" si="131"/>
        <v>155.21536653953828</v>
      </c>
      <c r="FJ40" s="10">
        <f t="shared" si="132"/>
        <v>2763.9555631980425</v>
      </c>
      <c r="FK40" s="539">
        <f t="shared" si="133"/>
        <v>23134.308063967612</v>
      </c>
      <c r="FL40" s="19">
        <f t="shared" si="134"/>
        <v>1376.4498704726252</v>
      </c>
      <c r="FM40" s="10">
        <f t="shared" si="135"/>
        <v>164.45040268490146</v>
      </c>
      <c r="FN40" s="10">
        <f t="shared" si="136"/>
        <v>2928.4059658829437</v>
      </c>
      <c r="FO40" s="539">
        <f t="shared" si="137"/>
        <v>24510.757934440237</v>
      </c>
      <c r="FP40" s="19">
        <f t="shared" si="138"/>
        <v>1458.346171009706</v>
      </c>
      <c r="FQ40" s="10">
        <f t="shared" si="139"/>
        <v>174.23490693066978</v>
      </c>
      <c r="FR40" s="10">
        <f t="shared" si="140"/>
        <v>3102.6408728136134</v>
      </c>
      <c r="FS40" s="539">
        <f t="shared" si="141"/>
        <v>25969.104105449944</v>
      </c>
      <c r="FT40" s="19">
        <f t="shared" si="142"/>
        <v>1545.1151546611795</v>
      </c>
      <c r="FU40" s="10">
        <f t="shared" si="143"/>
        <v>184.60157164410748</v>
      </c>
      <c r="FV40" s="10">
        <f t="shared" si="144"/>
        <v>3287.2424444577209</v>
      </c>
      <c r="FW40" s="539">
        <f t="shared" si="145"/>
        <v>27514.21926011112</v>
      </c>
      <c r="FX40" s="19">
        <f t="shared" si="146"/>
        <v>1637.0467373399449</v>
      </c>
      <c r="FY40" s="10">
        <f t="shared" si="147"/>
        <v>195.58503432974254</v>
      </c>
      <c r="FZ40" s="10">
        <f t="shared" si="148"/>
        <v>3482.8274787874634</v>
      </c>
      <c r="GA40" s="539">
        <f t="shared" si="149"/>
        <v>29151.265997451064</v>
      </c>
      <c r="GB40" s="19">
        <f t="shared" si="150"/>
        <v>1734.4480844361567</v>
      </c>
      <c r="GC40" s="10">
        <f t="shared" si="151"/>
        <v>207.22199336154802</v>
      </c>
      <c r="GD40" s="10">
        <f t="shared" si="152"/>
        <v>3690.0494721490113</v>
      </c>
      <c r="GE40" s="539">
        <f t="shared" si="153"/>
        <v>30885.714081887221</v>
      </c>
      <c r="GF40" s="19">
        <f t="shared" si="154"/>
        <v>1837.6446371302077</v>
      </c>
      <c r="GG40" s="10">
        <f t="shared" si="155"/>
        <v>219.55133060098063</v>
      </c>
      <c r="GH40" s="10">
        <f t="shared" si="156"/>
        <v>3909.600802749992</v>
      </c>
      <c r="GI40" s="539">
        <f t="shared" si="157"/>
        <v>32723.358719017429</v>
      </c>
      <c r="GJ40" s="19">
        <f t="shared" si="158"/>
        <v>1946.981199769496</v>
      </c>
      <c r="GK40" s="10">
        <f t="shared" si="159"/>
        <v>232.61424131057302</v>
      </c>
      <c r="GL40" s="10">
        <f t="shared" si="160"/>
        <v>4142.2150440605647</v>
      </c>
      <c r="GM40" s="539">
        <f t="shared" si="161"/>
        <v>34670.339918786922</v>
      </c>
      <c r="GN40" s="19">
        <f t="shared" si="162"/>
        <v>2062.8230919421612</v>
      </c>
      <c r="GO40" s="10">
        <f t="shared" si="163"/>
        <v>246.45437179715191</v>
      </c>
      <c r="GP40" s="10">
        <f t="shared" si="164"/>
        <v>4388.6694158577166</v>
      </c>
      <c r="GQ40" s="539">
        <f t="shared" si="165"/>
        <v>36733.163010729084</v>
      </c>
      <c r="GR40" s="19">
        <f t="shared" si="166"/>
        <v>2185.5573690971428</v>
      </c>
      <c r="GS40" s="10">
        <f t="shared" si="167"/>
        <v>261.117965244581</v>
      </c>
      <c r="GT40" s="10">
        <f t="shared" si="168"/>
        <v>4649.7873811022973</v>
      </c>
      <c r="GU40" s="539">
        <f t="shared" si="169"/>
        <v>38918.720379826227</v>
      </c>
      <c r="GV40" s="19">
        <f t="shared" si="170"/>
        <v>2315.5941157889442</v>
      </c>
      <c r="GW40" s="10">
        <f t="shared" si="171"/>
        <v>276.65401622329085</v>
      </c>
      <c r="GX40" s="10">
        <f t="shared" si="172"/>
        <v>4926.4413973255878</v>
      </c>
      <c r="GY40" s="539">
        <f t="shared" si="173"/>
        <v>41234.314495615166</v>
      </c>
      <c r="GZ40" s="19">
        <f t="shared" si="174"/>
        <v>2453.3678158681428</v>
      </c>
      <c r="HA40" s="10">
        <f t="shared" si="175"/>
        <v>293.11443439284864</v>
      </c>
      <c r="HB40" s="10">
        <f t="shared" si="176"/>
        <v>5219.5558317184368</v>
      </c>
      <c r="HC40" s="539">
        <f t="shared" si="177"/>
        <v>43687.68231148331</v>
      </c>
      <c r="HD40" s="19">
        <f t="shared" si="178"/>
        <v>2599.3388041957814</v>
      </c>
      <c r="HE40" s="10">
        <f t="shared" si="179"/>
        <v>310.55421794453781</v>
      </c>
      <c r="HF40" s="10">
        <f t="shared" si="180"/>
        <v>5530.1100496629742</v>
      </c>
      <c r="HG40" s="539">
        <f t="shared" si="181"/>
        <v>46287.02111567909</v>
      </c>
      <c r="HH40" s="19">
        <f t="shared" si="182"/>
        <v>2753.9948047321614</v>
      </c>
      <c r="HI40" s="10">
        <f t="shared" si="183"/>
        <v>329.03163736346016</v>
      </c>
      <c r="HJ40" s="10">
        <f t="shared" si="184"/>
        <v>5859.1416870264347</v>
      </c>
      <c r="HK40" s="539">
        <f t="shared" si="185"/>
        <v>49041.015920411257</v>
      </c>
      <c r="HL40" s="19">
        <f t="shared" si="186"/>
        <v>2917.8525601391643</v>
      </c>
      <c r="HM40" s="10">
        <f t="shared" si="187"/>
        <v>348.60843012415347</v>
      </c>
      <c r="HN40" s="10">
        <f t="shared" si="188"/>
        <v>6207.7501171505883</v>
      </c>
      <c r="HO40" s="539">
        <f t="shared" si="189"/>
        <v>51958.868480550416</v>
      </c>
      <c r="HP40" s="19">
        <f t="shared" si="190"/>
        <v>3091.4595583409928</v>
      </c>
      <c r="HQ40" s="10">
        <f t="shared" si="191"/>
        <v>369.35000697025009</v>
      </c>
      <c r="HR40" s="10">
        <f t="shared" si="192"/>
        <v>6577.1001241208387</v>
      </c>
      <c r="HS40" s="539">
        <f t="shared" si="193"/>
        <v>55050.328038891414</v>
      </c>
      <c r="HT40" s="19">
        <f t="shared" si="194"/>
        <v>3275.3958618121778</v>
      </c>
      <c r="HU40" s="10">
        <f t="shared" si="195"/>
        <v>391.32567046740479</v>
      </c>
      <c r="HV40" s="10">
        <f t="shared" si="196"/>
        <v>6968.4257945882437</v>
      </c>
      <c r="HW40" s="539">
        <f t="shared" si="197"/>
        <v>58325.723900703597</v>
      </c>
      <c r="HX40" s="19">
        <f t="shared" si="198"/>
        <v>3470.2760457049453</v>
      </c>
      <c r="HY40" s="10">
        <f t="shared" si="199"/>
        <v>414.60884655973064</v>
      </c>
      <c r="HZ40" s="10">
        <f t="shared" si="200"/>
        <v>7383.0346411479741</v>
      </c>
      <c r="IA40" s="539">
        <f t="shared" si="201"/>
        <v>61795.999946408534</v>
      </c>
      <c r="IB40" s="19">
        <f t="shared" si="202"/>
        <v>3676.751251291691</v>
      </c>
      <c r="IF40" s="216" t="s">
        <v>1353</v>
      </c>
      <c r="IG40" s="217" t="s">
        <v>1354</v>
      </c>
      <c r="IH40" s="217" t="s">
        <v>1357</v>
      </c>
      <c r="II40" s="217" t="s">
        <v>1355</v>
      </c>
      <c r="IJ40" s="592" t="s">
        <v>1402</v>
      </c>
      <c r="IP40" s="7" t="s">
        <v>1335</v>
      </c>
      <c r="IY40"/>
      <c r="JC40" s="11"/>
    </row>
    <row r="41" spans="1:263">
      <c r="A41" s="509"/>
      <c r="B41" s="442"/>
      <c r="C41" s="826" t="s">
        <v>2344</v>
      </c>
      <c r="D41" s="47" t="s">
        <v>89</v>
      </c>
      <c r="E41" s="396">
        <f t="shared" si="333"/>
        <v>623.00479999999993</v>
      </c>
      <c r="F41" s="242">
        <v>450.00479999999999</v>
      </c>
      <c r="G41" s="48">
        <f>'Update Stock Prices'!S41</f>
        <v>16470270.270270269</v>
      </c>
      <c r="H41" s="991">
        <f t="shared" si="27"/>
        <v>2.7322247456514606E-5</v>
      </c>
      <c r="I41" s="49">
        <f>'Update Stock Prices'!D41</f>
        <v>1.85</v>
      </c>
      <c r="J41" s="49">
        <f t="shared" si="1"/>
        <v>832.50887999999998</v>
      </c>
      <c r="K41" s="30">
        <v>1131.23</v>
      </c>
      <c r="L41" s="49">
        <f t="shared" si="28"/>
        <v>-298.72112000000004</v>
      </c>
      <c r="M41" s="50">
        <f t="shared" si="29"/>
        <v>-0.26406753710562841</v>
      </c>
      <c r="N41" s="49">
        <f t="shared" si="30"/>
        <v>2.5138176303897204</v>
      </c>
      <c r="O41" s="48">
        <f t="shared" si="334"/>
        <v>173</v>
      </c>
      <c r="P41" s="49">
        <f t="shared" si="342"/>
        <v>0.95999999999997954</v>
      </c>
      <c r="Q41" s="30">
        <f>0.035*4</f>
        <v>0.14000000000000001</v>
      </c>
      <c r="R41" s="49">
        <f t="shared" si="242"/>
        <v>0.17248643942505135</v>
      </c>
      <c r="S41" s="49">
        <f t="shared" si="335"/>
        <v>63.000672000000002</v>
      </c>
      <c r="T41" s="49">
        <f t="shared" si="31"/>
        <v>5.2500559999999998</v>
      </c>
      <c r="U41" s="49" t="s">
        <v>54</v>
      </c>
      <c r="V41" s="50">
        <f t="shared" si="336"/>
        <v>7.567567567567568E-2</v>
      </c>
      <c r="W41" s="50">
        <f t="shared" si="7"/>
        <v>5.5692186381195691E-2</v>
      </c>
      <c r="X41" s="49">
        <f>12*((E41*Q41)/12-T41)</f>
        <v>24.219999999999992</v>
      </c>
      <c r="Y41" s="49">
        <f t="shared" si="32"/>
        <v>15.750167999999999</v>
      </c>
      <c r="Z41" s="860">
        <f t="shared" si="337"/>
        <v>1</v>
      </c>
      <c r="AA41" s="860" t="str">
        <f t="shared" si="338"/>
        <v/>
      </c>
      <c r="AB41" s="49" t="str">
        <f t="shared" si="339"/>
        <v/>
      </c>
      <c r="AC41" s="48">
        <v>1</v>
      </c>
      <c r="AD41" s="47" t="str">
        <f t="shared" si="340"/>
        <v>DSWL</v>
      </c>
      <c r="AE41" s="49">
        <f t="shared" si="341"/>
        <v>832.50887999999998</v>
      </c>
      <c r="AF41" s="50" t="e">
        <f t="shared" si="310"/>
        <v>#REF!</v>
      </c>
      <c r="AG41" s="890" t="e">
        <f t="shared" si="332"/>
        <v>#REF!</v>
      </c>
      <c r="AH41" s="207" t="s">
        <v>90</v>
      </c>
      <c r="AI41" s="240">
        <f t="shared" si="312"/>
        <v>1.5733526703492904</v>
      </c>
      <c r="AJ41" s="11">
        <f t="shared" si="33"/>
        <v>4</v>
      </c>
      <c r="AK41" s="11"/>
      <c r="AL41" s="11"/>
      <c r="AM41" s="11"/>
      <c r="AN41" s="11"/>
      <c r="AO41" s="11"/>
      <c r="AP41" s="11"/>
      <c r="AQ41" s="11" t="str">
        <f>'Update Stock Prices'!Q41</f>
        <v>nano</v>
      </c>
      <c r="AR41" s="11"/>
      <c r="AS41" s="11"/>
      <c r="AT41" s="177" t="s">
        <v>2621</v>
      </c>
      <c r="AU41" s="11"/>
      <c r="AV41" s="761">
        <f>AV84-AV38</f>
        <v>-1590001.4011917096</v>
      </c>
      <c r="AW41" s="186">
        <f>AV84-AW38</f>
        <v>-748228.80895869993</v>
      </c>
      <c r="AX41" s="420">
        <f t="shared" si="314"/>
        <v>74</v>
      </c>
      <c r="AY41" s="19">
        <f t="shared" si="293"/>
        <v>5263.0057902951085</v>
      </c>
      <c r="AZ41" s="19">
        <f t="shared" si="291"/>
        <v>438.58381585792569</v>
      </c>
      <c r="BA41" s="19">
        <f t="shared" si="292"/>
        <v>14.409324545640269</v>
      </c>
      <c r="BB41" s="234">
        <f t="shared" si="294"/>
        <v>130101.50313609508</v>
      </c>
      <c r="BC41" s="19"/>
      <c r="BD41" s="932"/>
      <c r="BE41" s="593">
        <f t="shared" si="17"/>
        <v>0</v>
      </c>
      <c r="BF41" s="725">
        <f t="shared" si="221"/>
        <v>953398.43505236134</v>
      </c>
      <c r="BG41" s="420" t="str">
        <f t="shared" ca="1" si="18"/>
        <v/>
      </c>
      <c r="BH41" s="593">
        <f t="shared" ca="1" si="34"/>
        <v>42</v>
      </c>
      <c r="BI41" s="420">
        <f t="shared" ca="1" si="35"/>
        <v>76</v>
      </c>
      <c r="BJ41" s="420">
        <f t="shared" ca="1" si="35"/>
        <v>82</v>
      </c>
      <c r="BK41" s="420">
        <f t="shared" ca="1" si="36"/>
        <v>2056</v>
      </c>
      <c r="BL41" s="420" t="s">
        <v>1088</v>
      </c>
      <c r="BM41" s="19">
        <f t="shared" si="19"/>
        <v>1491219.6500642281</v>
      </c>
      <c r="BN41" s="19">
        <f>HW149</f>
        <v>537821.21501186688</v>
      </c>
      <c r="BO41" s="19">
        <f>HX149</f>
        <v>40501.805299241358</v>
      </c>
      <c r="BP41" s="183">
        <f t="shared" si="20"/>
        <v>7.530719162565519E-2</v>
      </c>
      <c r="BQ41" s="19">
        <f t="shared" si="21"/>
        <v>3375.1504416034463</v>
      </c>
      <c r="BS41" s="420" t="str">
        <f t="shared" si="37"/>
        <v>DSWL</v>
      </c>
      <c r="BT41" s="425">
        <f t="shared" si="38"/>
        <v>450.00479999999999</v>
      </c>
      <c r="BU41" s="19">
        <f t="shared" si="39"/>
        <v>1.85</v>
      </c>
      <c r="BV41" s="19">
        <f t="shared" si="40"/>
        <v>832.50887999999998</v>
      </c>
      <c r="BW41" s="539">
        <f t="shared" si="41"/>
        <v>0.14000000000000001</v>
      </c>
      <c r="BX41" s="19">
        <f t="shared" si="42"/>
        <v>63.000672000000002</v>
      </c>
      <c r="BY41" s="10">
        <f t="shared" si="43"/>
        <v>34.054417297297299</v>
      </c>
      <c r="BZ41" s="10">
        <f t="shared" si="44"/>
        <v>484.05921729729727</v>
      </c>
      <c r="CA41" s="539">
        <f t="shared" si="45"/>
        <v>895.50955199999999</v>
      </c>
      <c r="CB41" s="19">
        <f t="shared" si="46"/>
        <v>67.768290421621629</v>
      </c>
      <c r="CC41" s="10">
        <f t="shared" si="47"/>
        <v>36.631508336011692</v>
      </c>
      <c r="CD41" s="10">
        <f t="shared" si="48"/>
        <v>520.69072563330894</v>
      </c>
      <c r="CE41" s="539">
        <f t="shared" si="49"/>
        <v>963.27784242162159</v>
      </c>
      <c r="CF41" s="19">
        <f t="shared" si="50"/>
        <v>72.896701588663262</v>
      </c>
      <c r="CG41" s="10">
        <f t="shared" si="51"/>
        <v>39.403622480358521</v>
      </c>
      <c r="CH41" s="10">
        <f t="shared" si="52"/>
        <v>560.09434811366748</v>
      </c>
      <c r="CI41" s="539">
        <f t="shared" si="53"/>
        <v>1036.174544010285</v>
      </c>
      <c r="CJ41" s="19">
        <f t="shared" si="54"/>
        <v>78.413208735913457</v>
      </c>
      <c r="CK41" s="10">
        <f t="shared" si="55"/>
        <v>42.385518235628894</v>
      </c>
      <c r="CL41" s="10">
        <f t="shared" si="56"/>
        <v>602.47986634929634</v>
      </c>
      <c r="CM41" s="539">
        <f t="shared" si="57"/>
        <v>1114.5877527461982</v>
      </c>
      <c r="CN41" s="19">
        <f t="shared" si="58"/>
        <v>84.347181288901496</v>
      </c>
      <c r="CO41" s="10">
        <f t="shared" si="59"/>
        <v>45.593070966973777</v>
      </c>
      <c r="CP41" s="10">
        <f t="shared" si="60"/>
        <v>648.0729373162701</v>
      </c>
      <c r="CQ41" s="539">
        <f t="shared" si="61"/>
        <v>1198.9349340350998</v>
      </c>
      <c r="CR41" s="19">
        <f t="shared" si="62"/>
        <v>90.730211224277824</v>
      </c>
      <c r="CS41" s="10">
        <f t="shared" si="63"/>
        <v>49.043357418528551</v>
      </c>
      <c r="CT41" s="10">
        <f t="shared" si="64"/>
        <v>697.11629473479866</v>
      </c>
      <c r="CU41" s="539">
        <f t="shared" si="65"/>
        <v>1289.6651452593776</v>
      </c>
      <c r="CV41" s="19">
        <f t="shared" si="66"/>
        <v>97.596281262871827</v>
      </c>
      <c r="CW41" s="10">
        <f t="shared" si="67"/>
        <v>52.754746628579362</v>
      </c>
      <c r="CX41" s="10">
        <f t="shared" si="68"/>
        <v>749.87104136337803</v>
      </c>
      <c r="CY41" s="539">
        <f t="shared" si="69"/>
        <v>1387.2614265222494</v>
      </c>
      <c r="CZ41" s="19">
        <f t="shared" si="70"/>
        <v>104.98194579087293</v>
      </c>
      <c r="DA41" s="10">
        <f t="shared" si="71"/>
        <v>56.746997724796174</v>
      </c>
      <c r="DB41" s="10">
        <f t="shared" si="72"/>
        <v>806.61803908817421</v>
      </c>
      <c r="DC41" s="539">
        <f t="shared" si="73"/>
        <v>1492.2433723131223</v>
      </c>
      <c r="DD41" s="19">
        <f t="shared" si="74"/>
        <v>112.92652547234439</v>
      </c>
      <c r="DE41" s="10">
        <f t="shared" si="75"/>
        <v>61.041365120186157</v>
      </c>
      <c r="DF41" s="10">
        <f t="shared" si="76"/>
        <v>867.65940420836034</v>
      </c>
      <c r="DG41" s="539">
        <f t="shared" si="77"/>
        <v>1605.1698977854667</v>
      </c>
      <c r="DH41" s="19">
        <f t="shared" si="78"/>
        <v>121.47231658917046</v>
      </c>
      <c r="DI41" s="10">
        <f t="shared" si="79"/>
        <v>65.660711669821865</v>
      </c>
      <c r="DJ41" s="10">
        <f t="shared" si="80"/>
        <v>933.32011587818215</v>
      </c>
      <c r="DK41" s="539">
        <f t="shared" si="81"/>
        <v>1726.642214374637</v>
      </c>
      <c r="DL41" s="19">
        <f t="shared" si="82"/>
        <v>130.66481622294552</v>
      </c>
      <c r="DM41" s="10">
        <f t="shared" si="83"/>
        <v>70.629630390781358</v>
      </c>
      <c r="DN41" s="10">
        <f t="shared" si="84"/>
        <v>1003.9497462689635</v>
      </c>
      <c r="DO41" s="539">
        <f t="shared" si="85"/>
        <v>1857.3070305975825</v>
      </c>
      <c r="DP41" s="19">
        <f t="shared" si="86"/>
        <v>140.55296447765491</v>
      </c>
      <c r="DQ41" s="10">
        <f t="shared" si="87"/>
        <v>75.974575393326973</v>
      </c>
      <c r="DR41" s="10">
        <f t="shared" si="88"/>
        <v>1079.9243216622904</v>
      </c>
      <c r="DS41" s="539">
        <f t="shared" si="89"/>
        <v>1997.8599950752373</v>
      </c>
      <c r="DT41" s="19">
        <f t="shared" si="90"/>
        <v>151.18940503272066</v>
      </c>
      <c r="DU41" s="10">
        <f t="shared" si="91"/>
        <v>81.724002720389535</v>
      </c>
      <c r="DV41" s="10">
        <f t="shared" si="92"/>
        <v>1161.6483243826799</v>
      </c>
      <c r="DW41" s="539">
        <f t="shared" si="93"/>
        <v>2149.0494001079578</v>
      </c>
      <c r="DX41" s="19">
        <f t="shared" si="94"/>
        <v>162.6307654135752</v>
      </c>
      <c r="DY41" s="10">
        <f t="shared" si="95"/>
        <v>87.908521845175784</v>
      </c>
      <c r="DZ41" s="10">
        <f t="shared" si="96"/>
        <v>1249.5568462278557</v>
      </c>
      <c r="EA41" s="539">
        <f t="shared" si="97"/>
        <v>2311.6801655215331</v>
      </c>
      <c r="EB41" s="19">
        <f t="shared" si="98"/>
        <v>174.9379584718998</v>
      </c>
      <c r="EC41" s="10">
        <f t="shared" si="99"/>
        <v>94.561058633459353</v>
      </c>
      <c r="ED41" s="10">
        <f t="shared" si="100"/>
        <v>1344.1179048613151</v>
      </c>
      <c r="EE41" s="539">
        <f t="shared" si="101"/>
        <v>2486.6181239934331</v>
      </c>
      <c r="EF41" s="19">
        <f t="shared" si="102"/>
        <v>188.17650668058414</v>
      </c>
      <c r="EG41" s="10">
        <f t="shared" si="103"/>
        <v>101.71703063815359</v>
      </c>
      <c r="EH41" s="10">
        <f t="shared" si="104"/>
        <v>1445.8349354994687</v>
      </c>
      <c r="EI41" s="539">
        <f t="shared" si="105"/>
        <v>2674.7946306740173</v>
      </c>
      <c r="EJ41" s="19">
        <f t="shared" si="106"/>
        <v>202.41689096992562</v>
      </c>
      <c r="EK41" s="10">
        <f t="shared" si="107"/>
        <v>109.41453565941924</v>
      </c>
      <c r="EL41" s="10">
        <f t="shared" si="108"/>
        <v>1555.2494711588879</v>
      </c>
      <c r="EM41" s="539">
        <f t="shared" si="109"/>
        <v>2877.2115216439429</v>
      </c>
      <c r="EN41" s="19">
        <f t="shared" si="110"/>
        <v>217.73492596224432</v>
      </c>
      <c r="EO41" s="10">
        <f t="shared" si="111"/>
        <v>117.69455457418611</v>
      </c>
      <c r="EP41" s="10">
        <f t="shared" si="112"/>
        <v>1672.9440257330741</v>
      </c>
      <c r="EQ41" s="539">
        <f t="shared" si="113"/>
        <v>3094.9464476061871</v>
      </c>
      <c r="ER41" s="19">
        <f t="shared" si="114"/>
        <v>234.2121636026304</v>
      </c>
      <c r="ES41" s="10">
        <f t="shared" si="115"/>
        <v>126.60116951493535</v>
      </c>
      <c r="ET41" s="10">
        <f t="shared" si="116"/>
        <v>1799.5451952480093</v>
      </c>
      <c r="EU41" s="539">
        <f t="shared" si="117"/>
        <v>3329.1586112088175</v>
      </c>
      <c r="EV41" s="19">
        <f t="shared" si="118"/>
        <v>251.93632733472134</v>
      </c>
      <c r="EW41" s="10">
        <f t="shared" si="119"/>
        <v>136.18179855930882</v>
      </c>
      <c r="EX41" s="10">
        <f t="shared" si="120"/>
        <v>1935.7269938073182</v>
      </c>
      <c r="EY41" s="539">
        <f t="shared" si="121"/>
        <v>3581.0949385435388</v>
      </c>
      <c r="EZ41" s="19">
        <f t="shared" si="122"/>
        <v>271.00177913302457</v>
      </c>
      <c r="FA41" s="10">
        <f t="shared" si="123"/>
        <v>146.48744818001327</v>
      </c>
      <c r="FB41" s="10">
        <f t="shared" si="124"/>
        <v>2082.2144419873316</v>
      </c>
      <c r="FC41" s="539">
        <f t="shared" si="125"/>
        <v>3852.0967176765635</v>
      </c>
      <c r="FD41" s="19">
        <f t="shared" si="126"/>
        <v>291.51002187822644</v>
      </c>
      <c r="FE41" s="10">
        <f t="shared" si="127"/>
        <v>157.57298479904131</v>
      </c>
      <c r="FF41" s="10">
        <f t="shared" si="128"/>
        <v>2239.7874267863731</v>
      </c>
      <c r="FG41" s="539">
        <f t="shared" si="129"/>
        <v>4143.6067395547907</v>
      </c>
      <c r="FH41" s="19">
        <f t="shared" si="130"/>
        <v>313.57023975009224</v>
      </c>
      <c r="FI41" s="10">
        <f t="shared" si="131"/>
        <v>169.49742689194176</v>
      </c>
      <c r="FJ41" s="10">
        <f t="shared" si="132"/>
        <v>2409.2848536783149</v>
      </c>
      <c r="FK41" s="539">
        <f t="shared" si="133"/>
        <v>4457.1769793048825</v>
      </c>
      <c r="FL41" s="19">
        <f t="shared" si="134"/>
        <v>337.29987951496412</v>
      </c>
      <c r="FM41" s="10">
        <f t="shared" si="135"/>
        <v>182.32425919727788</v>
      </c>
      <c r="FN41" s="10">
        <f t="shared" si="136"/>
        <v>2591.6091128755929</v>
      </c>
      <c r="FO41" s="539">
        <f t="shared" si="137"/>
        <v>4794.4768588198467</v>
      </c>
      <c r="FP41" s="19">
        <f t="shared" si="138"/>
        <v>362.82527580258306</v>
      </c>
      <c r="FQ41" s="10">
        <f t="shared" si="139"/>
        <v>196.12177070409894</v>
      </c>
      <c r="FR41" s="10">
        <f t="shared" si="140"/>
        <v>2787.7308835796921</v>
      </c>
      <c r="FS41" s="539">
        <f t="shared" si="141"/>
        <v>5157.3021346224305</v>
      </c>
      <c r="FT41" s="19">
        <f t="shared" si="142"/>
        <v>390.28232370115694</v>
      </c>
      <c r="FU41" s="10">
        <f t="shared" si="143"/>
        <v>210.96341821684157</v>
      </c>
      <c r="FV41" s="10">
        <f t="shared" si="144"/>
        <v>2998.6943017965336</v>
      </c>
      <c r="FW41" s="539">
        <f t="shared" si="145"/>
        <v>5547.5844583235876</v>
      </c>
      <c r="FX41" s="19">
        <f t="shared" si="146"/>
        <v>419.81720225151474</v>
      </c>
      <c r="FY41" s="10">
        <f t="shared" si="147"/>
        <v>226.92821743325121</v>
      </c>
      <c r="FZ41" s="10">
        <f t="shared" si="148"/>
        <v>3225.6225192297848</v>
      </c>
      <c r="GA41" s="539">
        <f t="shared" si="149"/>
        <v>5967.4016605751021</v>
      </c>
      <c r="GB41" s="19">
        <f t="shared" si="150"/>
        <v>451.58715269216992</v>
      </c>
      <c r="GC41" s="10">
        <f t="shared" si="151"/>
        <v>244.10116361738915</v>
      </c>
      <c r="GD41" s="10">
        <f t="shared" si="152"/>
        <v>3469.7236828471741</v>
      </c>
      <c r="GE41" s="539">
        <f t="shared" si="153"/>
        <v>6418.9888132672722</v>
      </c>
      <c r="GF41" s="19">
        <f t="shared" si="154"/>
        <v>485.76131559860443</v>
      </c>
      <c r="GG41" s="10">
        <f t="shared" si="155"/>
        <v>262.57368410735376</v>
      </c>
      <c r="GH41" s="10">
        <f t="shared" si="156"/>
        <v>3732.2973669545281</v>
      </c>
      <c r="GI41" s="539">
        <f t="shared" si="157"/>
        <v>6904.7501288658777</v>
      </c>
      <c r="GJ41" s="19">
        <f t="shared" si="158"/>
        <v>522.52163137363402</v>
      </c>
      <c r="GK41" s="10">
        <f t="shared" si="159"/>
        <v>282.4441250668292</v>
      </c>
      <c r="GL41" s="10">
        <f t="shared" si="160"/>
        <v>4014.7414920213573</v>
      </c>
      <c r="GM41" s="539">
        <f t="shared" si="161"/>
        <v>7427.2717602395114</v>
      </c>
      <c r="GN41" s="19">
        <f t="shared" si="162"/>
        <v>562.06380888299009</v>
      </c>
      <c r="GO41" s="10">
        <f t="shared" si="163"/>
        <v>303.81827507188655</v>
      </c>
      <c r="GP41" s="10">
        <f t="shared" si="164"/>
        <v>4318.5597670932439</v>
      </c>
      <c r="GQ41" s="539">
        <f t="shared" si="165"/>
        <v>7989.3355691225015</v>
      </c>
      <c r="GR41" s="19">
        <f t="shared" si="166"/>
        <v>604.59836739305422</v>
      </c>
      <c r="GS41" s="10">
        <f t="shared" si="167"/>
        <v>326.80992832056984</v>
      </c>
      <c r="GT41" s="10">
        <f t="shared" si="168"/>
        <v>4645.369695413814</v>
      </c>
      <c r="GU41" s="539">
        <f t="shared" si="169"/>
        <v>8593.9339365155556</v>
      </c>
      <c r="GV41" s="19">
        <f t="shared" si="170"/>
        <v>650.35175735793405</v>
      </c>
      <c r="GW41" s="10">
        <f t="shared" si="171"/>
        <v>351.54149046374812</v>
      </c>
      <c r="GX41" s="10">
        <f t="shared" si="172"/>
        <v>4996.9111858775623</v>
      </c>
      <c r="GY41" s="539">
        <f t="shared" si="173"/>
        <v>9244.2856938734913</v>
      </c>
      <c r="GZ41" s="19">
        <f t="shared" si="174"/>
        <v>699.56756602285884</v>
      </c>
      <c r="HA41" s="10">
        <f t="shared" si="175"/>
        <v>378.14463028262639</v>
      </c>
      <c r="HB41" s="10">
        <f t="shared" si="176"/>
        <v>5375.0558161601884</v>
      </c>
      <c r="HC41" s="539">
        <f t="shared" si="177"/>
        <v>9943.8532598963484</v>
      </c>
      <c r="HD41" s="19">
        <f t="shared" si="178"/>
        <v>752.50781426242645</v>
      </c>
      <c r="HE41" s="10">
        <f t="shared" si="179"/>
        <v>406.76098068239264</v>
      </c>
      <c r="HF41" s="10">
        <f t="shared" si="180"/>
        <v>5781.8167968425814</v>
      </c>
      <c r="HG41" s="539">
        <f t="shared" si="181"/>
        <v>10696.361074158776</v>
      </c>
      <c r="HH41" s="19">
        <f t="shared" si="182"/>
        <v>809.45435155796144</v>
      </c>
      <c r="HI41" s="10">
        <f t="shared" si="183"/>
        <v>437.54289273403322</v>
      </c>
      <c r="HJ41" s="10">
        <f t="shared" si="184"/>
        <v>6219.359689576615</v>
      </c>
      <c r="HK41" s="539">
        <f t="shared" si="185"/>
        <v>11505.815425716739</v>
      </c>
      <c r="HL41" s="19">
        <f t="shared" si="186"/>
        <v>870.71035654072614</v>
      </c>
      <c r="HM41" s="10">
        <f t="shared" si="187"/>
        <v>470.65424677877087</v>
      </c>
      <c r="HN41" s="10">
        <f t="shared" si="188"/>
        <v>6690.0139363553862</v>
      </c>
      <c r="HO41" s="539">
        <f t="shared" si="189"/>
        <v>12376.525782257466</v>
      </c>
      <c r="HP41" s="19">
        <f t="shared" si="190"/>
        <v>936.60195108975415</v>
      </c>
      <c r="HQ41" s="10">
        <f t="shared" si="191"/>
        <v>506.27132491338062</v>
      </c>
      <c r="HR41" s="10">
        <f t="shared" si="192"/>
        <v>7196.2852612687666</v>
      </c>
      <c r="HS41" s="539">
        <f t="shared" si="193"/>
        <v>13313.127733347219</v>
      </c>
      <c r="HT41" s="19">
        <f t="shared" si="194"/>
        <v>1007.4799365776274</v>
      </c>
      <c r="HU41" s="10">
        <f t="shared" si="195"/>
        <v>544.58374950142024</v>
      </c>
      <c r="HV41" s="10">
        <f t="shared" si="196"/>
        <v>7740.8690107701868</v>
      </c>
      <c r="HW41" s="539">
        <f t="shared" si="197"/>
        <v>14320.607669924846</v>
      </c>
      <c r="HX41" s="19">
        <f t="shared" si="198"/>
        <v>1083.7216615078262</v>
      </c>
      <c r="HY41" s="10">
        <f t="shared" si="199"/>
        <v>585.79549270693303</v>
      </c>
      <c r="HZ41" s="10">
        <f t="shared" si="200"/>
        <v>8326.6645034771191</v>
      </c>
      <c r="IA41" s="539">
        <f t="shared" si="201"/>
        <v>15404.329331432671</v>
      </c>
      <c r="IB41" s="19">
        <f t="shared" si="202"/>
        <v>1165.7330304867967</v>
      </c>
      <c r="IF41" s="224" t="s">
        <v>2509</v>
      </c>
      <c r="IG41" s="420">
        <v>1</v>
      </c>
      <c r="IH41" s="19">
        <f>IF15</f>
        <v>229.14</v>
      </c>
      <c r="II41" s="420" t="str">
        <f>IF16</f>
        <v>Undervalued</v>
      </c>
      <c r="IJ41" s="236">
        <f>RANK(IH41,$IH$41:$IH$54)</f>
        <v>2</v>
      </c>
      <c r="IK41" s="19"/>
      <c r="IL41" s="19"/>
      <c r="IP41" s="420" t="s">
        <v>272</v>
      </c>
      <c r="IQ41" s="11" t="s">
        <v>1338</v>
      </c>
      <c r="IR41" s="11" t="s">
        <v>1339</v>
      </c>
      <c r="IY41"/>
    </row>
    <row r="42" spans="1:263">
      <c r="A42" s="509"/>
      <c r="B42" s="9"/>
      <c r="C42" s="1216" t="s">
        <v>2345</v>
      </c>
      <c r="D42" s="47" t="s">
        <v>1146</v>
      </c>
      <c r="E42" s="396">
        <f t="shared" si="333"/>
        <v>11.039899999999999</v>
      </c>
      <c r="F42" s="242">
        <v>1.0399</v>
      </c>
      <c r="G42" s="48">
        <f>'Update Stock Prices'!S42</f>
        <v>1859564939.2194498</v>
      </c>
      <c r="H42" s="991">
        <f t="shared" si="27"/>
        <v>5.5921682435919495E-10</v>
      </c>
      <c r="I42" s="49">
        <f>'Update Stock Prices'!D42</f>
        <v>31.26</v>
      </c>
      <c r="J42" s="49">
        <f t="shared" si="1"/>
        <v>32.507274000000002</v>
      </c>
      <c r="K42" s="30">
        <v>34.46</v>
      </c>
      <c r="L42" s="49">
        <f t="shared" si="28"/>
        <v>-1.9527259999999984</v>
      </c>
      <c r="M42" s="50">
        <f t="shared" si="29"/>
        <v>-5.6666453859547251E-2</v>
      </c>
      <c r="N42" s="49">
        <f t="shared" si="30"/>
        <v>33.137801711703048</v>
      </c>
      <c r="O42" s="48">
        <f t="shared" si="334"/>
        <v>10</v>
      </c>
      <c r="P42" s="49">
        <f t="shared" si="342"/>
        <v>8.4099999999999682</v>
      </c>
      <c r="Q42" s="30">
        <f>1.93</f>
        <v>1.93</v>
      </c>
      <c r="R42" s="49">
        <f t="shared" ref="R42" si="347">S42/365.25</f>
        <v>5.4948856947296381E-3</v>
      </c>
      <c r="S42" s="49">
        <f t="shared" si="335"/>
        <v>2.0070070000000002</v>
      </c>
      <c r="T42" s="49">
        <f t="shared" ref="T42" si="348">S42/12</f>
        <v>0.16725058333333334</v>
      </c>
      <c r="U42" s="49" t="s">
        <v>882</v>
      </c>
      <c r="V42" s="50">
        <f t="shared" si="336"/>
        <v>6.1740243122200889E-2</v>
      </c>
      <c r="W42" s="50">
        <f t="shared" si="7"/>
        <v>5.8241642484039471E-2</v>
      </c>
      <c r="X42" s="49">
        <f t="shared" si="345"/>
        <v>19.299999999999997</v>
      </c>
      <c r="Y42" s="49">
        <f t="shared" ref="Y42" si="349">IF(U42="Q",3*T42,IF(U42="Y",12*T42,IF(U42="B",6*T42,IF(U42="M",T42,0))))</f>
        <v>1.0035035000000001</v>
      </c>
      <c r="Z42" s="860">
        <f t="shared" si="337"/>
        <v>0</v>
      </c>
      <c r="AA42" s="860">
        <f t="shared" si="338"/>
        <v>31.353882383419691</v>
      </c>
      <c r="AB42" s="49">
        <f t="shared" si="339"/>
        <v>980.12236330569965</v>
      </c>
      <c r="AC42" s="48">
        <v>1</v>
      </c>
      <c r="AD42" s="47" t="str">
        <f t="shared" si="340"/>
        <v>E</v>
      </c>
      <c r="AE42" s="49">
        <f t="shared" si="341"/>
        <v>32.507274000000002</v>
      </c>
      <c r="AF42" s="50" t="e">
        <f t="shared" si="310"/>
        <v>#REF!</v>
      </c>
      <c r="AG42" s="890" t="e">
        <f t="shared" si="332"/>
        <v>#REF!</v>
      </c>
      <c r="AH42" s="207" t="s">
        <v>1141</v>
      </c>
      <c r="AI42" s="240">
        <f t="shared" si="312"/>
        <v>2.3988850399892267E-3</v>
      </c>
      <c r="AJ42" s="11">
        <f t="shared" si="33"/>
        <v>1</v>
      </c>
      <c r="AK42" s="11"/>
      <c r="AL42" s="11"/>
      <c r="AM42" s="11"/>
      <c r="AN42" s="11"/>
      <c r="AO42" s="11"/>
      <c r="AP42" s="11"/>
      <c r="AQ42" s="11" t="str">
        <f>'Update Stock Prices'!Q42</f>
        <v>big</v>
      </c>
      <c r="AR42" s="11"/>
      <c r="AS42" s="11"/>
      <c r="AT42" s="177" t="s">
        <v>2651</v>
      </c>
      <c r="AU42" s="11"/>
      <c r="AV42" s="660"/>
      <c r="AW42" s="236"/>
      <c r="AX42" s="420">
        <f t="shared" si="314"/>
        <v>75</v>
      </c>
      <c r="AY42" s="19">
        <f t="shared" si="293"/>
        <v>5204.0601254438034</v>
      </c>
      <c r="AZ42" s="19">
        <f t="shared" si="291"/>
        <v>433.67167712031693</v>
      </c>
      <c r="BA42" s="19">
        <f t="shared" si="292"/>
        <v>14.247940110729099</v>
      </c>
      <c r="BB42" s="234">
        <f t="shared" si="294"/>
        <v>128644.36630097081</v>
      </c>
      <c r="BC42" s="19"/>
      <c r="BD42" s="932"/>
      <c r="BE42" s="593">
        <f t="shared" si="17"/>
        <v>0</v>
      </c>
      <c r="BF42" s="725">
        <f t="shared" si="221"/>
        <v>983424.77375340858</v>
      </c>
      <c r="BG42" s="420" t="str">
        <f t="shared" ca="1" si="18"/>
        <v/>
      </c>
      <c r="BH42" s="593">
        <f t="shared" ca="1" si="34"/>
        <v>43</v>
      </c>
      <c r="BI42" s="420">
        <f t="shared" ca="1" si="35"/>
        <v>77</v>
      </c>
      <c r="BJ42" s="420">
        <f t="shared" ca="1" si="35"/>
        <v>83</v>
      </c>
      <c r="BK42" s="420">
        <f t="shared" ca="1" si="36"/>
        <v>2057</v>
      </c>
      <c r="BL42" s="420" t="s">
        <v>1089</v>
      </c>
      <c r="BM42" s="19">
        <f t="shared" si="19"/>
        <v>1561747.7940645171</v>
      </c>
      <c r="BN42" s="19">
        <f>IA149</f>
        <v>578323.02031110867</v>
      </c>
      <c r="BO42" s="19">
        <f>IB149</f>
        <v>44204.32616166184</v>
      </c>
      <c r="BP42" s="183">
        <f t="shared" si="20"/>
        <v>7.6435356382462766E-2</v>
      </c>
      <c r="BQ42" s="19">
        <f t="shared" si="21"/>
        <v>3683.6938468051535</v>
      </c>
      <c r="BS42" s="420" t="str">
        <f t="shared" si="37"/>
        <v>E</v>
      </c>
      <c r="BT42" s="425">
        <f t="shared" si="38"/>
        <v>1.0399</v>
      </c>
      <c r="BU42" s="19">
        <f t="shared" si="39"/>
        <v>31.26</v>
      </c>
      <c r="BV42" s="19">
        <f t="shared" si="40"/>
        <v>32.507274000000002</v>
      </c>
      <c r="BW42" s="539">
        <f t="shared" si="41"/>
        <v>1.93</v>
      </c>
      <c r="BX42" s="19">
        <f t="shared" si="42"/>
        <v>2.0070070000000002</v>
      </c>
      <c r="BY42" s="10">
        <f t="shared" si="43"/>
        <v>6.4203678822776708E-2</v>
      </c>
      <c r="BZ42" s="10">
        <f t="shared" si="44"/>
        <v>1.1041036788227767</v>
      </c>
      <c r="CA42" s="539">
        <f t="shared" si="45"/>
        <v>34.514281000000004</v>
      </c>
      <c r="CB42" s="19">
        <f t="shared" si="46"/>
        <v>2.130920100127959</v>
      </c>
      <c r="CC42" s="10">
        <f t="shared" si="47"/>
        <v>6.8167629562634641E-2</v>
      </c>
      <c r="CD42" s="10">
        <f t="shared" si="48"/>
        <v>1.1722713083854113</v>
      </c>
      <c r="CE42" s="539">
        <f t="shared" si="49"/>
        <v>36.645201100127956</v>
      </c>
      <c r="CF42" s="19">
        <f t="shared" si="50"/>
        <v>2.2624836251838438</v>
      </c>
      <c r="CG42" s="10">
        <f t="shared" si="51"/>
        <v>7.2376315584895837E-2</v>
      </c>
      <c r="CH42" s="10">
        <f t="shared" si="52"/>
        <v>1.244647623970307</v>
      </c>
      <c r="CI42" s="539">
        <f t="shared" si="53"/>
        <v>38.907684725311803</v>
      </c>
      <c r="CJ42" s="19">
        <f t="shared" si="54"/>
        <v>2.4021699142626924</v>
      </c>
      <c r="CK42" s="10">
        <f t="shared" si="55"/>
        <v>7.6844846905396433E-2</v>
      </c>
      <c r="CL42" s="10">
        <f t="shared" si="56"/>
        <v>1.3214924708757034</v>
      </c>
      <c r="CM42" s="539">
        <f t="shared" si="57"/>
        <v>41.309854639574489</v>
      </c>
      <c r="CN42" s="19">
        <f t="shared" si="58"/>
        <v>2.5504804687901075</v>
      </c>
      <c r="CO42" s="10">
        <f t="shared" si="59"/>
        <v>8.1589266436023905E-2</v>
      </c>
      <c r="CP42" s="10">
        <f t="shared" si="60"/>
        <v>1.4030817373117273</v>
      </c>
      <c r="CQ42" s="539">
        <f t="shared" si="61"/>
        <v>43.860335108364595</v>
      </c>
      <c r="CR42" s="19">
        <f t="shared" si="62"/>
        <v>2.7079477530116334</v>
      </c>
      <c r="CS42" s="10">
        <f t="shared" si="63"/>
        <v>8.6626607581946041E-2</v>
      </c>
      <c r="CT42" s="10">
        <f t="shared" si="64"/>
        <v>1.4897083448936732</v>
      </c>
      <c r="CU42" s="539">
        <f t="shared" si="65"/>
        <v>46.568282861376225</v>
      </c>
      <c r="CV42" s="19">
        <f t="shared" si="66"/>
        <v>2.8751371056447894</v>
      </c>
      <c r="CW42" s="10">
        <f t="shared" si="67"/>
        <v>9.1974955394906882E-2</v>
      </c>
      <c r="CX42" s="10">
        <f t="shared" si="68"/>
        <v>1.5816833002885802</v>
      </c>
      <c r="CY42" s="539">
        <f t="shared" si="69"/>
        <v>49.443419967021022</v>
      </c>
      <c r="CZ42" s="19">
        <f t="shared" si="70"/>
        <v>3.0526487695569595</v>
      </c>
      <c r="DA42" s="10">
        <f t="shared" si="71"/>
        <v>9.7653511502142021E-2</v>
      </c>
      <c r="DB42" s="10">
        <f t="shared" si="72"/>
        <v>1.6793368117907221</v>
      </c>
      <c r="DC42" s="539">
        <f t="shared" si="73"/>
        <v>52.496068736577975</v>
      </c>
      <c r="DD42" s="19">
        <f t="shared" si="74"/>
        <v>3.2411200467560937</v>
      </c>
      <c r="DE42" s="10">
        <f t="shared" si="75"/>
        <v>0.10368266304402091</v>
      </c>
      <c r="DF42" s="10">
        <f t="shared" si="76"/>
        <v>1.783019474834743</v>
      </c>
      <c r="DG42" s="539">
        <f t="shared" si="77"/>
        <v>55.737188783334069</v>
      </c>
      <c r="DH42" s="19">
        <f t="shared" si="78"/>
        <v>3.441227586431054</v>
      </c>
      <c r="DI42" s="10">
        <f t="shared" si="79"/>
        <v>0.11008405586791599</v>
      </c>
      <c r="DJ42" s="10">
        <f t="shared" si="80"/>
        <v>1.8931035307026589</v>
      </c>
      <c r="DK42" s="539">
        <f t="shared" si="81"/>
        <v>59.178416369765124</v>
      </c>
      <c r="DL42" s="19">
        <f t="shared" si="82"/>
        <v>3.6536898142561314</v>
      </c>
      <c r="DM42" s="10">
        <f t="shared" si="83"/>
        <v>0.11688067224107905</v>
      </c>
      <c r="DN42" s="10">
        <f t="shared" si="84"/>
        <v>2.009984202943738</v>
      </c>
      <c r="DO42" s="539">
        <f t="shared" si="85"/>
        <v>62.832106184021256</v>
      </c>
      <c r="DP42" s="19">
        <f t="shared" si="86"/>
        <v>3.8792695116814144</v>
      </c>
      <c r="DQ42" s="10">
        <f t="shared" si="87"/>
        <v>0.12409691336152956</v>
      </c>
      <c r="DR42" s="10">
        <f t="shared" si="88"/>
        <v>2.1340811163052678</v>
      </c>
      <c r="DS42" s="539">
        <f t="shared" si="89"/>
        <v>66.711375695702671</v>
      </c>
      <c r="DT42" s="19">
        <f t="shared" si="90"/>
        <v>4.118776554469167</v>
      </c>
      <c r="DU42" s="10">
        <f t="shared" si="91"/>
        <v>0.13175868696318513</v>
      </c>
      <c r="DV42" s="10">
        <f t="shared" si="92"/>
        <v>2.2658398032684528</v>
      </c>
      <c r="DW42" s="539">
        <f t="shared" si="93"/>
        <v>70.830152250171835</v>
      </c>
      <c r="DX42" s="19">
        <f t="shared" si="94"/>
        <v>4.3730708203081141</v>
      </c>
      <c r="DY42" s="10">
        <f t="shared" si="95"/>
        <v>0.13989350032975412</v>
      </c>
      <c r="DZ42" s="10">
        <f t="shared" si="96"/>
        <v>2.4057333035982067</v>
      </c>
      <c r="EA42" s="539">
        <f t="shared" si="97"/>
        <v>75.20322307047995</v>
      </c>
      <c r="EB42" s="19">
        <f t="shared" si="98"/>
        <v>4.6430652759445392</v>
      </c>
      <c r="EC42" s="10">
        <f t="shared" si="99"/>
        <v>0.14853055905132881</v>
      </c>
      <c r="ED42" s="10">
        <f t="shared" si="100"/>
        <v>2.5542638626495355</v>
      </c>
      <c r="EE42" s="539">
        <f t="shared" si="101"/>
        <v>79.846288346424487</v>
      </c>
      <c r="EF42" s="19">
        <f t="shared" si="102"/>
        <v>4.9297292549136031</v>
      </c>
      <c r="EG42" s="10">
        <f t="shared" si="103"/>
        <v>0.15770087187823426</v>
      </c>
      <c r="EH42" s="10">
        <f t="shared" si="104"/>
        <v>2.7119647345277698</v>
      </c>
      <c r="EI42" s="539">
        <f t="shared" si="105"/>
        <v>84.776017601338083</v>
      </c>
      <c r="EJ42" s="19">
        <f t="shared" si="106"/>
        <v>5.2340919376385955</v>
      </c>
      <c r="EK42" s="10">
        <f t="shared" si="107"/>
        <v>0.16743736204857951</v>
      </c>
      <c r="EL42" s="10">
        <f t="shared" si="108"/>
        <v>2.8794020965763494</v>
      </c>
      <c r="EM42" s="539">
        <f t="shared" si="109"/>
        <v>90.010109538976693</v>
      </c>
      <c r="EN42" s="19">
        <f t="shared" si="110"/>
        <v>5.5572460463923541</v>
      </c>
      <c r="EO42" s="10">
        <f t="shared" si="111"/>
        <v>0.17777498548919879</v>
      </c>
      <c r="EP42" s="10">
        <f t="shared" si="112"/>
        <v>3.0571770820655484</v>
      </c>
      <c r="EQ42" s="539">
        <f t="shared" si="113"/>
        <v>95.567355585369043</v>
      </c>
      <c r="ER42" s="19">
        <f t="shared" si="114"/>
        <v>5.9003517683865079</v>
      </c>
      <c r="ES42" s="10">
        <f t="shared" si="115"/>
        <v>0.18875085631434765</v>
      </c>
      <c r="ET42" s="10">
        <f t="shared" si="116"/>
        <v>3.245927938379896</v>
      </c>
      <c r="EU42" s="539">
        <f t="shared" si="117"/>
        <v>101.46770735375556</v>
      </c>
      <c r="EV42" s="19">
        <f t="shared" si="118"/>
        <v>6.264640921073199</v>
      </c>
      <c r="EW42" s="10">
        <f t="shared" si="119"/>
        <v>0.2004043800727191</v>
      </c>
      <c r="EX42" s="10">
        <f t="shared" si="120"/>
        <v>3.4463323184526153</v>
      </c>
      <c r="EY42" s="539">
        <f t="shared" si="121"/>
        <v>107.73234827482877</v>
      </c>
      <c r="EZ42" s="19">
        <f t="shared" si="122"/>
        <v>6.6514213746135473</v>
      </c>
      <c r="FA42" s="10">
        <f t="shared" si="123"/>
        <v>0.21277739522116274</v>
      </c>
      <c r="FB42" s="10">
        <f t="shared" si="124"/>
        <v>3.6591097136737782</v>
      </c>
      <c r="FC42" s="539">
        <f t="shared" si="125"/>
        <v>114.38376964944231</v>
      </c>
      <c r="FD42" s="19">
        <f t="shared" si="126"/>
        <v>7.0620817473903914</v>
      </c>
      <c r="FE42" s="10">
        <f t="shared" si="127"/>
        <v>0.22591432333302594</v>
      </c>
      <c r="FF42" s="10">
        <f t="shared" si="128"/>
        <v>3.8850240370068043</v>
      </c>
      <c r="FG42" s="539">
        <f t="shared" si="129"/>
        <v>121.44585139683271</v>
      </c>
      <c r="FH42" s="19">
        <f t="shared" si="130"/>
        <v>7.4980963914231324</v>
      </c>
      <c r="FI42" s="10">
        <f t="shared" si="131"/>
        <v>0.2398623285803945</v>
      </c>
      <c r="FJ42" s="10">
        <f t="shared" si="132"/>
        <v>4.1248863655871988</v>
      </c>
      <c r="FK42" s="539">
        <f t="shared" si="133"/>
        <v>128.94394778825583</v>
      </c>
      <c r="FL42" s="19">
        <f t="shared" si="134"/>
        <v>7.9610306855832933</v>
      </c>
      <c r="FM42" s="10">
        <f t="shared" si="135"/>
        <v>0.25467148706280529</v>
      </c>
      <c r="FN42" s="10">
        <f t="shared" si="136"/>
        <v>4.3795578526500041</v>
      </c>
      <c r="FO42" s="539">
        <f t="shared" si="137"/>
        <v>136.90497847383912</v>
      </c>
      <c r="FP42" s="19">
        <f t="shared" si="138"/>
        <v>8.4525466556145084</v>
      </c>
      <c r="FQ42" s="10">
        <f t="shared" si="139"/>
        <v>0.27039496659035533</v>
      </c>
      <c r="FR42" s="10">
        <f t="shared" si="140"/>
        <v>4.6499528192403599</v>
      </c>
      <c r="FS42" s="539">
        <f t="shared" si="141"/>
        <v>145.35752512945365</v>
      </c>
      <c r="FT42" s="19">
        <f t="shared" si="142"/>
        <v>8.9744089411338948</v>
      </c>
      <c r="FU42" s="10">
        <f t="shared" si="143"/>
        <v>0.28708921756666328</v>
      </c>
      <c r="FV42" s="10">
        <f t="shared" si="144"/>
        <v>4.9370420368070231</v>
      </c>
      <c r="FW42" s="539">
        <f t="shared" si="145"/>
        <v>154.33193407058755</v>
      </c>
      <c r="FX42" s="19">
        <f t="shared" si="146"/>
        <v>9.5284911310375549</v>
      </c>
      <c r="FY42" s="10">
        <f t="shared" si="147"/>
        <v>0.30481417565699148</v>
      </c>
      <c r="FZ42" s="10">
        <f t="shared" si="148"/>
        <v>5.2418562124640147</v>
      </c>
      <c r="GA42" s="539">
        <f t="shared" si="149"/>
        <v>163.86042520162511</v>
      </c>
      <c r="GB42" s="19">
        <f t="shared" si="150"/>
        <v>10.116782490055549</v>
      </c>
      <c r="GC42" s="10">
        <f t="shared" si="151"/>
        <v>0.3236334769691474</v>
      </c>
      <c r="GD42" s="10">
        <f t="shared" si="152"/>
        <v>5.5654896894331625</v>
      </c>
      <c r="GE42" s="539">
        <f t="shared" si="153"/>
        <v>173.97720769168066</v>
      </c>
      <c r="GF42" s="19">
        <f t="shared" si="154"/>
        <v>10.741395100606002</v>
      </c>
      <c r="GG42" s="10">
        <f t="shared" si="155"/>
        <v>0.34361468651970578</v>
      </c>
      <c r="GH42" s="10">
        <f t="shared" si="156"/>
        <v>5.9091043759528681</v>
      </c>
      <c r="GI42" s="539">
        <f t="shared" si="157"/>
        <v>184.71860279228667</v>
      </c>
      <c r="GJ42" s="19">
        <f t="shared" si="158"/>
        <v>11.404571445589035</v>
      </c>
      <c r="GK42" s="10">
        <f t="shared" si="159"/>
        <v>0.36482954080579122</v>
      </c>
      <c r="GL42" s="10">
        <f t="shared" si="160"/>
        <v>6.2739339167586596</v>
      </c>
      <c r="GM42" s="539">
        <f t="shared" si="161"/>
        <v>196.1231742378757</v>
      </c>
      <c r="GN42" s="19">
        <f t="shared" si="162"/>
        <v>12.108692459344212</v>
      </c>
      <c r="GO42" s="10">
        <f t="shared" si="163"/>
        <v>0.38735420535330173</v>
      </c>
      <c r="GP42" s="10">
        <f t="shared" si="164"/>
        <v>6.6612881221119613</v>
      </c>
      <c r="GQ42" s="539">
        <f t="shared" si="165"/>
        <v>208.23186669721991</v>
      </c>
      <c r="GR42" s="19">
        <f t="shared" si="166"/>
        <v>12.856286075676085</v>
      </c>
      <c r="GS42" s="10">
        <f t="shared" si="167"/>
        <v>0.41126954816622152</v>
      </c>
      <c r="GT42" s="10">
        <f t="shared" si="168"/>
        <v>7.0725576702781829</v>
      </c>
      <c r="GU42" s="539">
        <f t="shared" si="169"/>
        <v>221.08815277289602</v>
      </c>
      <c r="GV42" s="19">
        <f t="shared" si="170"/>
        <v>13.650036303636893</v>
      </c>
      <c r="GW42" s="10">
        <f t="shared" si="171"/>
        <v>0.43666143005876179</v>
      </c>
      <c r="GX42" s="10">
        <f t="shared" si="172"/>
        <v>7.5092191003369448</v>
      </c>
      <c r="GY42" s="539">
        <f t="shared" si="173"/>
        <v>234.7381890765329</v>
      </c>
      <c r="GZ42" s="19">
        <f t="shared" si="174"/>
        <v>14.492792863650303</v>
      </c>
      <c r="HA42" s="10">
        <f t="shared" si="175"/>
        <v>0.4636210129126776</v>
      </c>
      <c r="HB42" s="10">
        <f t="shared" si="176"/>
        <v>7.9728401132496227</v>
      </c>
      <c r="HC42" s="539">
        <f t="shared" si="177"/>
        <v>249.23098194018323</v>
      </c>
      <c r="HD42" s="19">
        <f t="shared" si="178"/>
        <v>15.387581418571772</v>
      </c>
      <c r="HE42" s="10">
        <f t="shared" si="179"/>
        <v>0.4922450869664674</v>
      </c>
      <c r="HF42" s="10">
        <f t="shared" si="180"/>
        <v>8.465085200216091</v>
      </c>
      <c r="HG42" s="539">
        <f t="shared" si="181"/>
        <v>264.61856335875501</v>
      </c>
      <c r="HH42" s="19">
        <f t="shared" si="182"/>
        <v>16.337614436417056</v>
      </c>
      <c r="HI42" s="10">
        <f t="shared" si="183"/>
        <v>0.52263641831148611</v>
      </c>
      <c r="HJ42" s="10">
        <f t="shared" si="184"/>
        <v>8.9877216185275763</v>
      </c>
      <c r="HK42" s="539">
        <f t="shared" si="185"/>
        <v>280.95617779517204</v>
      </c>
      <c r="HL42" s="19">
        <f t="shared" si="186"/>
        <v>17.346302723758221</v>
      </c>
      <c r="HM42" s="10">
        <f t="shared" si="187"/>
        <v>0.55490411784255345</v>
      </c>
      <c r="HN42" s="10">
        <f t="shared" si="188"/>
        <v>9.5426257363701303</v>
      </c>
      <c r="HO42" s="539">
        <f t="shared" si="189"/>
        <v>298.30248051893028</v>
      </c>
      <c r="HP42" s="19">
        <f t="shared" si="190"/>
        <v>18.417267671194352</v>
      </c>
      <c r="HQ42" s="10">
        <f t="shared" si="191"/>
        <v>0.58916403298766318</v>
      </c>
      <c r="HR42" s="10">
        <f t="shared" si="192"/>
        <v>10.131789769357793</v>
      </c>
      <c r="HS42" s="539">
        <f t="shared" si="193"/>
        <v>316.71974819012462</v>
      </c>
      <c r="HT42" s="19">
        <f t="shared" si="194"/>
        <v>19.554354254860538</v>
      </c>
      <c r="HU42" s="10">
        <f t="shared" si="195"/>
        <v>0.62553916362317774</v>
      </c>
      <c r="HV42" s="10">
        <f t="shared" si="196"/>
        <v>10.75732893298097</v>
      </c>
      <c r="HW42" s="539">
        <f t="shared" si="197"/>
        <v>336.27410244498515</v>
      </c>
      <c r="HX42" s="19">
        <f t="shared" si="198"/>
        <v>20.761644840653272</v>
      </c>
      <c r="HY42" s="10">
        <f t="shared" si="199"/>
        <v>0.66416010366773104</v>
      </c>
      <c r="HZ42" s="10">
        <f t="shared" si="200"/>
        <v>11.421489036648701</v>
      </c>
      <c r="IA42" s="539">
        <f t="shared" si="201"/>
        <v>357.03574728563842</v>
      </c>
      <c r="IB42" s="19">
        <f t="shared" si="202"/>
        <v>22.043473840731991</v>
      </c>
      <c r="IF42" s="224" t="s">
        <v>2510</v>
      </c>
      <c r="IG42" s="420">
        <v>2</v>
      </c>
      <c r="IH42" s="19">
        <f>IG22</f>
        <v>188.65859999999998</v>
      </c>
      <c r="II42" s="420" t="str">
        <f>IG23</f>
        <v>Overvalued</v>
      </c>
      <c r="IJ42" s="236">
        <f t="shared" ref="IJ42:IJ54" si="350">RANK(IH42,$IH$41:$IH$54)</f>
        <v>7</v>
      </c>
      <c r="IP42" s="11">
        <v>1</v>
      </c>
      <c r="IQ42" s="19">
        <f>IP9*((1+$IP$12))</f>
        <v>8.8439999999999994</v>
      </c>
      <c r="IR42" s="19">
        <f t="shared" ref="IR42:IR73" si="351">IQ42/(1+$IP$18)^IP42</f>
        <v>8.0399999999999991</v>
      </c>
      <c r="IY42"/>
    </row>
    <row r="43" spans="1:263">
      <c r="A43" s="11"/>
      <c r="B43" s="241"/>
      <c r="C43" s="1216" t="s">
        <v>2342</v>
      </c>
      <c r="D43" s="47" t="s">
        <v>337</v>
      </c>
      <c r="E43" s="396">
        <f t="shared" si="333"/>
        <v>44.141199999999998</v>
      </c>
      <c r="F43" s="242">
        <v>7.1412000000000004</v>
      </c>
      <c r="G43" s="48">
        <f>'Update Stock Prices'!S43</f>
        <v>84318553.092182025</v>
      </c>
      <c r="H43" s="991">
        <f t="shared" si="27"/>
        <v>8.4693104164071919E-8</v>
      </c>
      <c r="I43" s="49">
        <f>'Update Stock Prices'!D43</f>
        <v>8.57</v>
      </c>
      <c r="J43" s="49">
        <f t="shared" si="1"/>
        <v>61.200084000000004</v>
      </c>
      <c r="K43" s="30">
        <v>60.74</v>
      </c>
      <c r="L43" s="49">
        <f t="shared" si="28"/>
        <v>0.46008400000000194</v>
      </c>
      <c r="M43" s="50">
        <f t="shared" si="29"/>
        <v>7.5746460322687181E-3</v>
      </c>
      <c r="N43" s="49">
        <f t="shared" si="30"/>
        <v>8.5055732930039767</v>
      </c>
      <c r="O43" s="48">
        <f t="shared" si="334"/>
        <v>37</v>
      </c>
      <c r="P43" s="49">
        <f>IF(($B$11-$B$12)-(O43*I43)&lt;0,0,($B$11-$B$12)-(O43*I43))</f>
        <v>3.9199999999999591</v>
      </c>
      <c r="Q43" s="30">
        <f>0.068*12</f>
        <v>0.81600000000000006</v>
      </c>
      <c r="R43" s="49">
        <f t="shared" si="242"/>
        <v>1.5954056673511297E-2</v>
      </c>
      <c r="S43" s="49">
        <f t="shared" si="335"/>
        <v>5.8272192000000009</v>
      </c>
      <c r="T43" s="49">
        <f t="shared" si="31"/>
        <v>0.48560160000000008</v>
      </c>
      <c r="U43" s="49" t="s">
        <v>56</v>
      </c>
      <c r="V43" s="50">
        <f t="shared" si="336"/>
        <v>9.5215869311551932E-2</v>
      </c>
      <c r="W43" s="50">
        <f t="shared" si="7"/>
        <v>9.5937095818241697E-2</v>
      </c>
      <c r="X43" s="49">
        <f>12*((E43*Q43)/12-T43)</f>
        <v>30.192</v>
      </c>
      <c r="Y43" s="49">
        <f t="shared" si="32"/>
        <v>0.48560160000000008</v>
      </c>
      <c r="Z43" s="860">
        <f t="shared" si="337"/>
        <v>0</v>
      </c>
      <c r="AA43" s="860">
        <f t="shared" si="338"/>
        <v>118.88821176470589</v>
      </c>
      <c r="AB43" s="49">
        <f t="shared" si="339"/>
        <v>1018.8719748235295</v>
      </c>
      <c r="AC43" s="48">
        <v>1</v>
      </c>
      <c r="AD43" s="47" t="str">
        <f t="shared" si="340"/>
        <v>EAD</v>
      </c>
      <c r="AE43" s="49">
        <f t="shared" si="341"/>
        <v>61.200084000000004</v>
      </c>
      <c r="AF43" s="50" t="e">
        <f t="shared" si="310"/>
        <v>#REF!</v>
      </c>
      <c r="AG43" s="890" t="e">
        <f t="shared" si="332"/>
        <v>#REF!</v>
      </c>
      <c r="AH43" s="207" t="s">
        <v>339</v>
      </c>
      <c r="AI43" s="240">
        <f t="shared" si="312"/>
        <v>8.5026121454577514E-3</v>
      </c>
      <c r="AJ43" s="11">
        <f t="shared" si="33"/>
        <v>3</v>
      </c>
      <c r="AK43" s="11"/>
      <c r="AL43" s="11"/>
      <c r="AM43" s="11"/>
      <c r="AN43" s="11"/>
      <c r="AO43" s="11"/>
      <c r="AP43" s="11"/>
      <c r="AQ43" s="11" t="str">
        <f>'Update Stock Prices'!Q43</f>
        <v>small</v>
      </c>
      <c r="AR43" s="11"/>
      <c r="AS43" s="11"/>
      <c r="AU43" s="11"/>
      <c r="AV43" s="660" t="s">
        <v>1710</v>
      </c>
      <c r="AW43" s="236" t="s">
        <v>1710</v>
      </c>
      <c r="AX43" s="420">
        <f t="shared" si="314"/>
        <v>76</v>
      </c>
      <c r="AY43" s="19">
        <f t="shared" si="293"/>
        <v>5145.7746520388328</v>
      </c>
      <c r="AZ43" s="19">
        <f t="shared" si="291"/>
        <v>428.81455433656942</v>
      </c>
      <c r="BA43" s="19">
        <f t="shared" si="292"/>
        <v>14.088363181488933</v>
      </c>
      <c r="BB43" s="234">
        <f t="shared" si="294"/>
        <v>127203.54939839995</v>
      </c>
      <c r="BC43" s="19"/>
      <c r="BE43" s="15"/>
      <c r="BF43" s="74"/>
      <c r="BS43" s="420" t="str">
        <f t="shared" si="37"/>
        <v>EAD</v>
      </c>
      <c r="BT43" s="425">
        <f t="shared" si="38"/>
        <v>7.1412000000000004</v>
      </c>
      <c r="BU43" s="19">
        <f t="shared" si="39"/>
        <v>8.57</v>
      </c>
      <c r="BV43" s="19">
        <f t="shared" si="40"/>
        <v>61.200084000000004</v>
      </c>
      <c r="BW43" s="539">
        <f t="shared" si="41"/>
        <v>0.81600000000000006</v>
      </c>
      <c r="BX43" s="19">
        <f t="shared" si="42"/>
        <v>5.8272192000000009</v>
      </c>
      <c r="BY43" s="10">
        <f t="shared" si="43"/>
        <v>0.67995556592765471</v>
      </c>
      <c r="BZ43" s="10">
        <f t="shared" si="44"/>
        <v>7.821155565927655</v>
      </c>
      <c r="CA43" s="539">
        <f t="shared" si="45"/>
        <v>67.027303200000006</v>
      </c>
      <c r="CB43" s="19">
        <f t="shared" si="46"/>
        <v>6.382062941796967</v>
      </c>
      <c r="CC43" s="10">
        <f t="shared" si="47"/>
        <v>0.74469812623068454</v>
      </c>
      <c r="CD43" s="10">
        <f t="shared" si="48"/>
        <v>8.5658536921583401</v>
      </c>
      <c r="CE43" s="539">
        <f t="shared" si="49"/>
        <v>73.40936614179698</v>
      </c>
      <c r="CF43" s="19">
        <f t="shared" si="50"/>
        <v>6.989736612801206</v>
      </c>
      <c r="CG43" s="10">
        <f t="shared" si="51"/>
        <v>0.81560520569442307</v>
      </c>
      <c r="CH43" s="10">
        <f t="shared" si="52"/>
        <v>9.3814588978527631</v>
      </c>
      <c r="CI43" s="539">
        <f t="shared" si="53"/>
        <v>80.399102754598189</v>
      </c>
      <c r="CJ43" s="19">
        <f t="shared" si="54"/>
        <v>7.6552704606478557</v>
      </c>
      <c r="CK43" s="10">
        <f t="shared" si="55"/>
        <v>0.89326376436964472</v>
      </c>
      <c r="CL43" s="10">
        <f t="shared" si="56"/>
        <v>10.274722662222407</v>
      </c>
      <c r="CM43" s="539">
        <f t="shared" si="57"/>
        <v>88.054373215246031</v>
      </c>
      <c r="CN43" s="19">
        <f t="shared" si="58"/>
        <v>8.3841736923734853</v>
      </c>
      <c r="CO43" s="10">
        <f t="shared" si="59"/>
        <v>0.9783166502186097</v>
      </c>
      <c r="CP43" s="10">
        <f t="shared" si="60"/>
        <v>11.253039312441016</v>
      </c>
      <c r="CQ43" s="539">
        <f t="shared" si="61"/>
        <v>96.438546907619511</v>
      </c>
      <c r="CR43" s="19">
        <f t="shared" si="62"/>
        <v>9.1824800789518708</v>
      </c>
      <c r="CS43" s="10">
        <f t="shared" si="63"/>
        <v>1.0714679205311401</v>
      </c>
      <c r="CT43" s="10">
        <f t="shared" si="64"/>
        <v>12.324507232972156</v>
      </c>
      <c r="CU43" s="539">
        <f t="shared" si="65"/>
        <v>105.62102698657138</v>
      </c>
      <c r="CV43" s="19">
        <f t="shared" si="66"/>
        <v>10.056797902105281</v>
      </c>
      <c r="CW43" s="10">
        <f t="shared" si="67"/>
        <v>1.1734886700239533</v>
      </c>
      <c r="CX43" s="10">
        <f t="shared" si="68"/>
        <v>13.497995902996109</v>
      </c>
      <c r="CY43" s="539">
        <f t="shared" si="69"/>
        <v>115.67782488867667</v>
      </c>
      <c r="CZ43" s="19">
        <f t="shared" si="70"/>
        <v>11.014364656844826</v>
      </c>
      <c r="DA43" s="10">
        <f t="shared" si="71"/>
        <v>1.2852234138675409</v>
      </c>
      <c r="DB43" s="10">
        <f t="shared" si="72"/>
        <v>14.783219316863651</v>
      </c>
      <c r="DC43" s="539">
        <f t="shared" si="73"/>
        <v>126.69218954552149</v>
      </c>
      <c r="DD43" s="19">
        <f t="shared" si="74"/>
        <v>12.06310696256074</v>
      </c>
      <c r="DE43" s="10">
        <f t="shared" si="75"/>
        <v>1.4075970784784995</v>
      </c>
      <c r="DF43" s="10">
        <f t="shared" si="76"/>
        <v>16.19081639534215</v>
      </c>
      <c r="DG43" s="539">
        <f t="shared" si="77"/>
        <v>138.75529650808224</v>
      </c>
      <c r="DH43" s="19">
        <f t="shared" si="78"/>
        <v>13.211706178599195</v>
      </c>
      <c r="DI43" s="10">
        <f t="shared" si="79"/>
        <v>1.5416226579462304</v>
      </c>
      <c r="DJ43" s="10">
        <f t="shared" si="80"/>
        <v>17.732439053288381</v>
      </c>
      <c r="DK43" s="539">
        <f t="shared" si="81"/>
        <v>151.96700268668144</v>
      </c>
      <c r="DL43" s="19">
        <f t="shared" si="82"/>
        <v>14.46967026748332</v>
      </c>
      <c r="DM43" s="10">
        <f t="shared" si="83"/>
        <v>1.688409599472966</v>
      </c>
      <c r="DN43" s="10">
        <f t="shared" si="84"/>
        <v>19.420848652761347</v>
      </c>
      <c r="DO43" s="539">
        <f t="shared" si="85"/>
        <v>166.43667295416475</v>
      </c>
      <c r="DP43" s="19">
        <f t="shared" si="86"/>
        <v>15.84741250065326</v>
      </c>
      <c r="DQ43" s="10">
        <f t="shared" si="87"/>
        <v>1.8491729872407536</v>
      </c>
      <c r="DR43" s="10">
        <f t="shared" si="88"/>
        <v>21.270021640002099</v>
      </c>
      <c r="DS43" s="539">
        <f t="shared" si="89"/>
        <v>182.28408545481798</v>
      </c>
      <c r="DT43" s="19">
        <f t="shared" si="90"/>
        <v>17.356337658241713</v>
      </c>
      <c r="DU43" s="10">
        <f t="shared" si="91"/>
        <v>2.0252436007283214</v>
      </c>
      <c r="DV43" s="10">
        <f t="shared" si="92"/>
        <v>23.295265240730419</v>
      </c>
      <c r="DW43" s="539">
        <f t="shared" si="93"/>
        <v>199.64042311305971</v>
      </c>
      <c r="DX43" s="19">
        <f t="shared" si="94"/>
        <v>19.008936436436024</v>
      </c>
      <c r="DY43" s="10">
        <f t="shared" si="95"/>
        <v>2.2180789307393258</v>
      </c>
      <c r="DZ43" s="10">
        <f t="shared" si="96"/>
        <v>25.513344171469747</v>
      </c>
      <c r="EA43" s="539">
        <f t="shared" si="97"/>
        <v>218.64935954949573</v>
      </c>
      <c r="EB43" s="19">
        <f t="shared" si="98"/>
        <v>20.818888843919314</v>
      </c>
      <c r="EC43" s="10">
        <f t="shared" si="99"/>
        <v>2.4292752443313086</v>
      </c>
      <c r="ED43" s="10">
        <f t="shared" si="100"/>
        <v>27.942619415801055</v>
      </c>
      <c r="EE43" s="539">
        <f t="shared" si="101"/>
        <v>239.46824839341505</v>
      </c>
      <c r="EF43" s="19">
        <f t="shared" si="102"/>
        <v>22.80117744329366</v>
      </c>
      <c r="EG43" s="10">
        <f t="shared" si="103"/>
        <v>2.6605807985173464</v>
      </c>
      <c r="EH43" s="10">
        <f t="shared" si="104"/>
        <v>30.603200214318402</v>
      </c>
      <c r="EI43" s="539">
        <f t="shared" si="105"/>
        <v>262.26942583670871</v>
      </c>
      <c r="EJ43" s="19">
        <f t="shared" si="106"/>
        <v>24.97221137488382</v>
      </c>
      <c r="EK43" s="10">
        <f t="shared" si="107"/>
        <v>2.9139103121217991</v>
      </c>
      <c r="EL43" s="10">
        <f t="shared" si="108"/>
        <v>33.517110526440199</v>
      </c>
      <c r="EM43" s="539">
        <f t="shared" si="109"/>
        <v>287.24163721159249</v>
      </c>
      <c r="EN43" s="19">
        <f t="shared" si="110"/>
        <v>27.349962189575205</v>
      </c>
      <c r="EO43" s="10">
        <f t="shared" si="111"/>
        <v>3.1913608155863717</v>
      </c>
      <c r="EP43" s="10">
        <f t="shared" si="112"/>
        <v>36.70847134202657</v>
      </c>
      <c r="EQ43" s="539">
        <f t="shared" si="113"/>
        <v>314.59159940116774</v>
      </c>
      <c r="ER43" s="19">
        <f t="shared" si="114"/>
        <v>29.954112615093685</v>
      </c>
      <c r="ES43" s="10">
        <f t="shared" si="115"/>
        <v>3.4952290099292513</v>
      </c>
      <c r="ET43" s="10">
        <f t="shared" si="116"/>
        <v>40.203700351955824</v>
      </c>
      <c r="EU43" s="539">
        <f t="shared" si="117"/>
        <v>344.5457120162614</v>
      </c>
      <c r="EV43" s="19">
        <f t="shared" si="118"/>
        <v>32.806219487195953</v>
      </c>
      <c r="EW43" s="10">
        <f t="shared" si="119"/>
        <v>3.8280302785526197</v>
      </c>
      <c r="EX43" s="10">
        <f t="shared" si="120"/>
        <v>44.031730630508441</v>
      </c>
      <c r="EY43" s="539">
        <f t="shared" si="121"/>
        <v>377.35193150345737</v>
      </c>
      <c r="EZ43" s="19">
        <f t="shared" si="122"/>
        <v>35.92989219449489</v>
      </c>
      <c r="FA43" s="10">
        <f t="shared" si="123"/>
        <v>4.1925195092759493</v>
      </c>
      <c r="FB43" s="10">
        <f t="shared" si="124"/>
        <v>48.224250139784388</v>
      </c>
      <c r="FC43" s="539">
        <f t="shared" si="125"/>
        <v>413.28182369795223</v>
      </c>
      <c r="FD43" s="19">
        <f t="shared" si="126"/>
        <v>39.350988114064066</v>
      </c>
      <c r="FE43" s="10">
        <f t="shared" si="127"/>
        <v>4.5917138989573001</v>
      </c>
      <c r="FF43" s="10">
        <f t="shared" si="128"/>
        <v>52.81596403874169</v>
      </c>
      <c r="FG43" s="539">
        <f t="shared" si="129"/>
        <v>452.63281181201631</v>
      </c>
      <c r="FH43" s="19">
        <f t="shared" si="130"/>
        <v>43.097826655613225</v>
      </c>
      <c r="FI43" s="10">
        <f t="shared" si="131"/>
        <v>5.0289179294764557</v>
      </c>
      <c r="FJ43" s="10">
        <f t="shared" si="132"/>
        <v>57.844881968218147</v>
      </c>
      <c r="FK43" s="539">
        <f t="shared" si="133"/>
        <v>495.73063846762955</v>
      </c>
      <c r="FL43" s="19">
        <f t="shared" si="134"/>
        <v>47.201423686066008</v>
      </c>
      <c r="FM43" s="10">
        <f t="shared" si="135"/>
        <v>5.5077507218280051</v>
      </c>
      <c r="FN43" s="10">
        <f t="shared" si="136"/>
        <v>63.35263269004615</v>
      </c>
      <c r="FO43" s="539">
        <f t="shared" si="137"/>
        <v>542.93206215369548</v>
      </c>
      <c r="FP43" s="19">
        <f t="shared" si="138"/>
        <v>51.695748275077662</v>
      </c>
      <c r="FQ43" s="10">
        <f t="shared" si="139"/>
        <v>6.0321759947581866</v>
      </c>
      <c r="FR43" s="10">
        <f t="shared" si="140"/>
        <v>69.384808684804341</v>
      </c>
      <c r="FS43" s="539">
        <f t="shared" si="141"/>
        <v>594.62781042877327</v>
      </c>
      <c r="FT43" s="19">
        <f t="shared" si="142"/>
        <v>56.618003886800345</v>
      </c>
      <c r="FU43" s="10">
        <f t="shared" si="143"/>
        <v>6.6065348759393636</v>
      </c>
      <c r="FV43" s="10">
        <f t="shared" si="144"/>
        <v>75.991343560743701</v>
      </c>
      <c r="FW43" s="539">
        <f t="shared" si="145"/>
        <v>651.24581431557351</v>
      </c>
      <c r="FX43" s="19">
        <f t="shared" si="146"/>
        <v>62.008936345566866</v>
      </c>
      <c r="FY43" s="10">
        <f t="shared" si="147"/>
        <v>7.2355818372890157</v>
      </c>
      <c r="FZ43" s="10">
        <f t="shared" si="148"/>
        <v>83.226925398032719</v>
      </c>
      <c r="GA43" s="539">
        <f t="shared" si="149"/>
        <v>713.25475066114041</v>
      </c>
      <c r="GB43" s="19">
        <f t="shared" si="150"/>
        <v>67.913171124794701</v>
      </c>
      <c r="GC43" s="10">
        <f t="shared" si="151"/>
        <v>7.9245240519013649</v>
      </c>
      <c r="GD43" s="10">
        <f t="shared" si="152"/>
        <v>91.151449449934091</v>
      </c>
      <c r="GE43" s="539">
        <f t="shared" si="153"/>
        <v>781.16792178593516</v>
      </c>
      <c r="GF43" s="19">
        <f t="shared" si="154"/>
        <v>74.379582751146231</v>
      </c>
      <c r="GG43" s="10">
        <f t="shared" si="155"/>
        <v>8.6790644983834575</v>
      </c>
      <c r="GH43" s="10">
        <f t="shared" si="156"/>
        <v>99.830513948317545</v>
      </c>
      <c r="GI43" s="539">
        <f t="shared" si="157"/>
        <v>855.54750453708141</v>
      </c>
      <c r="GJ43" s="19">
        <f t="shared" si="158"/>
        <v>81.461699381827117</v>
      </c>
      <c r="GK43" s="10">
        <f t="shared" si="159"/>
        <v>9.5054491694080649</v>
      </c>
      <c r="GL43" s="10">
        <f t="shared" si="160"/>
        <v>109.33596311772561</v>
      </c>
      <c r="GM43" s="539">
        <f t="shared" si="161"/>
        <v>937.0092039189085</v>
      </c>
      <c r="GN43" s="19">
        <f t="shared" si="162"/>
        <v>89.218145904064102</v>
      </c>
      <c r="GO43" s="10">
        <f t="shared" si="163"/>
        <v>10.410518775270024</v>
      </c>
      <c r="GP43" s="10">
        <f t="shared" si="164"/>
        <v>119.74648189299563</v>
      </c>
      <c r="GQ43" s="539">
        <f t="shared" si="165"/>
        <v>1026.2273498229727</v>
      </c>
      <c r="GR43" s="19">
        <f t="shared" si="166"/>
        <v>97.713129224684437</v>
      </c>
      <c r="GS43" s="10">
        <f t="shared" si="167"/>
        <v>11.401765370441591</v>
      </c>
      <c r="GT43" s="10">
        <f t="shared" si="168"/>
        <v>131.14824726343721</v>
      </c>
      <c r="GU43" s="539">
        <f t="shared" si="169"/>
        <v>1123.9404790476569</v>
      </c>
      <c r="GV43" s="19">
        <f t="shared" si="170"/>
        <v>107.01696976696478</v>
      </c>
      <c r="GW43" s="10">
        <f t="shared" si="171"/>
        <v>12.487394371874537</v>
      </c>
      <c r="GX43" s="10">
        <f t="shared" si="172"/>
        <v>143.63564163531174</v>
      </c>
      <c r="GY43" s="539">
        <f t="shared" si="173"/>
        <v>1230.9574488146218</v>
      </c>
      <c r="GZ43" s="19">
        <f t="shared" si="174"/>
        <v>117.20668357441438</v>
      </c>
      <c r="HA43" s="10">
        <f t="shared" si="175"/>
        <v>13.676392482428749</v>
      </c>
      <c r="HB43" s="10">
        <f t="shared" si="176"/>
        <v>157.3120341177405</v>
      </c>
      <c r="HC43" s="539">
        <f t="shared" si="177"/>
        <v>1348.164132389036</v>
      </c>
      <c r="HD43" s="19">
        <f t="shared" si="178"/>
        <v>128.36661984007625</v>
      </c>
      <c r="HE43" s="10">
        <f t="shared" si="179"/>
        <v>14.978602081689177</v>
      </c>
      <c r="HF43" s="10">
        <f t="shared" si="180"/>
        <v>172.29063619942968</v>
      </c>
      <c r="HG43" s="539">
        <f t="shared" si="181"/>
        <v>1476.5307522291125</v>
      </c>
      <c r="HH43" s="19">
        <f t="shared" si="182"/>
        <v>140.58915913873463</v>
      </c>
      <c r="HI43" s="10">
        <f t="shared" si="183"/>
        <v>16.404802699969036</v>
      </c>
      <c r="HJ43" s="10">
        <f t="shared" si="184"/>
        <v>188.69543889939871</v>
      </c>
      <c r="HK43" s="539">
        <f t="shared" si="185"/>
        <v>1617.119911367847</v>
      </c>
      <c r="HL43" s="19">
        <f t="shared" si="186"/>
        <v>153.97547814190935</v>
      </c>
      <c r="HM43" s="10">
        <f t="shared" si="187"/>
        <v>17.966800249931079</v>
      </c>
      <c r="HN43" s="10">
        <f t="shared" si="188"/>
        <v>206.66223914932979</v>
      </c>
      <c r="HO43" s="539">
        <f t="shared" si="189"/>
        <v>1771.0953895097564</v>
      </c>
      <c r="HP43" s="19">
        <f t="shared" si="190"/>
        <v>168.63638714585312</v>
      </c>
      <c r="HQ43" s="10">
        <f t="shared" si="191"/>
        <v>19.677524754475275</v>
      </c>
      <c r="HR43" s="10">
        <f t="shared" si="192"/>
        <v>226.33976390380508</v>
      </c>
      <c r="HS43" s="539">
        <f t="shared" si="193"/>
        <v>1939.7317766556096</v>
      </c>
      <c r="HT43" s="19">
        <f t="shared" si="194"/>
        <v>184.69324734550494</v>
      </c>
      <c r="HU43" s="10">
        <f t="shared" si="195"/>
        <v>21.55113737987222</v>
      </c>
      <c r="HV43" s="10">
        <f t="shared" si="196"/>
        <v>247.89090128367729</v>
      </c>
      <c r="HW43" s="539">
        <f t="shared" si="197"/>
        <v>2124.4250240011147</v>
      </c>
      <c r="HX43" s="19">
        <f t="shared" si="198"/>
        <v>202.27897544748069</v>
      </c>
      <c r="HY43" s="10">
        <f t="shared" si="199"/>
        <v>23.603147660149439</v>
      </c>
      <c r="HZ43" s="10">
        <f t="shared" si="200"/>
        <v>271.49404894382673</v>
      </c>
      <c r="IA43" s="539">
        <f t="shared" si="201"/>
        <v>2326.7039994485949</v>
      </c>
      <c r="IB43" s="19">
        <f t="shared" si="202"/>
        <v>221.53914393816262</v>
      </c>
      <c r="IF43" s="224" t="s">
        <v>1306</v>
      </c>
      <c r="IG43" s="420">
        <v>1</v>
      </c>
      <c r="IH43" s="19">
        <f>IH21</f>
        <v>178.66620833274544</v>
      </c>
      <c r="II43" s="420" t="str">
        <f>IH22</f>
        <v>Overvalued</v>
      </c>
      <c r="IJ43" s="236">
        <f t="shared" si="350"/>
        <v>8</v>
      </c>
      <c r="IK43" s="183"/>
      <c r="IL43" s="183"/>
      <c r="IP43" s="11">
        <v>2</v>
      </c>
      <c r="IQ43" s="19">
        <f>IQ42*(1+$IP$12)</f>
        <v>9.7284000000000006</v>
      </c>
      <c r="IR43" s="20">
        <f t="shared" si="351"/>
        <v>8.0399999999999991</v>
      </c>
    </row>
    <row r="44" spans="1:263">
      <c r="A44" s="11"/>
      <c r="B44" s="241"/>
      <c r="C44" s="1217" t="s">
        <v>2344</v>
      </c>
      <c r="D44" s="47" t="s">
        <v>1151</v>
      </c>
      <c r="E44" s="396">
        <f t="shared" si="333"/>
        <v>6.0644</v>
      </c>
      <c r="F44" s="242">
        <v>1.0644</v>
      </c>
      <c r="G44" s="48">
        <f>'Update Stock Prices'!S44</f>
        <v>651662747.73261678</v>
      </c>
      <c r="H44" s="991">
        <f t="shared" si="27"/>
        <v>1.633360206185567E-9</v>
      </c>
      <c r="I44" s="49">
        <f>'Update Stock Prices'!D44</f>
        <v>59.54</v>
      </c>
      <c r="J44" s="49">
        <f t="shared" si="1"/>
        <v>63.374375999999998</v>
      </c>
      <c r="K44" s="30">
        <v>60.89</v>
      </c>
      <c r="L44" s="49">
        <f t="shared" si="28"/>
        <v>2.4843759999999975</v>
      </c>
      <c r="M44" s="50">
        <f t="shared" si="29"/>
        <v>4.0801051075710255E-2</v>
      </c>
      <c r="N44" s="49">
        <f t="shared" si="30"/>
        <v>57.205937617437051</v>
      </c>
      <c r="O44" s="48">
        <f t="shared" si="334"/>
        <v>5</v>
      </c>
      <c r="P44" s="49">
        <f t="shared" si="342"/>
        <v>23.310000000000002</v>
      </c>
      <c r="Q44" s="30">
        <f>0.48*4</f>
        <v>1.92</v>
      </c>
      <c r="R44" s="49">
        <f t="shared" ref="R44" si="352">S44/365.25</f>
        <v>5.5952032854209447E-3</v>
      </c>
      <c r="S44" s="49">
        <f t="shared" si="335"/>
        <v>2.0436480000000001</v>
      </c>
      <c r="T44" s="49">
        <f t="shared" ref="T44" si="353">S44/12</f>
        <v>0.17030400000000001</v>
      </c>
      <c r="U44" s="49" t="s">
        <v>54</v>
      </c>
      <c r="V44" s="50">
        <f t="shared" si="336"/>
        <v>3.2247228753778973E-2</v>
      </c>
      <c r="W44" s="50">
        <f t="shared" si="7"/>
        <v>3.3562949581212025E-2</v>
      </c>
      <c r="X44" s="49">
        <f t="shared" si="345"/>
        <v>9.6</v>
      </c>
      <c r="Y44" s="49">
        <f t="shared" ref="Y44" si="354">IF(U44="Q",3*T44,IF(U44="Y",12*T44,IF(U44="B",6*T44,IF(U44="M",T44,0))))</f>
        <v>0.51091200000000003</v>
      </c>
      <c r="Z44" s="860">
        <f t="shared" si="337"/>
        <v>0</v>
      </c>
      <c r="AA44" s="860">
        <f t="shared" si="338"/>
        <v>122.97726666666665</v>
      </c>
      <c r="AB44" s="49">
        <f t="shared" si="339"/>
        <v>7322.0664573333324</v>
      </c>
      <c r="AC44" s="48">
        <v>1</v>
      </c>
      <c r="AD44" s="47" t="str">
        <f t="shared" si="340"/>
        <v>EMR</v>
      </c>
      <c r="AE44" s="49">
        <f t="shared" si="341"/>
        <v>63.374375999999998</v>
      </c>
      <c r="AF44" s="50" t="e">
        <f t="shared" si="310"/>
        <v>#REF!</v>
      </c>
      <c r="AG44" s="890" t="e">
        <f t="shared" si="332"/>
        <v>#REF!</v>
      </c>
      <c r="AH44" s="207" t="s">
        <v>1186</v>
      </c>
      <c r="AI44" s="240">
        <f t="shared" si="312"/>
        <v>9.1174990071116943E-3</v>
      </c>
      <c r="AJ44" s="11">
        <f t="shared" si="33"/>
        <v>3</v>
      </c>
      <c r="AK44" s="11"/>
      <c r="AL44" s="11"/>
      <c r="AM44" s="11"/>
      <c r="AN44" s="11"/>
      <c r="AO44" s="11"/>
      <c r="AP44" s="11"/>
      <c r="AQ44" s="11" t="str">
        <f>'Update Stock Prices'!Q44</f>
        <v>big</v>
      </c>
      <c r="AR44" s="11"/>
      <c r="AS44" s="11"/>
      <c r="AT44" s="177"/>
      <c r="AU44" s="830"/>
      <c r="AV44" s="839">
        <f>AV84/AV38</f>
        <v>8.3896664380208014E-2</v>
      </c>
      <c r="AW44" s="834">
        <f>AV84/AW38</f>
        <v>0.16290614442758836</v>
      </c>
      <c r="AX44" s="420">
        <f t="shared" si="314"/>
        <v>77</v>
      </c>
      <c r="AY44" s="19">
        <f t="shared" si="293"/>
        <v>5088.1419759359978</v>
      </c>
      <c r="AZ44" s="19">
        <f t="shared" si="291"/>
        <v>424.0118313279998</v>
      </c>
      <c r="BA44" s="19">
        <f t="shared" si="292"/>
        <v>13.930573513856256</v>
      </c>
      <c r="BB44" s="234">
        <f t="shared" si="294"/>
        <v>125778.86964513786</v>
      </c>
      <c r="BC44" s="19"/>
      <c r="BE44" s="74"/>
      <c r="BF44" s="74"/>
      <c r="BM44" s="19"/>
      <c r="BS44" s="420" t="str">
        <f t="shared" si="37"/>
        <v>EMR</v>
      </c>
      <c r="BT44" s="425">
        <f t="shared" si="38"/>
        <v>1.0644</v>
      </c>
      <c r="BU44" s="19">
        <f t="shared" si="39"/>
        <v>59.54</v>
      </c>
      <c r="BV44" s="19">
        <f t="shared" si="40"/>
        <v>63.374375999999998</v>
      </c>
      <c r="BW44" s="539">
        <f t="shared" si="41"/>
        <v>1.92</v>
      </c>
      <c r="BX44" s="19">
        <f t="shared" si="42"/>
        <v>2.0436480000000001</v>
      </c>
      <c r="BY44" s="10">
        <f t="shared" si="43"/>
        <v>3.4323950285522341E-2</v>
      </c>
      <c r="BZ44" s="10">
        <f t="shared" si="44"/>
        <v>1.0987239502855224</v>
      </c>
      <c r="CA44" s="539">
        <f t="shared" si="45"/>
        <v>65.418024000000003</v>
      </c>
      <c r="CB44" s="19">
        <f t="shared" si="46"/>
        <v>2.1095499845482029</v>
      </c>
      <c r="CC44" s="10">
        <f t="shared" si="47"/>
        <v>3.5430802562112916E-2</v>
      </c>
      <c r="CD44" s="10">
        <f t="shared" si="48"/>
        <v>1.1341547528476352</v>
      </c>
      <c r="CE44" s="539">
        <f t="shared" si="49"/>
        <v>67.527573984548198</v>
      </c>
      <c r="CF44" s="19">
        <f t="shared" si="50"/>
        <v>2.1775771254674594</v>
      </c>
      <c r="CG44" s="10">
        <f t="shared" si="51"/>
        <v>3.6573347757263341E-2</v>
      </c>
      <c r="CH44" s="10">
        <f t="shared" si="52"/>
        <v>1.1707281006048986</v>
      </c>
      <c r="CI44" s="539">
        <f t="shared" si="53"/>
        <v>69.705151110015663</v>
      </c>
      <c r="CJ44" s="19">
        <f t="shared" si="54"/>
        <v>2.2477979531614052</v>
      </c>
      <c r="CK44" s="10">
        <f t="shared" si="55"/>
        <v>3.7752736868683329E-2</v>
      </c>
      <c r="CL44" s="10">
        <f t="shared" si="56"/>
        <v>1.208480837473582</v>
      </c>
      <c r="CM44" s="539">
        <f t="shared" si="57"/>
        <v>71.952949063177073</v>
      </c>
      <c r="CN44" s="19">
        <f t="shared" si="58"/>
        <v>2.3202832079492772</v>
      </c>
      <c r="CO44" s="10">
        <f t="shared" si="59"/>
        <v>3.8970158010568981E-2</v>
      </c>
      <c r="CP44" s="10">
        <f t="shared" si="60"/>
        <v>1.2474509954841511</v>
      </c>
      <c r="CQ44" s="539">
        <f t="shared" si="61"/>
        <v>74.273232271126346</v>
      </c>
      <c r="CR44" s="19">
        <f t="shared" si="62"/>
        <v>2.3951059113295701</v>
      </c>
      <c r="CS44" s="10">
        <f t="shared" si="63"/>
        <v>4.0226837610506723E-2</v>
      </c>
      <c r="CT44" s="10">
        <f t="shared" si="64"/>
        <v>1.2876778330946579</v>
      </c>
      <c r="CU44" s="539">
        <f t="shared" si="65"/>
        <v>76.668338182455926</v>
      </c>
      <c r="CV44" s="19">
        <f t="shared" si="66"/>
        <v>2.4723414395417431</v>
      </c>
      <c r="CW44" s="10">
        <f t="shared" si="67"/>
        <v>4.152404164497385E-2</v>
      </c>
      <c r="CX44" s="10">
        <f t="shared" si="68"/>
        <v>1.3292018747396317</v>
      </c>
      <c r="CY44" s="539">
        <f t="shared" si="69"/>
        <v>79.140679621997677</v>
      </c>
      <c r="CZ44" s="19">
        <f t="shared" si="70"/>
        <v>2.5520675995000928</v>
      </c>
      <c r="DA44" s="10">
        <f t="shared" si="71"/>
        <v>4.2863076914680769E-2</v>
      </c>
      <c r="DB44" s="10">
        <f t="shared" si="72"/>
        <v>1.3720649516543124</v>
      </c>
      <c r="DC44" s="539">
        <f t="shared" si="73"/>
        <v>81.692747221497754</v>
      </c>
      <c r="DD44" s="19">
        <f t="shared" si="74"/>
        <v>2.6343647071762799</v>
      </c>
      <c r="DE44" s="10">
        <f t="shared" si="75"/>
        <v>4.4245292361039301E-2</v>
      </c>
      <c r="DF44" s="10">
        <f t="shared" si="76"/>
        <v>1.4163102440153517</v>
      </c>
      <c r="DG44" s="539">
        <f t="shared" si="77"/>
        <v>84.327111928674043</v>
      </c>
      <c r="DH44" s="19">
        <f t="shared" si="78"/>
        <v>2.7193156685094753</v>
      </c>
      <c r="DI44" s="10">
        <f t="shared" si="79"/>
        <v>4.5672080425083562E-2</v>
      </c>
      <c r="DJ44" s="10">
        <f t="shared" si="80"/>
        <v>1.4619823244404353</v>
      </c>
      <c r="DK44" s="539">
        <f t="shared" si="81"/>
        <v>87.046427597183524</v>
      </c>
      <c r="DL44" s="19">
        <f t="shared" si="82"/>
        <v>2.8070060629256357</v>
      </c>
      <c r="DM44" s="10">
        <f t="shared" si="83"/>
        <v>4.7144878450212223E-2</v>
      </c>
      <c r="DN44" s="10">
        <f t="shared" si="84"/>
        <v>1.5091272028906475</v>
      </c>
      <c r="DO44" s="539">
        <f t="shared" si="85"/>
        <v>89.853433660109147</v>
      </c>
      <c r="DP44" s="19">
        <f t="shared" si="86"/>
        <v>2.8975242295500432</v>
      </c>
      <c r="DQ44" s="10">
        <f t="shared" si="87"/>
        <v>4.8665170130165324E-2</v>
      </c>
      <c r="DR44" s="10">
        <f t="shared" si="88"/>
        <v>1.5577923730208127</v>
      </c>
      <c r="DS44" s="539">
        <f t="shared" si="89"/>
        <v>92.75095788965919</v>
      </c>
      <c r="DT44" s="19">
        <f t="shared" si="90"/>
        <v>2.9909613561999602</v>
      </c>
      <c r="DU44" s="10">
        <f t="shared" si="91"/>
        <v>5.0234487003694324E-2</v>
      </c>
      <c r="DV44" s="10">
        <f t="shared" si="92"/>
        <v>1.6080268600245071</v>
      </c>
      <c r="DW44" s="539">
        <f t="shared" si="93"/>
        <v>95.741919245859151</v>
      </c>
      <c r="DX44" s="19">
        <f t="shared" si="94"/>
        <v>3.0874115712470536</v>
      </c>
      <c r="DY44" s="10">
        <f t="shared" si="95"/>
        <v>5.1854409997431197E-2</v>
      </c>
      <c r="DZ44" s="10">
        <f t="shared" si="96"/>
        <v>1.6598812700219383</v>
      </c>
      <c r="EA44" s="539">
        <f t="shared" si="97"/>
        <v>98.829330817106211</v>
      </c>
      <c r="EB44" s="19">
        <f t="shared" si="98"/>
        <v>3.1869720384421214</v>
      </c>
      <c r="EC44" s="10">
        <f t="shared" si="99"/>
        <v>5.3526571018510605E-2</v>
      </c>
      <c r="ED44" s="10">
        <f t="shared" si="100"/>
        <v>1.713407841040449</v>
      </c>
      <c r="EE44" s="539">
        <f t="shared" si="101"/>
        <v>102.01630285554833</v>
      </c>
      <c r="EF44" s="19">
        <f t="shared" si="102"/>
        <v>3.289743054797662</v>
      </c>
      <c r="EG44" s="10">
        <f t="shared" si="103"/>
        <v>5.5252654598549916E-2</v>
      </c>
      <c r="EH44" s="10">
        <f t="shared" si="104"/>
        <v>1.7686604956389989</v>
      </c>
      <c r="EI44" s="539">
        <f t="shared" si="105"/>
        <v>105.30604591034599</v>
      </c>
      <c r="EJ44" s="19">
        <f t="shared" si="106"/>
        <v>3.3958281516268776</v>
      </c>
      <c r="EK44" s="10">
        <f t="shared" si="107"/>
        <v>5.7034399590642888E-2</v>
      </c>
      <c r="EL44" s="10">
        <f t="shared" si="108"/>
        <v>1.8256948952296417</v>
      </c>
      <c r="EM44" s="539">
        <f t="shared" si="109"/>
        <v>108.70187406197286</v>
      </c>
      <c r="EN44" s="19">
        <f t="shared" si="110"/>
        <v>3.5053341988409117</v>
      </c>
      <c r="EO44" s="10">
        <f t="shared" si="111"/>
        <v>5.8873600921076782E-2</v>
      </c>
      <c r="EP44" s="10">
        <f t="shared" si="112"/>
        <v>1.8845684961507185</v>
      </c>
      <c r="EQ44" s="539">
        <f t="shared" si="113"/>
        <v>112.20720826081379</v>
      </c>
      <c r="ER44" s="19">
        <f t="shared" si="114"/>
        <v>3.6183715126093796</v>
      </c>
      <c r="ES44" s="10">
        <f t="shared" si="115"/>
        <v>6.0772111397537451E-2</v>
      </c>
      <c r="ET44" s="10">
        <f t="shared" si="116"/>
        <v>1.945340607548256</v>
      </c>
      <c r="EU44" s="539">
        <f t="shared" si="117"/>
        <v>115.82557977342316</v>
      </c>
      <c r="EV44" s="19">
        <f t="shared" si="118"/>
        <v>3.7350539664926514</v>
      </c>
      <c r="EW44" s="10">
        <f t="shared" si="119"/>
        <v>6.2731843575623975E-2</v>
      </c>
      <c r="EX44" s="10">
        <f t="shared" si="120"/>
        <v>2.0080724511238799</v>
      </c>
      <c r="EY44" s="539">
        <f t="shared" si="121"/>
        <v>119.5606337399158</v>
      </c>
      <c r="EZ44" s="19">
        <f t="shared" si="122"/>
        <v>3.8554991061578492</v>
      </c>
      <c r="FA44" s="10">
        <f t="shared" si="123"/>
        <v>6.4754771685553394E-2</v>
      </c>
      <c r="FB44" s="10">
        <f t="shared" si="124"/>
        <v>2.0728272228094333</v>
      </c>
      <c r="FC44" s="539">
        <f t="shared" si="125"/>
        <v>123.41613284607365</v>
      </c>
      <c r="FD44" s="19">
        <f t="shared" si="126"/>
        <v>3.9798282677941117</v>
      </c>
      <c r="FE44" s="10">
        <f t="shared" si="127"/>
        <v>6.6842933620996164E-2</v>
      </c>
      <c r="FF44" s="10">
        <f t="shared" si="128"/>
        <v>2.1396701564304297</v>
      </c>
      <c r="FG44" s="539">
        <f t="shared" si="129"/>
        <v>127.39596111386778</v>
      </c>
      <c r="FH44" s="19">
        <f t="shared" si="130"/>
        <v>4.1081667003464251</v>
      </c>
      <c r="FI44" s="10">
        <f t="shared" si="131"/>
        <v>6.899843299204611E-2</v>
      </c>
      <c r="FJ44" s="10">
        <f t="shared" si="132"/>
        <v>2.2086685894224756</v>
      </c>
      <c r="FK44" s="539">
        <f t="shared" si="133"/>
        <v>131.5041278142142</v>
      </c>
      <c r="FL44" s="19">
        <f t="shared" si="134"/>
        <v>4.2406436916911527</v>
      </c>
      <c r="FM44" s="10">
        <f t="shared" si="135"/>
        <v>7.1223441244392893E-2</v>
      </c>
      <c r="FN44" s="10">
        <f t="shared" si="136"/>
        <v>2.2798920306668684</v>
      </c>
      <c r="FO44" s="539">
        <f t="shared" si="137"/>
        <v>135.74477150590533</v>
      </c>
      <c r="FP44" s="19">
        <f t="shared" si="138"/>
        <v>4.3773926988803868</v>
      </c>
      <c r="FQ44" s="10">
        <f t="shared" si="139"/>
        <v>7.3520199846832168E-2</v>
      </c>
      <c r="FR44" s="10">
        <f t="shared" si="140"/>
        <v>2.3534122305137006</v>
      </c>
      <c r="FS44" s="539">
        <f t="shared" si="141"/>
        <v>140.12216420478575</v>
      </c>
      <c r="FT44" s="19">
        <f t="shared" si="142"/>
        <v>4.5185514825863047</v>
      </c>
      <c r="FU44" s="10">
        <f t="shared" si="143"/>
        <v>7.5891022549316511E-2</v>
      </c>
      <c r="FV44" s="10">
        <f t="shared" si="144"/>
        <v>2.4293032530630172</v>
      </c>
      <c r="FW44" s="539">
        <f t="shared" si="145"/>
        <v>144.64071568737205</v>
      </c>
      <c r="FX44" s="19">
        <f t="shared" si="146"/>
        <v>4.6642622458809928</v>
      </c>
      <c r="FY44" s="10">
        <f t="shared" si="147"/>
        <v>7.8338297713822516E-2</v>
      </c>
      <c r="FZ44" s="10">
        <f t="shared" si="148"/>
        <v>2.5076415507768397</v>
      </c>
      <c r="GA44" s="539">
        <f t="shared" si="149"/>
        <v>149.30497793325304</v>
      </c>
      <c r="GB44" s="19">
        <f t="shared" si="150"/>
        <v>4.8146717774915322</v>
      </c>
      <c r="GC44" s="10">
        <f t="shared" si="151"/>
        <v>8.0864490720381793E-2</v>
      </c>
      <c r="GD44" s="10">
        <f t="shared" si="152"/>
        <v>2.5885060414972214</v>
      </c>
      <c r="GE44" s="539">
        <f t="shared" si="153"/>
        <v>154.11964971074457</v>
      </c>
      <c r="GF44" s="19">
        <f t="shared" si="154"/>
        <v>4.9699315996746654</v>
      </c>
      <c r="GG44" s="10">
        <f t="shared" si="155"/>
        <v>8.3472146450699794E-2</v>
      </c>
      <c r="GH44" s="10">
        <f t="shared" si="156"/>
        <v>2.6719781879479214</v>
      </c>
      <c r="GI44" s="539">
        <f t="shared" si="157"/>
        <v>159.08958131041925</v>
      </c>
      <c r="GJ44" s="19">
        <f t="shared" si="158"/>
        <v>5.1301981208600091</v>
      </c>
      <c r="GK44" s="10">
        <f t="shared" si="159"/>
        <v>8.6163891851864446E-2</v>
      </c>
      <c r="GL44" s="10">
        <f t="shared" si="160"/>
        <v>2.7581420797997858</v>
      </c>
      <c r="GM44" s="539">
        <f t="shared" si="161"/>
        <v>164.21977943127925</v>
      </c>
      <c r="GN44" s="19">
        <f t="shared" si="162"/>
        <v>5.2956327932155887</v>
      </c>
      <c r="GO44" s="10">
        <f t="shared" si="163"/>
        <v>8.8942438582727393E-2</v>
      </c>
      <c r="GP44" s="10">
        <f t="shared" si="164"/>
        <v>2.8470845183825131</v>
      </c>
      <c r="GQ44" s="539">
        <f t="shared" si="165"/>
        <v>169.51541222449484</v>
      </c>
      <c r="GR44" s="19">
        <f t="shared" si="166"/>
        <v>5.466402275294425</v>
      </c>
      <c r="GS44" s="10">
        <f t="shared" si="167"/>
        <v>9.1810585745623535E-2</v>
      </c>
      <c r="GT44" s="10">
        <f t="shared" si="168"/>
        <v>2.9388951041281368</v>
      </c>
      <c r="GU44" s="539">
        <f t="shared" si="169"/>
        <v>174.98181449978927</v>
      </c>
      <c r="GV44" s="19">
        <f t="shared" si="170"/>
        <v>5.6426785999260227</v>
      </c>
      <c r="GW44" s="10">
        <f t="shared" si="171"/>
        <v>9.4771222706181102E-2</v>
      </c>
      <c r="GX44" s="10">
        <f t="shared" si="172"/>
        <v>3.033666326834318</v>
      </c>
      <c r="GY44" s="539">
        <f t="shared" si="173"/>
        <v>180.62449309971529</v>
      </c>
      <c r="GZ44" s="19">
        <f t="shared" si="174"/>
        <v>5.8246393475218907</v>
      </c>
      <c r="HA44" s="10">
        <f t="shared" si="175"/>
        <v>9.7827332004062656E-2</v>
      </c>
      <c r="HB44" s="10">
        <f t="shared" si="176"/>
        <v>3.1314936588383806</v>
      </c>
      <c r="HC44" s="539">
        <f t="shared" si="177"/>
        <v>186.44913244723719</v>
      </c>
      <c r="HD44" s="19">
        <f t="shared" si="178"/>
        <v>6.0124678249696908</v>
      </c>
      <c r="HE44" s="10">
        <f t="shared" si="179"/>
        <v>0.10098199235756955</v>
      </c>
      <c r="HF44" s="10">
        <f t="shared" si="180"/>
        <v>3.23247565119595</v>
      </c>
      <c r="HG44" s="539">
        <f t="shared" si="181"/>
        <v>192.46160027220685</v>
      </c>
      <c r="HH44" s="19">
        <f t="shared" si="182"/>
        <v>6.2063532502962238</v>
      </c>
      <c r="HI44" s="10">
        <f t="shared" si="183"/>
        <v>0.10423838176513645</v>
      </c>
      <c r="HJ44" s="10">
        <f t="shared" si="184"/>
        <v>3.3367140329610865</v>
      </c>
      <c r="HK44" s="539">
        <f t="shared" si="185"/>
        <v>198.6679535225031</v>
      </c>
      <c r="HL44" s="19">
        <f t="shared" si="186"/>
        <v>6.4064909432852861</v>
      </c>
      <c r="HM44" s="10">
        <f t="shared" si="187"/>
        <v>0.10759978070684055</v>
      </c>
      <c r="HN44" s="10">
        <f t="shared" si="188"/>
        <v>3.444313813667927</v>
      </c>
      <c r="HO44" s="539">
        <f t="shared" si="189"/>
        <v>205.07444446578836</v>
      </c>
      <c r="HP44" s="19">
        <f t="shared" si="190"/>
        <v>6.6130825222424194</v>
      </c>
      <c r="HQ44" s="10">
        <f t="shared" si="191"/>
        <v>0.11106957544915048</v>
      </c>
      <c r="HR44" s="10">
        <f t="shared" si="192"/>
        <v>3.5553833891170776</v>
      </c>
      <c r="HS44" s="539">
        <f t="shared" si="193"/>
        <v>211.68752698803081</v>
      </c>
      <c r="HT44" s="19">
        <f t="shared" si="194"/>
        <v>6.8263361071047886</v>
      </c>
      <c r="HU44" s="10">
        <f t="shared" si="195"/>
        <v>0.11465126145624435</v>
      </c>
      <c r="HV44" s="10">
        <f t="shared" si="196"/>
        <v>3.6700346505733221</v>
      </c>
      <c r="HW44" s="539">
        <f t="shared" si="197"/>
        <v>218.5138630951356</v>
      </c>
      <c r="HX44" s="19">
        <f t="shared" si="198"/>
        <v>7.046466529100778</v>
      </c>
      <c r="HY44" s="10">
        <f t="shared" si="199"/>
        <v>0.11834844691133319</v>
      </c>
      <c r="HZ44" s="10">
        <f t="shared" si="200"/>
        <v>3.7883830974846555</v>
      </c>
      <c r="IA44" s="539">
        <f t="shared" si="201"/>
        <v>225.56032962423637</v>
      </c>
      <c r="IB44" s="19">
        <f t="shared" si="202"/>
        <v>7.2736955471705382</v>
      </c>
      <c r="IF44" s="224" t="s">
        <v>1347</v>
      </c>
      <c r="IG44" s="420">
        <v>1</v>
      </c>
      <c r="IH44" s="19">
        <f>II18</f>
        <v>199.31159999999997</v>
      </c>
      <c r="II44" s="19" t="str">
        <f>II19</f>
        <v>Overvalued</v>
      </c>
      <c r="IJ44" s="236">
        <f t="shared" si="350"/>
        <v>5</v>
      </c>
      <c r="IP44" s="11">
        <v>3</v>
      </c>
      <c r="IQ44" s="19">
        <f>IQ43*(1+$IP$12)</f>
        <v>10.701240000000002</v>
      </c>
      <c r="IR44" s="20">
        <f t="shared" si="351"/>
        <v>8.0399999999999991</v>
      </c>
    </row>
    <row r="45" spans="1:263">
      <c r="A45" s="11"/>
      <c r="B45" s="9"/>
      <c r="C45" s="1218" t="s">
        <v>2342</v>
      </c>
      <c r="D45" s="47" t="s">
        <v>824</v>
      </c>
      <c r="E45" s="396">
        <f t="shared" si="333"/>
        <v>22</v>
      </c>
      <c r="F45" s="242">
        <v>1</v>
      </c>
      <c r="G45" s="48">
        <f>'Update Stock Prices'!S45</f>
        <v>35833887.043189369</v>
      </c>
      <c r="H45" s="991">
        <f t="shared" si="27"/>
        <v>2.7906545521972927E-8</v>
      </c>
      <c r="I45" s="49">
        <f>'Update Stock Prices'!D45</f>
        <v>15.05</v>
      </c>
      <c r="J45" s="49">
        <f t="shared" si="1"/>
        <v>15.05</v>
      </c>
      <c r="K45" s="30">
        <v>24.78</v>
      </c>
      <c r="L45" s="49">
        <f t="shared" si="28"/>
        <v>-9.73</v>
      </c>
      <c r="M45" s="50">
        <f t="shared" si="29"/>
        <v>-0.39265536723163841</v>
      </c>
      <c r="N45" s="49">
        <f t="shared" si="30"/>
        <v>24.78</v>
      </c>
      <c r="O45" s="48">
        <f t="shared" si="334"/>
        <v>21</v>
      </c>
      <c r="P45" s="49">
        <f t="shared" si="342"/>
        <v>4.9599999999999795</v>
      </c>
      <c r="Q45" s="30">
        <v>0</v>
      </c>
      <c r="R45" s="49">
        <f t="shared" ref="R45" si="355">S45/365.25</f>
        <v>0</v>
      </c>
      <c r="S45" s="49">
        <f t="shared" si="335"/>
        <v>0</v>
      </c>
      <c r="T45" s="49">
        <f t="shared" ref="T45" si="356">S45/12</f>
        <v>0</v>
      </c>
      <c r="U45" s="49"/>
      <c r="V45" s="50">
        <f t="shared" si="336"/>
        <v>0</v>
      </c>
      <c r="W45" s="50">
        <f t="shared" si="7"/>
        <v>0</v>
      </c>
      <c r="X45" s="49">
        <f t="shared" ref="X45:X50" si="357">12*((E45*Q45)/12-T45)</f>
        <v>0</v>
      </c>
      <c r="Y45" s="49">
        <f t="shared" si="32"/>
        <v>0</v>
      </c>
      <c r="Z45" s="860">
        <f t="shared" si="337"/>
        <v>0</v>
      </c>
      <c r="AA45" s="860" t="str">
        <f t="shared" si="338"/>
        <v/>
      </c>
      <c r="AB45" s="49" t="str">
        <f t="shared" si="339"/>
        <v/>
      </c>
      <c r="AC45" s="48">
        <v>1</v>
      </c>
      <c r="AD45" s="47" t="str">
        <f t="shared" si="340"/>
        <v>ENVA</v>
      </c>
      <c r="AE45" s="49">
        <f t="shared" si="341"/>
        <v>15.05</v>
      </c>
      <c r="AF45" s="50" t="e">
        <f t="shared" si="310"/>
        <v>#REF!</v>
      </c>
      <c r="AG45" s="890" t="e">
        <f t="shared" si="332"/>
        <v>#REF!</v>
      </c>
      <c r="AH45" s="207" t="s">
        <v>825</v>
      </c>
      <c r="AI45" s="240">
        <f t="shared" si="312"/>
        <v>5.1418728395193547E-4</v>
      </c>
      <c r="AJ45" s="11">
        <f t="shared" si="33"/>
        <v>4</v>
      </c>
      <c r="AK45" s="11"/>
      <c r="AL45" s="11"/>
      <c r="AM45" s="11"/>
      <c r="AN45" s="11"/>
      <c r="AO45" s="11"/>
      <c r="AP45" s="11"/>
      <c r="AQ45" s="11" t="str">
        <f>'Update Stock Prices'!Q45</f>
        <v>small</v>
      </c>
      <c r="AR45" s="11"/>
      <c r="AS45" s="11">
        <v>1</v>
      </c>
      <c r="AT45" s="177"/>
      <c r="AU45" s="11"/>
      <c r="AV45" s="660"/>
      <c r="AW45" s="236"/>
      <c r="AX45" s="420">
        <f t="shared" si="314"/>
        <v>78</v>
      </c>
      <c r="AY45" s="19">
        <f t="shared" si="293"/>
        <v>5031.1547858055146</v>
      </c>
      <c r="AZ45" s="19">
        <f t="shared" si="291"/>
        <v>419.2628988171262</v>
      </c>
      <c r="BA45" s="19">
        <f t="shared" si="292"/>
        <v>13.774551090501067</v>
      </c>
      <c r="BB45" s="234">
        <f t="shared" si="294"/>
        <v>124370.14630511233</v>
      </c>
      <c r="BC45" s="19"/>
      <c r="BE45" s="74"/>
      <c r="BF45" s="74"/>
      <c r="BS45" s="420" t="str">
        <f t="shared" si="37"/>
        <v>ENVA</v>
      </c>
      <c r="BT45" s="425">
        <f t="shared" si="38"/>
        <v>1</v>
      </c>
      <c r="BU45" s="19">
        <f t="shared" si="39"/>
        <v>15.05</v>
      </c>
      <c r="BV45" s="19">
        <f t="shared" si="40"/>
        <v>15.05</v>
      </c>
      <c r="BW45" s="539">
        <f t="shared" si="41"/>
        <v>0</v>
      </c>
      <c r="BX45" s="19">
        <f t="shared" si="42"/>
        <v>0</v>
      </c>
      <c r="BY45" s="10">
        <f t="shared" si="43"/>
        <v>0</v>
      </c>
      <c r="BZ45" s="10">
        <f t="shared" si="44"/>
        <v>1</v>
      </c>
      <c r="CA45" s="539">
        <f t="shared" si="45"/>
        <v>15.05</v>
      </c>
      <c r="CB45" s="19">
        <f t="shared" si="46"/>
        <v>0</v>
      </c>
      <c r="CC45" s="10">
        <f t="shared" si="47"/>
        <v>0</v>
      </c>
      <c r="CD45" s="10">
        <f t="shared" si="48"/>
        <v>1</v>
      </c>
      <c r="CE45" s="539">
        <f t="shared" si="49"/>
        <v>15.05</v>
      </c>
      <c r="CF45" s="19">
        <f t="shared" si="50"/>
        <v>0</v>
      </c>
      <c r="CG45" s="10">
        <f t="shared" si="51"/>
        <v>0</v>
      </c>
      <c r="CH45" s="10">
        <f t="shared" si="52"/>
        <v>1</v>
      </c>
      <c r="CI45" s="539">
        <f t="shared" si="53"/>
        <v>15.05</v>
      </c>
      <c r="CJ45" s="19">
        <f t="shared" si="54"/>
        <v>0</v>
      </c>
      <c r="CK45" s="10">
        <f t="shared" si="55"/>
        <v>0</v>
      </c>
      <c r="CL45" s="10">
        <f t="shared" si="56"/>
        <v>1</v>
      </c>
      <c r="CM45" s="539">
        <f t="shared" si="57"/>
        <v>15.05</v>
      </c>
      <c r="CN45" s="19">
        <f t="shared" si="58"/>
        <v>0</v>
      </c>
      <c r="CO45" s="10">
        <f t="shared" si="59"/>
        <v>0</v>
      </c>
      <c r="CP45" s="10">
        <f t="shared" si="60"/>
        <v>1</v>
      </c>
      <c r="CQ45" s="539">
        <f t="shared" si="61"/>
        <v>15.05</v>
      </c>
      <c r="CR45" s="19">
        <f t="shared" si="62"/>
        <v>0</v>
      </c>
      <c r="CS45" s="10">
        <f t="shared" si="63"/>
        <v>0</v>
      </c>
      <c r="CT45" s="10">
        <f t="shared" si="64"/>
        <v>1</v>
      </c>
      <c r="CU45" s="539">
        <f t="shared" si="65"/>
        <v>15.05</v>
      </c>
      <c r="CV45" s="19">
        <f t="shared" si="66"/>
        <v>0</v>
      </c>
      <c r="CW45" s="10">
        <f t="shared" si="67"/>
        <v>0</v>
      </c>
      <c r="CX45" s="10">
        <f t="shared" si="68"/>
        <v>1</v>
      </c>
      <c r="CY45" s="539">
        <f t="shared" si="69"/>
        <v>15.05</v>
      </c>
      <c r="CZ45" s="19">
        <f t="shared" si="70"/>
        <v>0</v>
      </c>
      <c r="DA45" s="10">
        <f t="shared" si="71"/>
        <v>0</v>
      </c>
      <c r="DB45" s="10">
        <f t="shared" si="72"/>
        <v>1</v>
      </c>
      <c r="DC45" s="539">
        <f t="shared" si="73"/>
        <v>15.05</v>
      </c>
      <c r="DD45" s="19">
        <f t="shared" si="74"/>
        <v>0</v>
      </c>
      <c r="DE45" s="10">
        <f t="shared" si="75"/>
        <v>0</v>
      </c>
      <c r="DF45" s="10">
        <f t="shared" si="76"/>
        <v>1</v>
      </c>
      <c r="DG45" s="539">
        <f t="shared" si="77"/>
        <v>15.05</v>
      </c>
      <c r="DH45" s="19">
        <f t="shared" si="78"/>
        <v>0</v>
      </c>
      <c r="DI45" s="10">
        <f t="shared" si="79"/>
        <v>0</v>
      </c>
      <c r="DJ45" s="10">
        <f t="shared" si="80"/>
        <v>1</v>
      </c>
      <c r="DK45" s="539">
        <f t="shared" si="81"/>
        <v>15.05</v>
      </c>
      <c r="DL45" s="19">
        <f t="shared" si="82"/>
        <v>0</v>
      </c>
      <c r="DM45" s="10">
        <f t="shared" si="83"/>
        <v>0</v>
      </c>
      <c r="DN45" s="10">
        <f t="shared" si="84"/>
        <v>1</v>
      </c>
      <c r="DO45" s="539">
        <f t="shared" si="85"/>
        <v>15.05</v>
      </c>
      <c r="DP45" s="19">
        <f t="shared" si="86"/>
        <v>0</v>
      </c>
      <c r="DQ45" s="10">
        <f t="shared" si="87"/>
        <v>0</v>
      </c>
      <c r="DR45" s="10">
        <f t="shared" si="88"/>
        <v>1</v>
      </c>
      <c r="DS45" s="539">
        <f t="shared" si="89"/>
        <v>15.05</v>
      </c>
      <c r="DT45" s="19">
        <f t="shared" si="90"/>
        <v>0</v>
      </c>
      <c r="DU45" s="10">
        <f t="shared" si="91"/>
        <v>0</v>
      </c>
      <c r="DV45" s="10">
        <f t="shared" si="92"/>
        <v>1</v>
      </c>
      <c r="DW45" s="539">
        <f t="shared" si="93"/>
        <v>15.05</v>
      </c>
      <c r="DX45" s="19">
        <f t="shared" si="94"/>
        <v>0</v>
      </c>
      <c r="DY45" s="10">
        <f t="shared" si="95"/>
        <v>0</v>
      </c>
      <c r="DZ45" s="10">
        <f t="shared" si="96"/>
        <v>1</v>
      </c>
      <c r="EA45" s="539">
        <f t="shared" si="97"/>
        <v>15.05</v>
      </c>
      <c r="EB45" s="19">
        <f t="shared" si="98"/>
        <v>0</v>
      </c>
      <c r="EC45" s="10">
        <f t="shared" si="99"/>
        <v>0</v>
      </c>
      <c r="ED45" s="10">
        <f t="shared" si="100"/>
        <v>1</v>
      </c>
      <c r="EE45" s="539">
        <f t="shared" si="101"/>
        <v>15.05</v>
      </c>
      <c r="EF45" s="19">
        <f t="shared" si="102"/>
        <v>0</v>
      </c>
      <c r="EG45" s="10">
        <f t="shared" si="103"/>
        <v>0</v>
      </c>
      <c r="EH45" s="10">
        <f t="shared" si="104"/>
        <v>1</v>
      </c>
      <c r="EI45" s="539">
        <f t="shared" si="105"/>
        <v>15.05</v>
      </c>
      <c r="EJ45" s="19">
        <f t="shared" si="106"/>
        <v>0</v>
      </c>
      <c r="EK45" s="10">
        <f t="shared" si="107"/>
        <v>0</v>
      </c>
      <c r="EL45" s="10">
        <f t="shared" si="108"/>
        <v>1</v>
      </c>
      <c r="EM45" s="539">
        <f t="shared" si="109"/>
        <v>15.05</v>
      </c>
      <c r="EN45" s="19">
        <f t="shared" si="110"/>
        <v>0</v>
      </c>
      <c r="EO45" s="10">
        <f t="shared" si="111"/>
        <v>0</v>
      </c>
      <c r="EP45" s="10">
        <f t="shared" si="112"/>
        <v>1</v>
      </c>
      <c r="EQ45" s="539">
        <f t="shared" si="113"/>
        <v>15.05</v>
      </c>
      <c r="ER45" s="19">
        <f t="shared" si="114"/>
        <v>0</v>
      </c>
      <c r="ES45" s="10">
        <f t="shared" si="115"/>
        <v>0</v>
      </c>
      <c r="ET45" s="10">
        <f t="shared" si="116"/>
        <v>1</v>
      </c>
      <c r="EU45" s="539">
        <f t="shared" si="117"/>
        <v>15.05</v>
      </c>
      <c r="EV45" s="19">
        <f t="shared" si="118"/>
        <v>0</v>
      </c>
      <c r="EW45" s="10">
        <f t="shared" si="119"/>
        <v>0</v>
      </c>
      <c r="EX45" s="10">
        <f t="shared" si="120"/>
        <v>1</v>
      </c>
      <c r="EY45" s="539">
        <f t="shared" si="121"/>
        <v>15.05</v>
      </c>
      <c r="EZ45" s="19">
        <f t="shared" si="122"/>
        <v>0</v>
      </c>
      <c r="FA45" s="10">
        <f t="shared" si="123"/>
        <v>0</v>
      </c>
      <c r="FB45" s="10">
        <f t="shared" si="124"/>
        <v>1</v>
      </c>
      <c r="FC45" s="539">
        <f t="shared" si="125"/>
        <v>15.05</v>
      </c>
      <c r="FD45" s="19">
        <f t="shared" si="126"/>
        <v>0</v>
      </c>
      <c r="FE45" s="10">
        <f t="shared" si="127"/>
        <v>0</v>
      </c>
      <c r="FF45" s="10">
        <f t="shared" si="128"/>
        <v>1</v>
      </c>
      <c r="FG45" s="539">
        <f t="shared" si="129"/>
        <v>15.05</v>
      </c>
      <c r="FH45" s="19">
        <f t="shared" si="130"/>
        <v>0</v>
      </c>
      <c r="FI45" s="10">
        <f t="shared" si="131"/>
        <v>0</v>
      </c>
      <c r="FJ45" s="10">
        <f t="shared" si="132"/>
        <v>1</v>
      </c>
      <c r="FK45" s="539">
        <f t="shared" si="133"/>
        <v>15.05</v>
      </c>
      <c r="FL45" s="19">
        <f t="shared" si="134"/>
        <v>0</v>
      </c>
      <c r="FM45" s="10">
        <f t="shared" si="135"/>
        <v>0</v>
      </c>
      <c r="FN45" s="10">
        <f t="shared" si="136"/>
        <v>1</v>
      </c>
      <c r="FO45" s="539">
        <f t="shared" si="137"/>
        <v>15.05</v>
      </c>
      <c r="FP45" s="19">
        <f t="shared" si="138"/>
        <v>0</v>
      </c>
      <c r="FQ45" s="10">
        <f t="shared" si="139"/>
        <v>0</v>
      </c>
      <c r="FR45" s="10">
        <f t="shared" si="140"/>
        <v>1</v>
      </c>
      <c r="FS45" s="539">
        <f t="shared" si="141"/>
        <v>15.05</v>
      </c>
      <c r="FT45" s="19">
        <f t="shared" si="142"/>
        <v>0</v>
      </c>
      <c r="FU45" s="10">
        <f t="shared" si="143"/>
        <v>0</v>
      </c>
      <c r="FV45" s="10">
        <f t="shared" si="144"/>
        <v>1</v>
      </c>
      <c r="FW45" s="539">
        <f t="shared" si="145"/>
        <v>15.05</v>
      </c>
      <c r="FX45" s="19">
        <f t="shared" si="146"/>
        <v>0</v>
      </c>
      <c r="FY45" s="10">
        <f t="shared" si="147"/>
        <v>0</v>
      </c>
      <c r="FZ45" s="10">
        <f t="shared" si="148"/>
        <v>1</v>
      </c>
      <c r="GA45" s="539">
        <f t="shared" si="149"/>
        <v>15.05</v>
      </c>
      <c r="GB45" s="19">
        <f t="shared" si="150"/>
        <v>0</v>
      </c>
      <c r="GC45" s="10">
        <f t="shared" si="151"/>
        <v>0</v>
      </c>
      <c r="GD45" s="10">
        <f t="shared" si="152"/>
        <v>1</v>
      </c>
      <c r="GE45" s="539">
        <f t="shared" si="153"/>
        <v>15.05</v>
      </c>
      <c r="GF45" s="19">
        <f t="shared" si="154"/>
        <v>0</v>
      </c>
      <c r="GG45" s="10">
        <f t="shared" si="155"/>
        <v>0</v>
      </c>
      <c r="GH45" s="10">
        <f t="shared" si="156"/>
        <v>1</v>
      </c>
      <c r="GI45" s="539">
        <f t="shared" si="157"/>
        <v>15.05</v>
      </c>
      <c r="GJ45" s="19">
        <f t="shared" si="158"/>
        <v>0</v>
      </c>
      <c r="GK45" s="10">
        <f t="shared" si="159"/>
        <v>0</v>
      </c>
      <c r="GL45" s="10">
        <f t="shared" si="160"/>
        <v>1</v>
      </c>
      <c r="GM45" s="539">
        <f t="shared" si="161"/>
        <v>15.05</v>
      </c>
      <c r="GN45" s="19">
        <f t="shared" si="162"/>
        <v>0</v>
      </c>
      <c r="GO45" s="10">
        <f t="shared" si="163"/>
        <v>0</v>
      </c>
      <c r="GP45" s="10">
        <f t="shared" si="164"/>
        <v>1</v>
      </c>
      <c r="GQ45" s="539">
        <f t="shared" si="165"/>
        <v>15.05</v>
      </c>
      <c r="GR45" s="19">
        <f t="shared" si="166"/>
        <v>0</v>
      </c>
      <c r="GS45" s="10">
        <f t="shared" si="167"/>
        <v>0</v>
      </c>
      <c r="GT45" s="10">
        <f t="shared" si="168"/>
        <v>1</v>
      </c>
      <c r="GU45" s="539">
        <f t="shared" si="169"/>
        <v>15.05</v>
      </c>
      <c r="GV45" s="19">
        <f t="shared" si="170"/>
        <v>0</v>
      </c>
      <c r="GW45" s="10">
        <f t="shared" si="171"/>
        <v>0</v>
      </c>
      <c r="GX45" s="10">
        <f t="shared" si="172"/>
        <v>1</v>
      </c>
      <c r="GY45" s="539">
        <f t="shared" si="173"/>
        <v>15.05</v>
      </c>
      <c r="GZ45" s="19">
        <f t="shared" si="174"/>
        <v>0</v>
      </c>
      <c r="HA45" s="10">
        <f t="shared" si="175"/>
        <v>0</v>
      </c>
      <c r="HB45" s="10">
        <f t="shared" si="176"/>
        <v>1</v>
      </c>
      <c r="HC45" s="539">
        <f t="shared" si="177"/>
        <v>15.05</v>
      </c>
      <c r="HD45" s="19">
        <f t="shared" si="178"/>
        <v>0</v>
      </c>
      <c r="HE45" s="10">
        <f t="shared" si="179"/>
        <v>0</v>
      </c>
      <c r="HF45" s="10">
        <f t="shared" si="180"/>
        <v>1</v>
      </c>
      <c r="HG45" s="539">
        <f t="shared" si="181"/>
        <v>15.05</v>
      </c>
      <c r="HH45" s="19">
        <f t="shared" si="182"/>
        <v>0</v>
      </c>
      <c r="HI45" s="10">
        <f t="shared" si="183"/>
        <v>0</v>
      </c>
      <c r="HJ45" s="10">
        <f t="shared" si="184"/>
        <v>1</v>
      </c>
      <c r="HK45" s="539">
        <f t="shared" si="185"/>
        <v>15.05</v>
      </c>
      <c r="HL45" s="19">
        <f t="shared" si="186"/>
        <v>0</v>
      </c>
      <c r="HM45" s="10">
        <f t="shared" si="187"/>
        <v>0</v>
      </c>
      <c r="HN45" s="10">
        <f t="shared" si="188"/>
        <v>1</v>
      </c>
      <c r="HO45" s="539">
        <f t="shared" si="189"/>
        <v>15.05</v>
      </c>
      <c r="HP45" s="19">
        <f t="shared" si="190"/>
        <v>0</v>
      </c>
      <c r="HQ45" s="10">
        <f t="shared" si="191"/>
        <v>0</v>
      </c>
      <c r="HR45" s="10">
        <f t="shared" si="192"/>
        <v>1</v>
      </c>
      <c r="HS45" s="539">
        <f t="shared" si="193"/>
        <v>15.05</v>
      </c>
      <c r="HT45" s="19">
        <f t="shared" si="194"/>
        <v>0</v>
      </c>
      <c r="HU45" s="10">
        <f t="shared" si="195"/>
        <v>0</v>
      </c>
      <c r="HV45" s="10">
        <f t="shared" si="196"/>
        <v>1</v>
      </c>
      <c r="HW45" s="539">
        <f t="shared" si="197"/>
        <v>15.05</v>
      </c>
      <c r="HX45" s="19">
        <f t="shared" si="198"/>
        <v>0</v>
      </c>
      <c r="HY45" s="10">
        <f t="shared" si="199"/>
        <v>0</v>
      </c>
      <c r="HZ45" s="10">
        <f t="shared" si="200"/>
        <v>1</v>
      </c>
      <c r="IA45" s="539">
        <f t="shared" si="201"/>
        <v>15.05</v>
      </c>
      <c r="IB45" s="19">
        <f t="shared" si="202"/>
        <v>0</v>
      </c>
      <c r="IF45" s="224" t="s">
        <v>1348</v>
      </c>
      <c r="IG45" s="420">
        <v>2</v>
      </c>
      <c r="IH45" s="19">
        <f>II22</f>
        <v>199.31159999999997</v>
      </c>
      <c r="II45" s="420" t="str">
        <f>II23</f>
        <v>Overvalued</v>
      </c>
      <c r="IJ45" s="236">
        <f t="shared" si="350"/>
        <v>5</v>
      </c>
      <c r="IP45" s="11">
        <v>4</v>
      </c>
      <c r="IQ45" s="19">
        <f>IQ44*(1+$IP$12)</f>
        <v>11.771364000000004</v>
      </c>
      <c r="IR45" s="20">
        <f t="shared" si="351"/>
        <v>8.0400000000000009</v>
      </c>
    </row>
    <row r="46" spans="1:263">
      <c r="A46" s="11"/>
      <c r="B46" s="20"/>
      <c r="C46" s="1218" t="s">
        <v>2342</v>
      </c>
      <c r="D46" s="47" t="s">
        <v>357</v>
      </c>
      <c r="E46" s="396">
        <f t="shared" si="333"/>
        <v>5.0998999999999999</v>
      </c>
      <c r="F46" s="242">
        <v>1.0999000000000001</v>
      </c>
      <c r="G46" s="48">
        <f>'Update Stock Prices'!S46</f>
        <v>63893420.337139748</v>
      </c>
      <c r="H46" s="991">
        <f t="shared" si="27"/>
        <v>1.7214605106382979E-8</v>
      </c>
      <c r="I46" s="49">
        <f>'Update Stock Prices'!D46</f>
        <v>73.56</v>
      </c>
      <c r="J46" s="49">
        <f t="shared" si="1"/>
        <v>80.90864400000001</v>
      </c>
      <c r="K46" s="30">
        <v>55.34</v>
      </c>
      <c r="L46" s="49">
        <f t="shared" si="28"/>
        <v>25.568644000000006</v>
      </c>
      <c r="M46" s="50">
        <f t="shared" si="29"/>
        <v>0.46202826165522237</v>
      </c>
      <c r="N46" s="49">
        <f t="shared" si="30"/>
        <v>50.313664878625325</v>
      </c>
      <c r="O46" s="48">
        <f t="shared" si="334"/>
        <v>4</v>
      </c>
      <c r="P46" s="49">
        <f>IF(($B$11-$B$12)-(O46*I46)&lt;0,0,($B$11-$B$12)-(O46*I46))</f>
        <v>26.769999999999982</v>
      </c>
      <c r="Q46" s="30">
        <f>0.34*12</f>
        <v>4.08</v>
      </c>
      <c r="R46" s="49">
        <f t="shared" si="242"/>
        <v>1.2286357289527721E-2</v>
      </c>
      <c r="S46" s="49">
        <f t="shared" si="335"/>
        <v>4.4875920000000002</v>
      </c>
      <c r="T46" s="49">
        <f t="shared" si="31"/>
        <v>0.37396600000000002</v>
      </c>
      <c r="U46" s="49" t="s">
        <v>56</v>
      </c>
      <c r="V46" s="50">
        <f t="shared" si="336"/>
        <v>5.5464926590538338E-2</v>
      </c>
      <c r="W46" s="50">
        <f t="shared" si="7"/>
        <v>8.1091290205999284E-2</v>
      </c>
      <c r="X46" s="49">
        <f t="shared" si="357"/>
        <v>16.32</v>
      </c>
      <c r="Y46" s="49">
        <f t="shared" si="32"/>
        <v>0.37396600000000002</v>
      </c>
      <c r="Z46" s="860">
        <f t="shared" si="337"/>
        <v>0</v>
      </c>
      <c r="AA46" s="860">
        <f t="shared" si="338"/>
        <v>215.25304117647062</v>
      </c>
      <c r="AB46" s="49">
        <f t="shared" si="339"/>
        <v>15834.013708941178</v>
      </c>
      <c r="AC46" s="48">
        <v>1</v>
      </c>
      <c r="AD46" s="47" t="str">
        <f t="shared" si="340"/>
        <v>EPR</v>
      </c>
      <c r="AE46" s="49">
        <f t="shared" si="341"/>
        <v>80.90864400000001</v>
      </c>
      <c r="AF46" s="50" t="e">
        <f t="shared" si="310"/>
        <v>#REF!</v>
      </c>
      <c r="AG46" s="890" t="e">
        <f t="shared" si="332"/>
        <v>#REF!</v>
      </c>
      <c r="AH46" s="207" t="s">
        <v>356</v>
      </c>
      <c r="AI46" s="240">
        <f t="shared" si="312"/>
        <v>1.4860662722154848E-2</v>
      </c>
      <c r="AJ46" s="11">
        <f t="shared" si="33"/>
        <v>3</v>
      </c>
      <c r="AK46" s="11"/>
      <c r="AL46" s="11"/>
      <c r="AM46" s="11"/>
      <c r="AN46" s="11"/>
      <c r="AO46" s="11"/>
      <c r="AP46" s="11"/>
      <c r="AQ46" s="11" t="str">
        <f>'Update Stock Prices'!Q46</f>
        <v>mid</v>
      </c>
      <c r="AR46" s="11"/>
      <c r="AS46" s="11"/>
      <c r="AT46" s="176"/>
      <c r="AU46" s="11"/>
      <c r="AV46" s="660" t="s">
        <v>1709</v>
      </c>
      <c r="AW46" s="236"/>
      <c r="AX46" s="420">
        <f t="shared" si="314"/>
        <v>79</v>
      </c>
      <c r="AY46" s="19">
        <f t="shared" si="293"/>
        <v>4974.805852204493</v>
      </c>
      <c r="AZ46" s="19">
        <f t="shared" si="291"/>
        <v>414.56715435037444</v>
      </c>
      <c r="BA46" s="19">
        <f t="shared" si="292"/>
        <v>13.620276118287455</v>
      </c>
      <c r="BB46" s="234">
        <f t="shared" si="294"/>
        <v>122977.20066649507</v>
      </c>
      <c r="BC46" s="19"/>
      <c r="BE46" s="74"/>
      <c r="BF46" s="74"/>
      <c r="BN46" s="19"/>
      <c r="BS46" s="420" t="str">
        <f t="shared" si="37"/>
        <v>EPR</v>
      </c>
      <c r="BT46" s="425">
        <f t="shared" si="38"/>
        <v>1.0999000000000001</v>
      </c>
      <c r="BU46" s="19">
        <f t="shared" si="39"/>
        <v>73.56</v>
      </c>
      <c r="BV46" s="19">
        <f t="shared" si="40"/>
        <v>80.90864400000001</v>
      </c>
      <c r="BW46" s="539">
        <f t="shared" si="41"/>
        <v>4.08</v>
      </c>
      <c r="BX46" s="19">
        <f t="shared" si="42"/>
        <v>4.4875920000000002</v>
      </c>
      <c r="BY46" s="10">
        <f t="shared" si="43"/>
        <v>6.1005872756933116E-2</v>
      </c>
      <c r="BZ46" s="10">
        <f t="shared" si="44"/>
        <v>1.1609058727569332</v>
      </c>
      <c r="CA46" s="539">
        <f t="shared" si="45"/>
        <v>85.396236000000016</v>
      </c>
      <c r="CB46" s="19">
        <f t="shared" si="46"/>
        <v>4.7364959608482877</v>
      </c>
      <c r="CC46" s="10">
        <f t="shared" si="47"/>
        <v>6.438955901098814E-2</v>
      </c>
      <c r="CD46" s="10">
        <f t="shared" si="48"/>
        <v>1.2252954317679214</v>
      </c>
      <c r="CE46" s="539">
        <f t="shared" si="49"/>
        <v>90.132731960848304</v>
      </c>
      <c r="CF46" s="19">
        <f t="shared" si="50"/>
        <v>4.9992053616131198</v>
      </c>
      <c r="CG46" s="10">
        <f t="shared" si="51"/>
        <v>6.7960921174729738E-2</v>
      </c>
      <c r="CH46" s="10">
        <f t="shared" si="52"/>
        <v>1.2932563529426511</v>
      </c>
      <c r="CI46" s="539">
        <f t="shared" si="53"/>
        <v>95.131937322461411</v>
      </c>
      <c r="CJ46" s="19">
        <f t="shared" si="54"/>
        <v>5.2764859200060164</v>
      </c>
      <c r="CK46" s="10">
        <f t="shared" si="55"/>
        <v>7.1730368678711479E-2</v>
      </c>
      <c r="CL46" s="10">
        <f t="shared" si="56"/>
        <v>1.3649867216213625</v>
      </c>
      <c r="CM46" s="539">
        <f t="shared" si="57"/>
        <v>100.40842324246742</v>
      </c>
      <c r="CN46" s="19">
        <f t="shared" si="58"/>
        <v>5.569145824215159</v>
      </c>
      <c r="CO46" s="10">
        <f t="shared" si="59"/>
        <v>7.5708888311788458E-2</v>
      </c>
      <c r="CP46" s="10">
        <f t="shared" si="60"/>
        <v>1.4406956099331509</v>
      </c>
      <c r="CQ46" s="539">
        <f t="shared" si="61"/>
        <v>105.97756906668259</v>
      </c>
      <c r="CR46" s="19">
        <f t="shared" si="62"/>
        <v>5.8780380885272558</v>
      </c>
      <c r="CS46" s="10">
        <f t="shared" si="63"/>
        <v>7.9908076244253071E-2</v>
      </c>
      <c r="CT46" s="10">
        <f t="shared" si="64"/>
        <v>1.5206036861774039</v>
      </c>
      <c r="CU46" s="539">
        <f t="shared" si="65"/>
        <v>111.85560715520984</v>
      </c>
      <c r="CV46" s="19">
        <f t="shared" si="66"/>
        <v>6.2040630396038079</v>
      </c>
      <c r="CW46" s="10">
        <f t="shared" si="67"/>
        <v>8.4340171827131702E-2</v>
      </c>
      <c r="CX46" s="10">
        <f t="shared" si="68"/>
        <v>1.6049438580045357</v>
      </c>
      <c r="CY46" s="539">
        <f t="shared" si="69"/>
        <v>118.05967019481365</v>
      </c>
      <c r="CZ46" s="19">
        <f t="shared" si="70"/>
        <v>6.5481709406585056</v>
      </c>
      <c r="DA46" s="10">
        <f t="shared" si="71"/>
        <v>8.901809326615695E-2</v>
      </c>
      <c r="DB46" s="10">
        <f t="shared" si="72"/>
        <v>1.6939619512706927</v>
      </c>
      <c r="DC46" s="539">
        <f t="shared" si="73"/>
        <v>124.60784113547216</v>
      </c>
      <c r="DD46" s="19">
        <f t="shared" si="74"/>
        <v>6.9113647611844264</v>
      </c>
      <c r="DE46" s="10">
        <f t="shared" si="75"/>
        <v>9.3955475274394046E-2</v>
      </c>
      <c r="DF46" s="10">
        <f t="shared" si="76"/>
        <v>1.7879174265450868</v>
      </c>
      <c r="DG46" s="539">
        <f t="shared" si="77"/>
        <v>131.51920589665659</v>
      </c>
      <c r="DH46" s="19">
        <f t="shared" si="78"/>
        <v>7.2947031003039546</v>
      </c>
      <c r="DI46" s="10">
        <f t="shared" si="79"/>
        <v>9.916670881326746E-2</v>
      </c>
      <c r="DJ46" s="10">
        <f t="shared" si="80"/>
        <v>1.8870841353583543</v>
      </c>
      <c r="DK46" s="539">
        <f t="shared" si="81"/>
        <v>138.81390899696055</v>
      </c>
      <c r="DL46" s="19">
        <f t="shared" si="82"/>
        <v>7.6993032722620853</v>
      </c>
      <c r="DM46" s="10">
        <f t="shared" si="83"/>
        <v>0.10466698303782063</v>
      </c>
      <c r="DN46" s="10">
        <f t="shared" si="84"/>
        <v>1.9917511183961749</v>
      </c>
      <c r="DO46" s="539">
        <f t="shared" si="85"/>
        <v>146.51321226922263</v>
      </c>
      <c r="DP46" s="19">
        <f t="shared" si="86"/>
        <v>8.126344563056394</v>
      </c>
      <c r="DQ46" s="10">
        <f t="shared" si="87"/>
        <v>0.11047232956846648</v>
      </c>
      <c r="DR46" s="10">
        <f t="shared" si="88"/>
        <v>2.1022234479646413</v>
      </c>
      <c r="DS46" s="539">
        <f t="shared" si="89"/>
        <v>154.63955683227903</v>
      </c>
      <c r="DT46" s="19">
        <f t="shared" si="90"/>
        <v>8.577071667695737</v>
      </c>
      <c r="DU46" s="10">
        <f t="shared" si="91"/>
        <v>0.11659966921826723</v>
      </c>
      <c r="DV46" s="10">
        <f t="shared" si="92"/>
        <v>2.2188231171829087</v>
      </c>
      <c r="DW46" s="539">
        <f t="shared" si="93"/>
        <v>163.21662849997477</v>
      </c>
      <c r="DX46" s="19">
        <f t="shared" si="94"/>
        <v>9.0527983181062677</v>
      </c>
      <c r="DY46" s="10">
        <f t="shared" si="95"/>
        <v>0.12306686131193947</v>
      </c>
      <c r="DZ46" s="10">
        <f t="shared" si="96"/>
        <v>2.3418899784948484</v>
      </c>
      <c r="EA46" s="539">
        <f t="shared" si="97"/>
        <v>172.26942681808106</v>
      </c>
      <c r="EB46" s="19">
        <f t="shared" si="98"/>
        <v>9.5549111122589814</v>
      </c>
      <c r="EC46" s="10">
        <f t="shared" si="99"/>
        <v>0.12989275574033415</v>
      </c>
      <c r="ED46" s="10">
        <f t="shared" si="100"/>
        <v>2.4717827342351826</v>
      </c>
      <c r="EE46" s="539">
        <f t="shared" si="101"/>
        <v>181.82433793034002</v>
      </c>
      <c r="EF46" s="19">
        <f t="shared" si="102"/>
        <v>10.084873555679545</v>
      </c>
      <c r="EG46" s="10">
        <f t="shared" si="103"/>
        <v>0.13709724790211453</v>
      </c>
      <c r="EH46" s="10">
        <f t="shared" si="104"/>
        <v>2.6088799821372972</v>
      </c>
      <c r="EI46" s="539">
        <f t="shared" si="105"/>
        <v>191.90921148601959</v>
      </c>
      <c r="EJ46" s="19">
        <f t="shared" si="106"/>
        <v>10.644230327120173</v>
      </c>
      <c r="EK46" s="10">
        <f t="shared" si="107"/>
        <v>0.14470133669277016</v>
      </c>
      <c r="EL46" s="10">
        <f t="shared" si="108"/>
        <v>2.7535813188300673</v>
      </c>
      <c r="EM46" s="539">
        <f t="shared" si="109"/>
        <v>202.55344181313976</v>
      </c>
      <c r="EN46" s="19">
        <f t="shared" si="110"/>
        <v>11.234611780826675</v>
      </c>
      <c r="EO46" s="10">
        <f t="shared" si="111"/>
        <v>0.15272718570998742</v>
      </c>
      <c r="EP46" s="10">
        <f t="shared" si="112"/>
        <v>2.9063085045400547</v>
      </c>
      <c r="EQ46" s="539">
        <f t="shared" si="113"/>
        <v>213.78805359396642</v>
      </c>
      <c r="ER46" s="19">
        <f t="shared" si="114"/>
        <v>11.857738698523423</v>
      </c>
      <c r="ES46" s="10">
        <f t="shared" si="115"/>
        <v>0.16119818785377138</v>
      </c>
      <c r="ET46" s="10">
        <f t="shared" si="116"/>
        <v>3.0675066923938261</v>
      </c>
      <c r="EU46" s="539">
        <f t="shared" si="117"/>
        <v>225.64579229248986</v>
      </c>
      <c r="EV46" s="19">
        <f t="shared" si="118"/>
        <v>12.515427304966812</v>
      </c>
      <c r="EW46" s="10">
        <f t="shared" si="119"/>
        <v>0.17013903350960863</v>
      </c>
      <c r="EX46" s="10">
        <f t="shared" si="120"/>
        <v>3.2376457259034348</v>
      </c>
      <c r="EY46" s="539">
        <f t="shared" si="121"/>
        <v>238.16121959745666</v>
      </c>
      <c r="EZ46" s="19">
        <f t="shared" si="122"/>
        <v>13.209594561686014</v>
      </c>
      <c r="FA46" s="10">
        <f t="shared" si="123"/>
        <v>0.17957578251340423</v>
      </c>
      <c r="FB46" s="10">
        <f t="shared" si="124"/>
        <v>3.4172215084168389</v>
      </c>
      <c r="FC46" s="539">
        <f t="shared" si="125"/>
        <v>251.37081415914267</v>
      </c>
      <c r="FD46" s="19">
        <f t="shared" si="126"/>
        <v>13.942263754340702</v>
      </c>
      <c r="FE46" s="10">
        <f t="shared" si="127"/>
        <v>0.18953594010794864</v>
      </c>
      <c r="FF46" s="10">
        <f t="shared" si="128"/>
        <v>3.6067574485247875</v>
      </c>
      <c r="FG46" s="539">
        <f t="shared" si="129"/>
        <v>265.31307791348337</v>
      </c>
      <c r="FH46" s="19">
        <f t="shared" si="130"/>
        <v>14.715570389981133</v>
      </c>
      <c r="FI46" s="10">
        <f t="shared" si="131"/>
        <v>0.20004853711230469</v>
      </c>
      <c r="FJ46" s="10">
        <f t="shared" si="132"/>
        <v>3.8068059856370922</v>
      </c>
      <c r="FK46" s="539">
        <f t="shared" si="133"/>
        <v>280.02864830346454</v>
      </c>
      <c r="FL46" s="19">
        <f t="shared" si="134"/>
        <v>15.531768421399336</v>
      </c>
      <c r="FM46" s="10">
        <f t="shared" si="135"/>
        <v>0.21114421453778326</v>
      </c>
      <c r="FN46" s="10">
        <f t="shared" si="136"/>
        <v>4.0179502001748757</v>
      </c>
      <c r="FO46" s="539">
        <f t="shared" si="137"/>
        <v>295.56041672486384</v>
      </c>
      <c r="FP46" s="19">
        <f t="shared" si="138"/>
        <v>16.393236816713493</v>
      </c>
      <c r="FQ46" s="10">
        <f t="shared" si="139"/>
        <v>0.22285531289713828</v>
      </c>
      <c r="FR46" s="10">
        <f t="shared" si="140"/>
        <v>4.2408055130720141</v>
      </c>
      <c r="FS46" s="539">
        <f t="shared" si="141"/>
        <v>311.95365354157735</v>
      </c>
      <c r="FT46" s="19">
        <f t="shared" si="142"/>
        <v>17.302486493333816</v>
      </c>
      <c r="FU46" s="10">
        <f t="shared" si="143"/>
        <v>0.23521596646728951</v>
      </c>
      <c r="FV46" s="10">
        <f t="shared" si="144"/>
        <v>4.4760214795393036</v>
      </c>
      <c r="FW46" s="539">
        <f t="shared" si="145"/>
        <v>329.2561400349112</v>
      </c>
      <c r="FX46" s="19">
        <f t="shared" si="146"/>
        <v>18.26216763652036</v>
      </c>
      <c r="FY46" s="10">
        <f t="shared" si="147"/>
        <v>0.24826220278032027</v>
      </c>
      <c r="FZ46" s="10">
        <f t="shared" si="148"/>
        <v>4.7242836823196237</v>
      </c>
      <c r="GA46" s="539">
        <f t="shared" si="149"/>
        <v>347.51830767143156</v>
      </c>
      <c r="GB46" s="19">
        <f t="shared" si="150"/>
        <v>19.275077423864065</v>
      </c>
      <c r="GC46" s="10">
        <f t="shared" si="151"/>
        <v>0.26203204763273608</v>
      </c>
      <c r="GD46" s="10">
        <f t="shared" si="152"/>
        <v>4.9863157299523602</v>
      </c>
      <c r="GE46" s="539">
        <f t="shared" si="153"/>
        <v>366.7933850952956</v>
      </c>
      <c r="GF46" s="19">
        <f t="shared" si="154"/>
        <v>20.344168178205631</v>
      </c>
      <c r="GG46" s="10">
        <f t="shared" si="155"/>
        <v>0.27656563591905425</v>
      </c>
      <c r="GH46" s="10">
        <f t="shared" si="156"/>
        <v>5.2628813658714142</v>
      </c>
      <c r="GI46" s="539">
        <f t="shared" si="157"/>
        <v>387.13755327350123</v>
      </c>
      <c r="GJ46" s="19">
        <f t="shared" si="158"/>
        <v>21.472555972755369</v>
      </c>
      <c r="GK46" s="10">
        <f t="shared" si="159"/>
        <v>0.29190532861277008</v>
      </c>
      <c r="GL46" s="10">
        <f t="shared" si="160"/>
        <v>5.5547866944841839</v>
      </c>
      <c r="GM46" s="539">
        <f t="shared" si="161"/>
        <v>408.61010924625657</v>
      </c>
      <c r="GN46" s="19">
        <f t="shared" si="162"/>
        <v>22.663529713495471</v>
      </c>
      <c r="GO46" s="10">
        <f t="shared" si="163"/>
        <v>0.30809583623566439</v>
      </c>
      <c r="GP46" s="10">
        <f t="shared" si="164"/>
        <v>5.8628825307198484</v>
      </c>
      <c r="GQ46" s="539">
        <f t="shared" si="165"/>
        <v>431.27363895975208</v>
      </c>
      <c r="GR46" s="19">
        <f t="shared" si="166"/>
        <v>23.920560725336983</v>
      </c>
      <c r="GS46" s="10">
        <f t="shared" si="167"/>
        <v>0.32518434917532602</v>
      </c>
      <c r="GT46" s="10">
        <f t="shared" si="168"/>
        <v>6.1880668798951746</v>
      </c>
      <c r="GU46" s="539">
        <f t="shared" si="169"/>
        <v>455.19419968508907</v>
      </c>
      <c r="GV46" s="19">
        <f t="shared" si="170"/>
        <v>25.247312869972312</v>
      </c>
      <c r="GW46" s="10">
        <f t="shared" si="171"/>
        <v>0.34322067523072747</v>
      </c>
      <c r="GX46" s="10">
        <f t="shared" si="172"/>
        <v>6.5312875551259024</v>
      </c>
      <c r="GY46" s="539">
        <f t="shared" si="173"/>
        <v>480.44151255506142</v>
      </c>
      <c r="GZ46" s="19">
        <f t="shared" si="174"/>
        <v>26.647653224913682</v>
      </c>
      <c r="HA46" s="10">
        <f t="shared" si="175"/>
        <v>0.36225738478675479</v>
      </c>
      <c r="HB46" s="10">
        <f t="shared" si="176"/>
        <v>6.8935449399126574</v>
      </c>
      <c r="HC46" s="539">
        <f t="shared" si="177"/>
        <v>507.08916577997508</v>
      </c>
      <c r="HD46" s="19">
        <f t="shared" si="178"/>
        <v>28.125663354843642</v>
      </c>
      <c r="HE46" s="10">
        <f t="shared" si="179"/>
        <v>0.38234996404083255</v>
      </c>
      <c r="HF46" s="10">
        <f t="shared" si="180"/>
        <v>7.2758949039534899</v>
      </c>
      <c r="HG46" s="539">
        <f t="shared" si="181"/>
        <v>535.21482913481873</v>
      </c>
      <c r="HH46" s="19">
        <f t="shared" si="182"/>
        <v>29.685651208130238</v>
      </c>
      <c r="HI46" s="10">
        <f t="shared" si="183"/>
        <v>0.4035569767282523</v>
      </c>
      <c r="HJ46" s="10">
        <f t="shared" si="184"/>
        <v>7.679451880681742</v>
      </c>
      <c r="HK46" s="539">
        <f t="shared" si="185"/>
        <v>564.90048034294898</v>
      </c>
      <c r="HL46" s="19">
        <f t="shared" si="186"/>
        <v>31.332163673181508</v>
      </c>
      <c r="HM46" s="10">
        <f t="shared" si="187"/>
        <v>0.42594023481758436</v>
      </c>
      <c r="HN46" s="10">
        <f t="shared" si="188"/>
        <v>8.1053921154993258</v>
      </c>
      <c r="HO46" s="539">
        <f t="shared" si="189"/>
        <v>596.23264401613039</v>
      </c>
      <c r="HP46" s="19">
        <f t="shared" si="190"/>
        <v>33.069999831237247</v>
      </c>
      <c r="HQ46" s="10">
        <f t="shared" si="191"/>
        <v>0.44956497867369827</v>
      </c>
      <c r="HR46" s="10">
        <f t="shared" si="192"/>
        <v>8.5549570941730249</v>
      </c>
      <c r="HS46" s="539">
        <f t="shared" si="193"/>
        <v>629.30264384736768</v>
      </c>
      <c r="HT46" s="19">
        <f t="shared" si="194"/>
        <v>34.904224944225945</v>
      </c>
      <c r="HU46" s="10">
        <f t="shared" si="195"/>
        <v>0.47450006721351201</v>
      </c>
      <c r="HV46" s="10">
        <f t="shared" si="196"/>
        <v>9.0294571613865369</v>
      </c>
      <c r="HW46" s="539">
        <f t="shared" si="197"/>
        <v>664.20686879159371</v>
      </c>
      <c r="HX46" s="19">
        <f t="shared" si="198"/>
        <v>36.840185218457073</v>
      </c>
      <c r="HY46" s="10">
        <f t="shared" si="199"/>
        <v>0.50081817860871491</v>
      </c>
      <c r="HZ46" s="10">
        <f t="shared" si="200"/>
        <v>9.5302753399952511</v>
      </c>
      <c r="IA46" s="539">
        <f t="shared" si="201"/>
        <v>701.04705401005072</v>
      </c>
      <c r="IB46" s="19">
        <f t="shared" si="202"/>
        <v>38.883523387180624</v>
      </c>
      <c r="IF46" s="224" t="s">
        <v>1349</v>
      </c>
      <c r="IG46" s="420">
        <v>1</v>
      </c>
      <c r="IH46" s="19">
        <f>IJ18</f>
        <v>14.308176100628931</v>
      </c>
      <c r="II46" s="19" t="str">
        <f>IJ19</f>
        <v>Overvalued</v>
      </c>
      <c r="IJ46" s="236">
        <f t="shared" si="350"/>
        <v>13</v>
      </c>
      <c r="IP46" s="11">
        <v>5</v>
      </c>
      <c r="IQ46" s="19">
        <f>IQ45*(1+$IP$12)</f>
        <v>12.948500400000006</v>
      </c>
      <c r="IR46" s="20">
        <f t="shared" si="351"/>
        <v>8.0400000000000009</v>
      </c>
    </row>
    <row r="47" spans="1:263">
      <c r="A47" s="11"/>
      <c r="B47" s="20"/>
      <c r="C47" s="1217" t="s">
        <v>2345</v>
      </c>
      <c r="D47" s="47" t="s">
        <v>41</v>
      </c>
      <c r="E47" s="396">
        <f t="shared" si="333"/>
        <v>158.7567</v>
      </c>
      <c r="F47" s="242">
        <v>124.7567</v>
      </c>
      <c r="G47" s="48">
        <f>'Update Stock Prices'!S47</f>
        <v>238709677.41935483</v>
      </c>
      <c r="H47" s="991">
        <f t="shared" si="27"/>
        <v>5.2262941891891891E-7</v>
      </c>
      <c r="I47" s="49">
        <f>'Update Stock Prices'!D47</f>
        <v>9.3000000000000007</v>
      </c>
      <c r="J47" s="49">
        <f t="shared" si="1"/>
        <v>1160.23731</v>
      </c>
      <c r="K47" s="30">
        <v>2938.03</v>
      </c>
      <c r="L47" s="49">
        <f t="shared" si="28"/>
        <v>-1777.7926900000002</v>
      </c>
      <c r="M47" s="50">
        <f t="shared" si="29"/>
        <v>-0.60509684720714219</v>
      </c>
      <c r="N47" s="49">
        <f t="shared" si="30"/>
        <v>23.550077871569226</v>
      </c>
      <c r="O47" s="48">
        <f t="shared" si="334"/>
        <v>34</v>
      </c>
      <c r="P47" s="49">
        <f>IF(($B$11-$B$12)-(O47*I47)&lt;0,0,($B$11-$B$12)-(O47*I47))</f>
        <v>4.8099999999999454</v>
      </c>
      <c r="Q47" s="30">
        <f>0.01*12</f>
        <v>0.12</v>
      </c>
      <c r="R47" s="49">
        <f t="shared" si="242"/>
        <v>4.0987827515400407E-2</v>
      </c>
      <c r="S47" s="49">
        <f t="shared" si="335"/>
        <v>14.970803999999999</v>
      </c>
      <c r="T47" s="49">
        <f t="shared" si="31"/>
        <v>1.2475669999999999</v>
      </c>
      <c r="U47" s="49" t="s">
        <v>56</v>
      </c>
      <c r="V47" s="50">
        <f t="shared" si="336"/>
        <v>1.2903225806451611E-2</v>
      </c>
      <c r="W47" s="50">
        <f t="shared" si="7"/>
        <v>5.0955245521659065E-3</v>
      </c>
      <c r="X47" s="49">
        <f t="shared" si="357"/>
        <v>4.080000000000001</v>
      </c>
      <c r="Y47" s="49">
        <f t="shared" si="32"/>
        <v>1.2475669999999999</v>
      </c>
      <c r="Z47" s="860">
        <f t="shared" si="337"/>
        <v>0</v>
      </c>
      <c r="AA47" s="860">
        <f t="shared" si="338"/>
        <v>805.24329999999998</v>
      </c>
      <c r="AB47" s="49">
        <f t="shared" si="339"/>
        <v>7488.7626900000005</v>
      </c>
      <c r="AC47" s="48">
        <v>1</v>
      </c>
      <c r="AD47" s="47" t="str">
        <f t="shared" si="340"/>
        <v>ERF</v>
      </c>
      <c r="AE47" s="49">
        <f t="shared" si="341"/>
        <v>1160.23731</v>
      </c>
      <c r="AF47" s="50" t="e">
        <f t="shared" si="310"/>
        <v>#REF!</v>
      </c>
      <c r="AG47" s="890" t="e">
        <f t="shared" si="332"/>
        <v>#REF!</v>
      </c>
      <c r="AH47" s="207" t="s">
        <v>42</v>
      </c>
      <c r="AI47" s="240">
        <f t="shared" si="312"/>
        <v>3.0559200396570323</v>
      </c>
      <c r="AJ47" s="11">
        <f t="shared" si="33"/>
        <v>3</v>
      </c>
      <c r="AK47" s="11"/>
      <c r="AL47" s="11"/>
      <c r="AM47" s="11"/>
      <c r="AN47" s="11"/>
      <c r="AO47" s="11"/>
      <c r="AP47" s="11"/>
      <c r="AQ47" s="11" t="str">
        <f>'Update Stock Prices'!Q47</f>
        <v>mid</v>
      </c>
      <c r="AR47" s="11"/>
      <c r="AS47" s="11"/>
      <c r="AT47" s="176"/>
      <c r="AU47" s="11"/>
      <c r="AV47" s="663">
        <v>30</v>
      </c>
      <c r="AW47" s="227"/>
      <c r="AX47" s="420">
        <f t="shared" si="314"/>
        <v>80</v>
      </c>
      <c r="AY47" s="19">
        <f t="shared" si="293"/>
        <v>4919.0880266598033</v>
      </c>
      <c r="AZ47" s="19">
        <f t="shared" si="291"/>
        <v>409.92400222165026</v>
      </c>
      <c r="BA47" s="19">
        <f t="shared" si="292"/>
        <v>13.467729025762637</v>
      </c>
      <c r="BB47" s="234">
        <f t="shared" si="294"/>
        <v>121599.85601903034</v>
      </c>
      <c r="BC47" s="19"/>
      <c r="BE47" s="74"/>
      <c r="BF47" s="74"/>
      <c r="BI47" s="46"/>
      <c r="BJ47" s="46"/>
      <c r="BK47" s="46"/>
      <c r="BN47" s="19"/>
      <c r="BO47" s="19"/>
      <c r="BS47" s="420" t="str">
        <f t="shared" si="37"/>
        <v>ERF</v>
      </c>
      <c r="BT47" s="425">
        <f t="shared" si="38"/>
        <v>124.7567</v>
      </c>
      <c r="BU47" s="19">
        <f t="shared" si="39"/>
        <v>9.3000000000000007</v>
      </c>
      <c r="BV47" s="19">
        <f t="shared" si="40"/>
        <v>1160.23731</v>
      </c>
      <c r="BW47" s="539">
        <f t="shared" si="41"/>
        <v>0.12</v>
      </c>
      <c r="BX47" s="19">
        <f t="shared" si="42"/>
        <v>14.970803999999999</v>
      </c>
      <c r="BY47" s="10">
        <f t="shared" si="43"/>
        <v>1.6097638709677418</v>
      </c>
      <c r="BZ47" s="10">
        <f t="shared" si="44"/>
        <v>126.36646387096773</v>
      </c>
      <c r="CA47" s="539">
        <f t="shared" si="45"/>
        <v>1175.208114</v>
      </c>
      <c r="CB47" s="19">
        <f t="shared" si="46"/>
        <v>15.163975664516128</v>
      </c>
      <c r="CC47" s="10">
        <f t="shared" si="47"/>
        <v>1.6305350176899061</v>
      </c>
      <c r="CD47" s="10">
        <f t="shared" si="48"/>
        <v>127.99699888865764</v>
      </c>
      <c r="CE47" s="539">
        <f t="shared" si="49"/>
        <v>1190.3720896645161</v>
      </c>
      <c r="CF47" s="19">
        <f t="shared" si="50"/>
        <v>15.359639866638917</v>
      </c>
      <c r="CG47" s="10">
        <f t="shared" si="51"/>
        <v>1.6515741792084855</v>
      </c>
      <c r="CH47" s="10">
        <f t="shared" si="52"/>
        <v>129.64857306786612</v>
      </c>
      <c r="CI47" s="539">
        <f t="shared" si="53"/>
        <v>1205.731729531155</v>
      </c>
      <c r="CJ47" s="19">
        <f t="shared" si="54"/>
        <v>15.557828768143935</v>
      </c>
      <c r="CK47" s="10">
        <f t="shared" si="55"/>
        <v>1.6728848137789176</v>
      </c>
      <c r="CL47" s="10">
        <f t="shared" si="56"/>
        <v>131.32145788164505</v>
      </c>
      <c r="CM47" s="539">
        <f t="shared" si="57"/>
        <v>1221.289558299299</v>
      </c>
      <c r="CN47" s="19">
        <f t="shared" si="58"/>
        <v>15.758574945797404</v>
      </c>
      <c r="CO47" s="10">
        <f t="shared" si="59"/>
        <v>1.6944704242792907</v>
      </c>
      <c r="CP47" s="10">
        <f t="shared" si="60"/>
        <v>133.01592830592435</v>
      </c>
      <c r="CQ47" s="539">
        <f t="shared" si="61"/>
        <v>1237.0481332450966</v>
      </c>
      <c r="CR47" s="19">
        <f t="shared" si="62"/>
        <v>15.961911396710921</v>
      </c>
      <c r="CS47" s="10">
        <f t="shared" si="63"/>
        <v>1.7163345587861203</v>
      </c>
      <c r="CT47" s="10">
        <f t="shared" si="64"/>
        <v>134.73226286471046</v>
      </c>
      <c r="CU47" s="539">
        <f t="shared" si="65"/>
        <v>1253.0100446418073</v>
      </c>
      <c r="CV47" s="19">
        <f t="shared" si="66"/>
        <v>16.167871543765255</v>
      </c>
      <c r="CW47" s="10">
        <f t="shared" si="67"/>
        <v>1.7384808111575543</v>
      </c>
      <c r="CX47" s="10">
        <f t="shared" si="68"/>
        <v>136.47074367586802</v>
      </c>
      <c r="CY47" s="539">
        <f t="shared" si="69"/>
        <v>1269.1779161855727</v>
      </c>
      <c r="CZ47" s="19">
        <f t="shared" si="70"/>
        <v>16.376489241104164</v>
      </c>
      <c r="DA47" s="10">
        <f t="shared" si="71"/>
        <v>1.7609128216241035</v>
      </c>
      <c r="DB47" s="10">
        <f t="shared" si="72"/>
        <v>138.23165649749214</v>
      </c>
      <c r="DC47" s="539">
        <f t="shared" si="73"/>
        <v>1285.554405426677</v>
      </c>
      <c r="DD47" s="19">
        <f t="shared" si="74"/>
        <v>16.587798779699057</v>
      </c>
      <c r="DE47" s="10">
        <f t="shared" si="75"/>
        <v>1.7836342773869953</v>
      </c>
      <c r="DF47" s="10">
        <f t="shared" si="76"/>
        <v>140.01529077487913</v>
      </c>
      <c r="DG47" s="539">
        <f t="shared" si="77"/>
        <v>1302.1422042063759</v>
      </c>
      <c r="DH47" s="19">
        <f t="shared" si="78"/>
        <v>16.801834892985497</v>
      </c>
      <c r="DI47" s="10">
        <f t="shared" si="79"/>
        <v>1.8066489132242467</v>
      </c>
      <c r="DJ47" s="10">
        <f t="shared" si="80"/>
        <v>141.82193968810338</v>
      </c>
      <c r="DK47" s="539">
        <f t="shared" si="81"/>
        <v>1318.9440390993616</v>
      </c>
      <c r="DL47" s="19">
        <f t="shared" si="82"/>
        <v>17.018632762572405</v>
      </c>
      <c r="DM47" s="10">
        <f t="shared" si="83"/>
        <v>1.8299605121045597</v>
      </c>
      <c r="DN47" s="10">
        <f t="shared" si="84"/>
        <v>143.65190020020793</v>
      </c>
      <c r="DO47" s="539">
        <f t="shared" si="85"/>
        <v>1335.9626718619338</v>
      </c>
      <c r="DP47" s="19">
        <f t="shared" si="86"/>
        <v>17.238228024024952</v>
      </c>
      <c r="DQ47" s="10">
        <f t="shared" si="87"/>
        <v>1.8535729058091346</v>
      </c>
      <c r="DR47" s="10">
        <f t="shared" si="88"/>
        <v>145.50547310601706</v>
      </c>
      <c r="DS47" s="539">
        <f t="shared" si="89"/>
        <v>1353.2008998859587</v>
      </c>
      <c r="DT47" s="19">
        <f t="shared" si="90"/>
        <v>17.460656772722047</v>
      </c>
      <c r="DU47" s="10">
        <f t="shared" si="91"/>
        <v>1.8774899755615102</v>
      </c>
      <c r="DV47" s="10">
        <f t="shared" si="92"/>
        <v>147.38296308157857</v>
      </c>
      <c r="DW47" s="539">
        <f t="shared" si="93"/>
        <v>1370.6615566586809</v>
      </c>
      <c r="DX47" s="19">
        <f t="shared" si="94"/>
        <v>17.685955569789428</v>
      </c>
      <c r="DY47" s="10">
        <f t="shared" si="95"/>
        <v>1.9017156526655297</v>
      </c>
      <c r="DZ47" s="10">
        <f t="shared" si="96"/>
        <v>149.2846787342441</v>
      </c>
      <c r="EA47" s="539">
        <f t="shared" si="97"/>
        <v>1388.3475122284701</v>
      </c>
      <c r="EB47" s="19">
        <f t="shared" si="98"/>
        <v>17.91416144810929</v>
      </c>
      <c r="EC47" s="10">
        <f t="shared" si="99"/>
        <v>1.9262539191515364</v>
      </c>
      <c r="ED47" s="10">
        <f t="shared" si="100"/>
        <v>151.21093265339564</v>
      </c>
      <c r="EE47" s="539">
        <f t="shared" si="101"/>
        <v>1406.2616736765797</v>
      </c>
      <c r="EF47" s="19">
        <f t="shared" si="102"/>
        <v>18.145311918407476</v>
      </c>
      <c r="EG47" s="10">
        <f t="shared" si="103"/>
        <v>1.9511088084309112</v>
      </c>
      <c r="EH47" s="10">
        <f t="shared" si="104"/>
        <v>153.16204146182656</v>
      </c>
      <c r="EI47" s="539">
        <f t="shared" si="105"/>
        <v>1424.4069855949872</v>
      </c>
      <c r="EJ47" s="19">
        <f t="shared" si="106"/>
        <v>18.379444975419187</v>
      </c>
      <c r="EK47" s="10">
        <f t="shared" si="107"/>
        <v>1.9762844059590521</v>
      </c>
      <c r="EL47" s="10">
        <f t="shared" si="108"/>
        <v>155.13832586778562</v>
      </c>
      <c r="EM47" s="539">
        <f t="shared" si="109"/>
        <v>1442.7864305704063</v>
      </c>
      <c r="EN47" s="19">
        <f t="shared" si="110"/>
        <v>18.616599104134274</v>
      </c>
      <c r="EO47" s="10">
        <f t="shared" si="111"/>
        <v>2.0017848499069109</v>
      </c>
      <c r="EP47" s="10">
        <f t="shared" si="112"/>
        <v>157.14011071769252</v>
      </c>
      <c r="EQ47" s="539">
        <f t="shared" si="113"/>
        <v>1461.4030296745407</v>
      </c>
      <c r="ER47" s="19">
        <f t="shared" si="114"/>
        <v>18.856813286123103</v>
      </c>
      <c r="ES47" s="10">
        <f t="shared" si="115"/>
        <v>2.0276143318411939</v>
      </c>
      <c r="ET47" s="10">
        <f t="shared" si="116"/>
        <v>159.16772504953371</v>
      </c>
      <c r="EU47" s="539">
        <f t="shared" si="117"/>
        <v>1480.2598429606637</v>
      </c>
      <c r="EV47" s="19">
        <f t="shared" si="118"/>
        <v>19.100127005944046</v>
      </c>
      <c r="EW47" s="10">
        <f t="shared" si="119"/>
        <v>2.053777097413338</v>
      </c>
      <c r="EX47" s="10">
        <f t="shared" si="120"/>
        <v>161.22150214694705</v>
      </c>
      <c r="EY47" s="539">
        <f t="shared" si="121"/>
        <v>1499.3599699666077</v>
      </c>
      <c r="EZ47" s="19">
        <f t="shared" si="122"/>
        <v>19.346580257633644</v>
      </c>
      <c r="FA47" s="10">
        <f t="shared" si="123"/>
        <v>2.080277447057381</v>
      </c>
      <c r="FB47" s="10">
        <f t="shared" si="124"/>
        <v>163.30177959400442</v>
      </c>
      <c r="FC47" s="539">
        <f t="shared" si="125"/>
        <v>1518.7065502242413</v>
      </c>
      <c r="FD47" s="19">
        <f t="shared" si="126"/>
        <v>19.596213551280528</v>
      </c>
      <c r="FE47" s="10">
        <f t="shared" si="127"/>
        <v>2.1071197366968306</v>
      </c>
      <c r="FF47" s="10">
        <f t="shared" si="128"/>
        <v>165.40889933070125</v>
      </c>
      <c r="FG47" s="539">
        <f t="shared" si="129"/>
        <v>1538.3027637755217</v>
      </c>
      <c r="FH47" s="19">
        <f t="shared" si="130"/>
        <v>19.849067919684149</v>
      </c>
      <c r="FI47" s="10">
        <f t="shared" si="131"/>
        <v>2.1343083784606609</v>
      </c>
      <c r="FJ47" s="10">
        <f t="shared" si="132"/>
        <v>167.54320770916192</v>
      </c>
      <c r="FK47" s="539">
        <f t="shared" si="133"/>
        <v>1558.1518316952061</v>
      </c>
      <c r="FL47" s="19">
        <f t="shared" si="134"/>
        <v>20.105184925099429</v>
      </c>
      <c r="FM47" s="10">
        <f t="shared" si="135"/>
        <v>2.1618478414085405</v>
      </c>
      <c r="FN47" s="10">
        <f t="shared" si="136"/>
        <v>169.70505555057045</v>
      </c>
      <c r="FO47" s="539">
        <f t="shared" si="137"/>
        <v>1578.2570166203052</v>
      </c>
      <c r="FP47" s="19">
        <f t="shared" si="138"/>
        <v>20.364606666068454</v>
      </c>
      <c r="FQ47" s="10">
        <f t="shared" si="139"/>
        <v>2.1897426522654251</v>
      </c>
      <c r="FR47" s="10">
        <f t="shared" si="140"/>
        <v>171.89479820283589</v>
      </c>
      <c r="FS47" s="539">
        <f t="shared" si="141"/>
        <v>1598.621623286374</v>
      </c>
      <c r="FT47" s="19">
        <f t="shared" si="142"/>
        <v>20.627375784340305</v>
      </c>
      <c r="FU47" s="10">
        <f t="shared" si="143"/>
        <v>2.2179973961656239</v>
      </c>
      <c r="FV47" s="10">
        <f t="shared" si="144"/>
        <v>174.11279559900152</v>
      </c>
      <c r="FW47" s="539">
        <f t="shared" si="145"/>
        <v>1619.2489990707143</v>
      </c>
      <c r="FX47" s="19">
        <f t="shared" si="146"/>
        <v>20.893535471880181</v>
      </c>
      <c r="FY47" s="10">
        <f t="shared" si="147"/>
        <v>2.2466167174064711</v>
      </c>
      <c r="FZ47" s="10">
        <f t="shared" si="148"/>
        <v>176.359412316408</v>
      </c>
      <c r="GA47" s="539">
        <f t="shared" si="149"/>
        <v>1640.1425345425946</v>
      </c>
      <c r="GB47" s="19">
        <f t="shared" si="150"/>
        <v>21.163129477968958</v>
      </c>
      <c r="GC47" s="10">
        <f t="shared" si="151"/>
        <v>2.2756053202117159</v>
      </c>
      <c r="GD47" s="10">
        <f t="shared" si="152"/>
        <v>178.63501763661972</v>
      </c>
      <c r="GE47" s="539">
        <f t="shared" si="153"/>
        <v>1661.3056640205634</v>
      </c>
      <c r="GF47" s="19">
        <f t="shared" si="154"/>
        <v>21.436202116394366</v>
      </c>
      <c r="GG47" s="10">
        <f t="shared" si="155"/>
        <v>2.3049679695047702</v>
      </c>
      <c r="GH47" s="10">
        <f t="shared" si="156"/>
        <v>180.93998560612448</v>
      </c>
      <c r="GI47" s="539">
        <f t="shared" si="157"/>
        <v>1682.7418661369577</v>
      </c>
      <c r="GJ47" s="19">
        <f t="shared" si="158"/>
        <v>21.712798272734936</v>
      </c>
      <c r="GK47" s="10">
        <f t="shared" si="159"/>
        <v>2.3347094916919287</v>
      </c>
      <c r="GL47" s="10">
        <f t="shared" si="160"/>
        <v>183.27469509781642</v>
      </c>
      <c r="GM47" s="539">
        <f t="shared" si="161"/>
        <v>1704.4546644096929</v>
      </c>
      <c r="GN47" s="19">
        <f t="shared" si="162"/>
        <v>21.992963411737968</v>
      </c>
      <c r="GO47" s="10">
        <f t="shared" si="163"/>
        <v>2.3648347754556953</v>
      </c>
      <c r="GP47" s="10">
        <f t="shared" si="164"/>
        <v>185.63952987327212</v>
      </c>
      <c r="GQ47" s="539">
        <f t="shared" si="165"/>
        <v>1726.4476278214308</v>
      </c>
      <c r="GR47" s="19">
        <f t="shared" si="166"/>
        <v>22.276743584792655</v>
      </c>
      <c r="GS47" s="10">
        <f t="shared" si="167"/>
        <v>2.39534877255835</v>
      </c>
      <c r="GT47" s="10">
        <f t="shared" si="168"/>
        <v>188.03487864583047</v>
      </c>
      <c r="GU47" s="539">
        <f t="shared" si="169"/>
        <v>1748.7243714062236</v>
      </c>
      <c r="GV47" s="19">
        <f t="shared" si="170"/>
        <v>22.564185437499656</v>
      </c>
      <c r="GW47" s="10">
        <f t="shared" si="171"/>
        <v>2.426256498655877</v>
      </c>
      <c r="GX47" s="10">
        <f t="shared" si="172"/>
        <v>190.46113514448635</v>
      </c>
      <c r="GY47" s="539">
        <f t="shared" si="173"/>
        <v>1771.2885568437232</v>
      </c>
      <c r="GZ47" s="19">
        <f t="shared" si="174"/>
        <v>22.855336217338362</v>
      </c>
      <c r="HA47" s="10">
        <f t="shared" si="175"/>
        <v>2.4575630341224044</v>
      </c>
      <c r="HB47" s="10">
        <f t="shared" si="176"/>
        <v>192.91869817860876</v>
      </c>
      <c r="HC47" s="539">
        <f t="shared" si="177"/>
        <v>1794.1438930610616</v>
      </c>
      <c r="HD47" s="19">
        <f t="shared" si="178"/>
        <v>23.150243781433051</v>
      </c>
      <c r="HE47" s="10">
        <f t="shared" si="179"/>
        <v>2.4892735248852742</v>
      </c>
      <c r="HF47" s="10">
        <f t="shared" si="180"/>
        <v>195.40797170349404</v>
      </c>
      <c r="HG47" s="539">
        <f t="shared" si="181"/>
        <v>1817.2941368424947</v>
      </c>
      <c r="HH47" s="19">
        <f t="shared" si="182"/>
        <v>23.448956604419283</v>
      </c>
      <c r="HI47" s="10">
        <f t="shared" si="183"/>
        <v>2.5213931832708907</v>
      </c>
      <c r="HJ47" s="10">
        <f t="shared" si="184"/>
        <v>197.92936488676494</v>
      </c>
      <c r="HK47" s="539">
        <f t="shared" si="185"/>
        <v>1840.7430934469141</v>
      </c>
      <c r="HL47" s="19">
        <f t="shared" si="186"/>
        <v>23.751523786411791</v>
      </c>
      <c r="HM47" s="10">
        <f t="shared" si="187"/>
        <v>2.5539272888614826</v>
      </c>
      <c r="HN47" s="10">
        <f t="shared" si="188"/>
        <v>200.48329217562642</v>
      </c>
      <c r="HO47" s="539">
        <f t="shared" si="189"/>
        <v>1864.4946172333259</v>
      </c>
      <c r="HP47" s="19">
        <f t="shared" si="190"/>
        <v>24.057995061075168</v>
      </c>
      <c r="HQ47" s="10">
        <f t="shared" si="191"/>
        <v>2.5868811893629209</v>
      </c>
      <c r="HR47" s="10">
        <f t="shared" si="192"/>
        <v>203.07017336498933</v>
      </c>
      <c r="HS47" s="539">
        <f t="shared" si="193"/>
        <v>1888.5526122944009</v>
      </c>
      <c r="HT47" s="19">
        <f t="shared" si="194"/>
        <v>24.36842080379872</v>
      </c>
      <c r="HU47" s="10">
        <f t="shared" si="195"/>
        <v>2.6202603014837331</v>
      </c>
      <c r="HV47" s="10">
        <f t="shared" si="196"/>
        <v>205.69043366647307</v>
      </c>
      <c r="HW47" s="539">
        <f t="shared" si="197"/>
        <v>1912.9210330981996</v>
      </c>
      <c r="HX47" s="19">
        <f t="shared" si="198"/>
        <v>24.682852039976769</v>
      </c>
      <c r="HY47" s="10">
        <f t="shared" si="199"/>
        <v>2.654070111825459</v>
      </c>
      <c r="HZ47" s="10">
        <f t="shared" si="200"/>
        <v>208.34450377829853</v>
      </c>
      <c r="IA47" s="539">
        <f t="shared" si="201"/>
        <v>1937.6038851381766</v>
      </c>
      <c r="IB47" s="19">
        <f t="shared" si="202"/>
        <v>25.001340453395823</v>
      </c>
      <c r="IF47" s="224" t="s">
        <v>1350</v>
      </c>
      <c r="IG47" s="420">
        <v>2</v>
      </c>
      <c r="IH47" s="19">
        <f>IJ22</f>
        <v>15.476190476190474</v>
      </c>
      <c r="II47" s="420" t="str">
        <f>IJ23</f>
        <v>Overvalued</v>
      </c>
      <c r="IJ47" s="236">
        <f t="shared" si="350"/>
        <v>12</v>
      </c>
      <c r="IP47" s="11">
        <v>6</v>
      </c>
      <c r="IQ47" s="19">
        <f t="shared" ref="IQ47:IQ91" si="358">IQ46*(1+$IP$15)</f>
        <v>13.984380432000007</v>
      </c>
      <c r="IR47" s="20">
        <f t="shared" si="351"/>
        <v>7.8938181818181823</v>
      </c>
    </row>
    <row r="48" spans="1:263">
      <c r="A48" s="11"/>
      <c r="B48" s="1268"/>
      <c r="C48" s="826" t="s">
        <v>2346</v>
      </c>
      <c r="D48" s="47" t="s">
        <v>1</v>
      </c>
      <c r="E48" s="396">
        <f t="shared" si="333"/>
        <v>36.539900000000003</v>
      </c>
      <c r="F48" s="242">
        <v>11.539899999999999</v>
      </c>
      <c r="G48" s="48">
        <f>'Update Stock Prices'!S48</f>
        <v>4064490445.8598723</v>
      </c>
      <c r="H48" s="991">
        <f t="shared" si="27"/>
        <v>2.8391996865817828E-9</v>
      </c>
      <c r="I48" s="49">
        <f>'Update Stock Prices'!D48</f>
        <v>12.56</v>
      </c>
      <c r="J48" s="49">
        <f t="shared" si="1"/>
        <v>144.94114400000001</v>
      </c>
      <c r="K48" s="30">
        <v>158.29</v>
      </c>
      <c r="L48" s="49">
        <f t="shared" si="28"/>
        <v>-13.348855999999984</v>
      </c>
      <c r="M48" s="50">
        <f t="shared" si="29"/>
        <v>-8.4331644450059917E-2</v>
      </c>
      <c r="N48" s="49">
        <f t="shared" si="30"/>
        <v>13.716756644338339</v>
      </c>
      <c r="O48" s="48">
        <f t="shared" si="334"/>
        <v>25</v>
      </c>
      <c r="P48" s="49">
        <f>IF(($B$11-$B$12)-(O48*I48)&lt;0,0,($B$11-$B$12)-(O48*I48))</f>
        <v>7.0099999999999909</v>
      </c>
      <c r="Q48" s="30">
        <f>0.15*4</f>
        <v>0.6</v>
      </c>
      <c r="R48" s="49">
        <f>S48/365.25</f>
        <v>1.8956714579055439E-2</v>
      </c>
      <c r="S48" s="49">
        <f t="shared" si="335"/>
        <v>6.9239399999999991</v>
      </c>
      <c r="T48" s="49">
        <f>S48/12</f>
        <v>0.57699499999999992</v>
      </c>
      <c r="U48" s="49" t="s">
        <v>54</v>
      </c>
      <c r="V48" s="50">
        <f t="shared" si="336"/>
        <v>4.7770700636942671E-2</v>
      </c>
      <c r="W48" s="50">
        <f t="shared" si="7"/>
        <v>4.3742118895697769E-2</v>
      </c>
      <c r="X48" s="49">
        <f t="shared" si="357"/>
        <v>15.000000000000004</v>
      </c>
      <c r="Y48" s="49">
        <f t="shared" si="32"/>
        <v>1.7309849999999998</v>
      </c>
      <c r="Z48" s="860">
        <f t="shared" si="337"/>
        <v>0</v>
      </c>
      <c r="AA48" s="860">
        <f t="shared" si="338"/>
        <v>72.193433333333331</v>
      </c>
      <c r="AB48" s="49">
        <f t="shared" si="339"/>
        <v>906.74952266666662</v>
      </c>
      <c r="AC48" s="48">
        <v>1</v>
      </c>
      <c r="AD48" s="47" t="str">
        <f t="shared" si="340"/>
        <v>F</v>
      </c>
      <c r="AE48" s="49">
        <f t="shared" si="341"/>
        <v>144.94114400000001</v>
      </c>
      <c r="AF48" s="50" t="e">
        <f t="shared" si="310"/>
        <v>#REF!</v>
      </c>
      <c r="AG48" s="890" t="e">
        <f t="shared" si="332"/>
        <v>#REF!</v>
      </c>
      <c r="AH48" s="207" t="s">
        <v>1142</v>
      </c>
      <c r="AI48" s="240">
        <f t="shared" si="312"/>
        <v>4.7690480918672132E-2</v>
      </c>
      <c r="AJ48" s="11">
        <f t="shared" si="33"/>
        <v>1</v>
      </c>
      <c r="AK48" s="11"/>
      <c r="AL48" s="11"/>
      <c r="AM48" s="11"/>
      <c r="AN48" s="11"/>
      <c r="AO48" s="11"/>
      <c r="AP48" s="11"/>
      <c r="AQ48" s="11" t="str">
        <f>'Update Stock Prices'!Q48</f>
        <v>big</v>
      </c>
      <c r="AR48" s="11">
        <v>1</v>
      </c>
      <c r="AS48" s="11"/>
      <c r="AT48" s="176"/>
      <c r="AU48" s="11"/>
      <c r="AV48" s="660"/>
      <c r="AW48" s="236"/>
      <c r="AX48" s="420">
        <f t="shared" si="314"/>
        <v>81</v>
      </c>
      <c r="AY48" s="19">
        <f t="shared" si="293"/>
        <v>4863.9942407612134</v>
      </c>
      <c r="AZ48" s="19">
        <f t="shared" si="291"/>
        <v>405.3328533967678</v>
      </c>
      <c r="BA48" s="19">
        <f t="shared" si="292"/>
        <v>13.316890460674095</v>
      </c>
      <c r="BB48" s="234">
        <f t="shared" si="294"/>
        <v>120237.93763161721</v>
      </c>
      <c r="BC48" s="19"/>
      <c r="BE48" s="74"/>
      <c r="BF48" s="74"/>
      <c r="BN48" s="19"/>
      <c r="BS48" s="420" t="str">
        <f t="shared" si="37"/>
        <v>F</v>
      </c>
      <c r="BT48" s="425">
        <f t="shared" si="38"/>
        <v>11.539899999999999</v>
      </c>
      <c r="BU48" s="19">
        <f t="shared" si="39"/>
        <v>12.56</v>
      </c>
      <c r="BV48" s="19">
        <f t="shared" si="40"/>
        <v>144.94114400000001</v>
      </c>
      <c r="BW48" s="539">
        <f t="shared" si="41"/>
        <v>0.6</v>
      </c>
      <c r="BX48" s="19">
        <f t="shared" si="42"/>
        <v>6.9239399999999991</v>
      </c>
      <c r="BY48" s="10">
        <f t="shared" si="43"/>
        <v>0.55126910828025466</v>
      </c>
      <c r="BZ48" s="10">
        <f t="shared" si="44"/>
        <v>12.091169108280255</v>
      </c>
      <c r="CA48" s="539">
        <f t="shared" si="45"/>
        <v>151.865084</v>
      </c>
      <c r="CB48" s="19">
        <f t="shared" si="46"/>
        <v>7.2547014649681527</v>
      </c>
      <c r="CC48" s="10">
        <f t="shared" si="47"/>
        <v>0.57760361982230513</v>
      </c>
      <c r="CD48" s="10">
        <f t="shared" si="48"/>
        <v>12.66877272810256</v>
      </c>
      <c r="CE48" s="539">
        <f t="shared" si="49"/>
        <v>159.11978546496817</v>
      </c>
      <c r="CF48" s="19">
        <f t="shared" si="50"/>
        <v>7.6012636368615354</v>
      </c>
      <c r="CG48" s="10">
        <f t="shared" si="51"/>
        <v>0.6051961494316509</v>
      </c>
      <c r="CH48" s="10">
        <f t="shared" si="52"/>
        <v>13.273968877534211</v>
      </c>
      <c r="CI48" s="539">
        <f t="shared" si="53"/>
        <v>166.72104910182969</v>
      </c>
      <c r="CJ48" s="19">
        <f t="shared" si="54"/>
        <v>7.9643813265205257</v>
      </c>
      <c r="CK48" s="10">
        <f t="shared" si="55"/>
        <v>0.63410679351278065</v>
      </c>
      <c r="CL48" s="10">
        <f t="shared" si="56"/>
        <v>13.908075671046991</v>
      </c>
      <c r="CM48" s="539">
        <f t="shared" si="57"/>
        <v>174.6854304283502</v>
      </c>
      <c r="CN48" s="19">
        <f t="shared" si="58"/>
        <v>8.3448454026281933</v>
      </c>
      <c r="CO48" s="10">
        <f t="shared" si="59"/>
        <v>0.66439851931753124</v>
      </c>
      <c r="CP48" s="10">
        <f t="shared" si="60"/>
        <v>14.572474190364522</v>
      </c>
      <c r="CQ48" s="539">
        <f t="shared" si="61"/>
        <v>183.03027583097841</v>
      </c>
      <c r="CR48" s="19">
        <f t="shared" si="62"/>
        <v>8.7434845142187125</v>
      </c>
      <c r="CS48" s="10">
        <f t="shared" si="63"/>
        <v>0.69613730208747704</v>
      </c>
      <c r="CT48" s="10">
        <f t="shared" si="64"/>
        <v>15.268611492451999</v>
      </c>
      <c r="CU48" s="539">
        <f t="shared" si="65"/>
        <v>191.7737603451971</v>
      </c>
      <c r="CV48" s="19">
        <f t="shared" si="66"/>
        <v>9.1611668954711991</v>
      </c>
      <c r="CW48" s="10">
        <f t="shared" si="67"/>
        <v>0.72939226874770691</v>
      </c>
      <c r="CX48" s="10">
        <f t="shared" si="68"/>
        <v>15.998003761199707</v>
      </c>
      <c r="CY48" s="539">
        <f t="shared" si="69"/>
        <v>200.93492724066832</v>
      </c>
      <c r="CZ48" s="19">
        <f t="shared" si="70"/>
        <v>9.5988022567198232</v>
      </c>
      <c r="DA48" s="10">
        <f t="shared" si="71"/>
        <v>0.76423584846495407</v>
      </c>
      <c r="DB48" s="10">
        <f t="shared" si="72"/>
        <v>16.762239609664661</v>
      </c>
      <c r="DC48" s="539">
        <f t="shared" si="73"/>
        <v>210.53372949738815</v>
      </c>
      <c r="DD48" s="19">
        <f t="shared" si="74"/>
        <v>10.057343765798796</v>
      </c>
      <c r="DE48" s="10">
        <f t="shared" si="75"/>
        <v>0.8007439303979933</v>
      </c>
      <c r="DF48" s="10">
        <f t="shared" si="76"/>
        <v>17.562983540062653</v>
      </c>
      <c r="DG48" s="539">
        <f t="shared" si="77"/>
        <v>220.59107326318693</v>
      </c>
      <c r="DH48" s="19">
        <f t="shared" si="78"/>
        <v>10.537790124037592</v>
      </c>
      <c r="DI48" s="10">
        <f t="shared" si="79"/>
        <v>0.8389960289838847</v>
      </c>
      <c r="DJ48" s="10">
        <f t="shared" si="80"/>
        <v>18.401979569046539</v>
      </c>
      <c r="DK48" s="539">
        <f t="shared" si="81"/>
        <v>231.12886338722453</v>
      </c>
      <c r="DL48" s="19">
        <f t="shared" si="82"/>
        <v>11.041187741427922</v>
      </c>
      <c r="DM48" s="10">
        <f t="shared" si="83"/>
        <v>0.87907545712005752</v>
      </c>
      <c r="DN48" s="10">
        <f t="shared" si="84"/>
        <v>19.281055026166595</v>
      </c>
      <c r="DO48" s="539">
        <f t="shared" si="85"/>
        <v>242.17005112865243</v>
      </c>
      <c r="DP48" s="19">
        <f t="shared" si="86"/>
        <v>11.568633015699957</v>
      </c>
      <c r="DQ48" s="10">
        <f t="shared" si="87"/>
        <v>0.9210695076194233</v>
      </c>
      <c r="DR48" s="10">
        <f t="shared" si="88"/>
        <v>20.202124533786019</v>
      </c>
      <c r="DS48" s="539">
        <f t="shared" si="89"/>
        <v>253.73868414435242</v>
      </c>
      <c r="DT48" s="19">
        <f t="shared" si="90"/>
        <v>12.121274720271611</v>
      </c>
      <c r="DU48" s="10">
        <f t="shared" si="91"/>
        <v>0.96506964333372691</v>
      </c>
      <c r="DV48" s="10">
        <f t="shared" si="92"/>
        <v>21.167194177119747</v>
      </c>
      <c r="DW48" s="539">
        <f t="shared" si="93"/>
        <v>265.85995886462405</v>
      </c>
      <c r="DX48" s="19">
        <f t="shared" si="94"/>
        <v>12.700316506271848</v>
      </c>
      <c r="DY48" s="10">
        <f t="shared" si="95"/>
        <v>1.0111716963592237</v>
      </c>
      <c r="DZ48" s="10">
        <f t="shared" si="96"/>
        <v>22.17836587347897</v>
      </c>
      <c r="EA48" s="539">
        <f t="shared" si="97"/>
        <v>278.56027537089585</v>
      </c>
      <c r="EB48" s="19">
        <f t="shared" si="98"/>
        <v>13.307019524087382</v>
      </c>
      <c r="EC48" s="10">
        <f t="shared" si="99"/>
        <v>1.0594760767585494</v>
      </c>
      <c r="ED48" s="10">
        <f t="shared" si="100"/>
        <v>23.23784195023752</v>
      </c>
      <c r="EE48" s="539">
        <f t="shared" si="101"/>
        <v>291.86729489498327</v>
      </c>
      <c r="EF48" s="19">
        <f t="shared" si="102"/>
        <v>13.942705170142512</v>
      </c>
      <c r="EG48" s="10">
        <f t="shared" si="103"/>
        <v>1.1100879912533848</v>
      </c>
      <c r="EH48" s="10">
        <f t="shared" si="104"/>
        <v>24.347929941490904</v>
      </c>
      <c r="EI48" s="539">
        <f t="shared" si="105"/>
        <v>305.81000006512573</v>
      </c>
      <c r="EJ48" s="19">
        <f t="shared" si="106"/>
        <v>14.608757964894542</v>
      </c>
      <c r="EK48" s="10">
        <f t="shared" si="107"/>
        <v>1.1631176723642151</v>
      </c>
      <c r="EL48" s="10">
        <f t="shared" si="108"/>
        <v>25.511047613855119</v>
      </c>
      <c r="EM48" s="539">
        <f t="shared" si="109"/>
        <v>320.41875803002029</v>
      </c>
      <c r="EN48" s="19">
        <f t="shared" si="110"/>
        <v>15.306628568313071</v>
      </c>
      <c r="EO48" s="10">
        <f t="shared" si="111"/>
        <v>1.2186806184962635</v>
      </c>
      <c r="EP48" s="10">
        <f t="shared" si="112"/>
        <v>26.729728232351384</v>
      </c>
      <c r="EQ48" s="539">
        <f t="shared" si="113"/>
        <v>335.72538659833339</v>
      </c>
      <c r="ER48" s="19">
        <f t="shared" si="114"/>
        <v>16.03783693941083</v>
      </c>
      <c r="ES48" s="10">
        <f t="shared" si="115"/>
        <v>1.2768978454944928</v>
      </c>
      <c r="ET48" s="10">
        <f t="shared" si="116"/>
        <v>28.006626077845876</v>
      </c>
      <c r="EU48" s="539">
        <f t="shared" si="117"/>
        <v>351.76322353774424</v>
      </c>
      <c r="EV48" s="19">
        <f t="shared" si="118"/>
        <v>16.803975646707524</v>
      </c>
      <c r="EW48" s="10">
        <f t="shared" si="119"/>
        <v>1.3378961502155671</v>
      </c>
      <c r="EX48" s="10">
        <f t="shared" si="120"/>
        <v>29.344522228061443</v>
      </c>
      <c r="EY48" s="539">
        <f t="shared" si="121"/>
        <v>368.56719918445174</v>
      </c>
      <c r="EZ48" s="19">
        <f t="shared" si="122"/>
        <v>17.606713336836865</v>
      </c>
      <c r="FA48" s="10">
        <f t="shared" si="123"/>
        <v>1.4018083866908331</v>
      </c>
      <c r="FB48" s="10">
        <f t="shared" si="124"/>
        <v>30.746330614752274</v>
      </c>
      <c r="FC48" s="539">
        <f t="shared" si="125"/>
        <v>386.17391252128857</v>
      </c>
      <c r="FD48" s="19">
        <f t="shared" si="126"/>
        <v>18.447798368851362</v>
      </c>
      <c r="FE48" s="10">
        <f t="shared" si="127"/>
        <v>1.4687737554817963</v>
      </c>
      <c r="FF48" s="10">
        <f t="shared" si="128"/>
        <v>32.215104370234073</v>
      </c>
      <c r="FG48" s="539">
        <f t="shared" si="129"/>
        <v>404.62171089013998</v>
      </c>
      <c r="FH48" s="19">
        <f t="shared" si="130"/>
        <v>19.329062622140444</v>
      </c>
      <c r="FI48" s="10">
        <f t="shared" si="131"/>
        <v>1.5389381068583157</v>
      </c>
      <c r="FJ48" s="10">
        <f t="shared" si="132"/>
        <v>33.754042477092391</v>
      </c>
      <c r="FK48" s="539">
        <f t="shared" si="133"/>
        <v>423.95077351228042</v>
      </c>
      <c r="FL48" s="19">
        <f t="shared" si="134"/>
        <v>20.252425486255433</v>
      </c>
      <c r="FM48" s="10">
        <f t="shared" si="135"/>
        <v>1.6124542584598274</v>
      </c>
      <c r="FN48" s="10">
        <f t="shared" si="136"/>
        <v>35.366496735552218</v>
      </c>
      <c r="FO48" s="539">
        <f t="shared" si="137"/>
        <v>444.20319899853587</v>
      </c>
      <c r="FP48" s="19">
        <f t="shared" si="138"/>
        <v>21.21989804133133</v>
      </c>
      <c r="FQ48" s="10">
        <f t="shared" si="139"/>
        <v>1.6894823281314753</v>
      </c>
      <c r="FR48" s="10">
        <f t="shared" si="140"/>
        <v>37.055979063683694</v>
      </c>
      <c r="FS48" s="539">
        <f t="shared" si="141"/>
        <v>465.42309703986723</v>
      </c>
      <c r="FT48" s="19">
        <f t="shared" si="142"/>
        <v>22.233587438210215</v>
      </c>
      <c r="FU48" s="10">
        <f t="shared" si="143"/>
        <v>1.770190082660049</v>
      </c>
      <c r="FV48" s="10">
        <f t="shared" si="144"/>
        <v>38.826169146343744</v>
      </c>
      <c r="FW48" s="539">
        <f t="shared" si="145"/>
        <v>487.65668447807747</v>
      </c>
      <c r="FX48" s="19">
        <f t="shared" si="146"/>
        <v>23.295701487806245</v>
      </c>
      <c r="FY48" s="10">
        <f t="shared" si="147"/>
        <v>1.8547533031692869</v>
      </c>
      <c r="FZ48" s="10">
        <f t="shared" si="148"/>
        <v>40.680922449513034</v>
      </c>
      <c r="GA48" s="539">
        <f t="shared" si="149"/>
        <v>510.95238596588371</v>
      </c>
      <c r="GB48" s="19">
        <f t="shared" si="150"/>
        <v>24.408553469707819</v>
      </c>
      <c r="GC48" s="10">
        <f t="shared" si="151"/>
        <v>1.9433561679703677</v>
      </c>
      <c r="GD48" s="10">
        <f t="shared" si="152"/>
        <v>42.624278617483398</v>
      </c>
      <c r="GE48" s="539">
        <f t="shared" si="153"/>
        <v>535.36093943559149</v>
      </c>
      <c r="GF48" s="19">
        <f t="shared" si="154"/>
        <v>25.574567170490038</v>
      </c>
      <c r="GG48" s="10">
        <f t="shared" si="155"/>
        <v>2.0361916537014362</v>
      </c>
      <c r="GH48" s="10">
        <f t="shared" si="156"/>
        <v>44.660470271184835</v>
      </c>
      <c r="GI48" s="539">
        <f t="shared" si="157"/>
        <v>560.9355066060815</v>
      </c>
      <c r="GJ48" s="19">
        <f t="shared" si="158"/>
        <v>26.796282162710899</v>
      </c>
      <c r="GK48" s="10">
        <f t="shared" si="159"/>
        <v>2.1334619556298486</v>
      </c>
      <c r="GL48" s="10">
        <f t="shared" si="160"/>
        <v>46.793932226814682</v>
      </c>
      <c r="GM48" s="539">
        <f t="shared" si="161"/>
        <v>587.7317887687924</v>
      </c>
      <c r="GN48" s="19">
        <f t="shared" si="162"/>
        <v>28.07635933608881</v>
      </c>
      <c r="GO48" s="10">
        <f t="shared" si="163"/>
        <v>2.2353789280325485</v>
      </c>
      <c r="GP48" s="10">
        <f t="shared" si="164"/>
        <v>49.029311154847228</v>
      </c>
      <c r="GQ48" s="539">
        <f t="shared" si="165"/>
        <v>615.80814810488118</v>
      </c>
      <c r="GR48" s="19">
        <f t="shared" si="166"/>
        <v>29.417586692908337</v>
      </c>
      <c r="GS48" s="10">
        <f t="shared" si="167"/>
        <v>2.3421645456137208</v>
      </c>
      <c r="GT48" s="10">
        <f t="shared" si="168"/>
        <v>51.371475700460948</v>
      </c>
      <c r="GU48" s="539">
        <f t="shared" si="169"/>
        <v>645.22573479778953</v>
      </c>
      <c r="GV48" s="19">
        <f t="shared" si="170"/>
        <v>30.822885420276567</v>
      </c>
      <c r="GW48" s="10">
        <f t="shared" si="171"/>
        <v>2.4540513869646947</v>
      </c>
      <c r="GX48" s="10">
        <f t="shared" si="172"/>
        <v>53.825527087425641</v>
      </c>
      <c r="GY48" s="539">
        <f t="shared" si="173"/>
        <v>676.04862021806605</v>
      </c>
      <c r="GZ48" s="19">
        <f t="shared" si="174"/>
        <v>32.295316252455386</v>
      </c>
      <c r="HA48" s="10">
        <f t="shared" si="175"/>
        <v>2.5712831411190593</v>
      </c>
      <c r="HB48" s="10">
        <f t="shared" si="176"/>
        <v>56.396810228544702</v>
      </c>
      <c r="HC48" s="539">
        <f t="shared" si="177"/>
        <v>708.3439364705215</v>
      </c>
      <c r="HD48" s="19">
        <f t="shared" si="178"/>
        <v>33.838086137126822</v>
      </c>
      <c r="HE48" s="10">
        <f t="shared" si="179"/>
        <v>2.6941151383062754</v>
      </c>
      <c r="HF48" s="10">
        <f t="shared" si="180"/>
        <v>59.090925366850975</v>
      </c>
      <c r="HG48" s="539">
        <f t="shared" si="181"/>
        <v>742.18202260764826</v>
      </c>
      <c r="HH48" s="19">
        <f t="shared" si="182"/>
        <v>35.454555220110585</v>
      </c>
      <c r="HI48" s="10">
        <f t="shared" si="183"/>
        <v>2.8228149060597598</v>
      </c>
      <c r="HJ48" s="10">
        <f t="shared" si="184"/>
        <v>61.913740272910736</v>
      </c>
      <c r="HK48" s="539">
        <f t="shared" si="185"/>
        <v>777.63657782775886</v>
      </c>
      <c r="HL48" s="19">
        <f t="shared" si="186"/>
        <v>37.14824416374644</v>
      </c>
      <c r="HM48" s="10">
        <f t="shared" si="187"/>
        <v>2.95766275189064</v>
      </c>
      <c r="HN48" s="10">
        <f t="shared" si="188"/>
        <v>64.871403024801381</v>
      </c>
      <c r="HO48" s="539">
        <f t="shared" si="189"/>
        <v>814.7848219915054</v>
      </c>
      <c r="HP48" s="19">
        <f t="shared" si="190"/>
        <v>38.922841814880826</v>
      </c>
      <c r="HQ48" s="10">
        <f t="shared" si="191"/>
        <v>3.0989523737962439</v>
      </c>
      <c r="HR48" s="10">
        <f t="shared" si="192"/>
        <v>67.970355398597619</v>
      </c>
      <c r="HS48" s="539">
        <f t="shared" si="193"/>
        <v>853.70766380638611</v>
      </c>
      <c r="HT48" s="19">
        <f t="shared" si="194"/>
        <v>40.782213239158573</v>
      </c>
      <c r="HU48" s="10">
        <f t="shared" si="195"/>
        <v>3.2469914999330074</v>
      </c>
      <c r="HV48" s="10">
        <f t="shared" si="196"/>
        <v>71.217346898530622</v>
      </c>
      <c r="HW48" s="539">
        <f t="shared" si="197"/>
        <v>894.48987704554463</v>
      </c>
      <c r="HX48" s="19">
        <f t="shared" si="198"/>
        <v>42.730408139118374</v>
      </c>
      <c r="HY48" s="10">
        <f t="shared" si="199"/>
        <v>3.4021025588470044</v>
      </c>
      <c r="HZ48" s="10">
        <f t="shared" si="200"/>
        <v>74.619449457377627</v>
      </c>
      <c r="IA48" s="539">
        <f t="shared" si="201"/>
        <v>937.220285184663</v>
      </c>
      <c r="IB48" s="19">
        <f t="shared" si="202"/>
        <v>44.771669674426576</v>
      </c>
      <c r="IF48" s="224" t="s">
        <v>1351</v>
      </c>
      <c r="IG48" s="420">
        <v>1</v>
      </c>
      <c r="IH48" s="19">
        <f>IK18</f>
        <v>225.01540000000003</v>
      </c>
      <c r="II48" s="19" t="str">
        <f>IK19</f>
        <v>Undervalued</v>
      </c>
      <c r="IJ48" s="236">
        <f t="shared" si="350"/>
        <v>3</v>
      </c>
      <c r="IL48" s="647"/>
      <c r="IP48" s="11">
        <v>7</v>
      </c>
      <c r="IQ48" s="19">
        <f t="shared" si="358"/>
        <v>15.103130866560008</v>
      </c>
      <c r="IR48" s="20">
        <f t="shared" si="351"/>
        <v>7.7502942148760328</v>
      </c>
    </row>
    <row r="49" spans="1:263">
      <c r="A49" s="11"/>
      <c r="B49" s="11"/>
      <c r="C49" s="826" t="s">
        <v>2342</v>
      </c>
      <c r="D49" s="47" t="s">
        <v>2416</v>
      </c>
      <c r="E49" s="396">
        <f t="shared" ref="E49" si="359">F49+O49</f>
        <v>8.0276999999999994</v>
      </c>
      <c r="F49" s="242">
        <v>1.0277000000000001</v>
      </c>
      <c r="G49" s="48">
        <f>'Update Stock Prices'!S49</f>
        <v>48909299.655568317</v>
      </c>
      <c r="H49" s="991">
        <f t="shared" ref="H49" si="360">F49/G49</f>
        <v>2.1012363849765257E-8</v>
      </c>
      <c r="I49" s="49">
        <f>'Update Stock Prices'!D49</f>
        <v>43.55</v>
      </c>
      <c r="J49" s="49">
        <f t="shared" si="1"/>
        <v>44.756335</v>
      </c>
      <c r="K49" s="30">
        <v>27.24</v>
      </c>
      <c r="L49" s="49">
        <f t="shared" ref="L49" si="361">J49-K49</f>
        <v>17.516335000000002</v>
      </c>
      <c r="M49" s="50">
        <f t="shared" ref="M49" si="362">L49/K49</f>
        <v>0.64303726138032313</v>
      </c>
      <c r="N49" s="49">
        <f t="shared" ref="N49" si="363">K49/F49</f>
        <v>26.505789627323146</v>
      </c>
      <c r="O49" s="48">
        <f t="shared" ref="O49" si="364">IF(INT(($B$11-$B$12)/I49)&lt;0,0,INT(($B$11-$B$12)/I49))</f>
        <v>7</v>
      </c>
      <c r="P49" s="49">
        <f>IF(($B$11-$B$12)-(O49*I49)&lt;0,0,($B$11-$B$12)-(O49*I49))</f>
        <v>16.160000000000025</v>
      </c>
      <c r="Q49" s="30">
        <f>0.19*4</f>
        <v>0.76</v>
      </c>
      <c r="R49" s="49">
        <f>S49/365.25</f>
        <v>2.1384038329911024E-3</v>
      </c>
      <c r="S49" s="49">
        <f t="shared" ref="S49" si="365">F49*Q49</f>
        <v>0.78105200000000008</v>
      </c>
      <c r="T49" s="49">
        <f>S49/12</f>
        <v>6.5087666666666669E-2</v>
      </c>
      <c r="U49" s="49" t="s">
        <v>54</v>
      </c>
      <c r="V49" s="50">
        <f t="shared" ref="V49" si="366">Q49/I49</f>
        <v>1.7451205510907005E-2</v>
      </c>
      <c r="W49" s="50">
        <f t="shared" ref="W49" si="367">S49/K49</f>
        <v>2.867298091042585E-2</v>
      </c>
      <c r="X49" s="49">
        <f t="shared" si="357"/>
        <v>5.3199999999999985</v>
      </c>
      <c r="Y49" s="49">
        <f t="shared" ref="Y49" si="368">IF(U49="Q",3*T49,IF(U49="Y",12*T49,IF(U49="B",6*T49,IF(U49="M",T49,0))))</f>
        <v>0.19526300000000002</v>
      </c>
      <c r="Z49" s="860">
        <f t="shared" ref="Z49" si="369">IF(Y49/I49&gt;1,1,0)</f>
        <v>0</v>
      </c>
      <c r="AA49" s="860">
        <f t="shared" ref="AA49" si="370">IF(Z49=1,"",IF(AND(U49&lt;&gt;"",Z49=0),I49/(Y49/F49)-F49,""))</f>
        <v>228.18282631578944</v>
      </c>
      <c r="AB49" s="49">
        <f t="shared" ref="AB49" si="371">IF(AA49&lt;&gt;"",AA49*I49,"")</f>
        <v>9937.3620860526298</v>
      </c>
      <c r="AC49" s="48">
        <v>1</v>
      </c>
      <c r="AD49" s="47" t="str">
        <f t="shared" ref="AD49" si="372">D49</f>
        <v>FCFS</v>
      </c>
      <c r="AE49" s="49">
        <f t="shared" ref="AE49" si="373">J49</f>
        <v>44.756335</v>
      </c>
      <c r="AF49" s="50" t="e">
        <f t="shared" si="310"/>
        <v>#REF!</v>
      </c>
      <c r="AG49" s="890" t="e">
        <f t="shared" ref="AG49" si="374">(100*AF49)^2</f>
        <v>#REF!</v>
      </c>
      <c r="AH49" s="1255" t="s">
        <v>802</v>
      </c>
      <c r="AI49" s="240">
        <f t="shared" si="312"/>
        <v>4.5473393390633695E-3</v>
      </c>
      <c r="AJ49" s="11">
        <f t="shared" ref="AJ49" si="375">LEN(D49)</f>
        <v>4</v>
      </c>
      <c r="AK49" s="11"/>
      <c r="AL49" s="11"/>
      <c r="AM49" s="11"/>
      <c r="AN49" s="11"/>
      <c r="AO49" s="11"/>
      <c r="AP49" s="11"/>
      <c r="AQ49" s="11" t="str">
        <f>'Update Stock Prices'!Q49</f>
        <v>mid</v>
      </c>
      <c r="AR49" s="11"/>
      <c r="AS49" s="11">
        <v>1</v>
      </c>
      <c r="AT49" s="176"/>
      <c r="AV49" s="836" t="s">
        <v>1704</v>
      </c>
      <c r="AW49" s="533" t="s">
        <v>1704</v>
      </c>
      <c r="AX49" s="420">
        <f t="shared" si="314"/>
        <v>82</v>
      </c>
      <c r="AY49" s="19">
        <f t="shared" si="293"/>
        <v>4809.5175052646882</v>
      </c>
      <c r="AZ49" s="19">
        <f t="shared" si="291"/>
        <v>400.79312543872402</v>
      </c>
      <c r="BA49" s="19">
        <f t="shared" si="292"/>
        <v>13.167741287514547</v>
      </c>
      <c r="BB49" s="234">
        <f t="shared" si="294"/>
        <v>118891.2727301431</v>
      </c>
      <c r="BC49" s="19"/>
      <c r="BE49" s="74"/>
      <c r="BF49" s="74"/>
      <c r="BS49" s="420" t="str">
        <f t="shared" si="37"/>
        <v>FCFS</v>
      </c>
      <c r="BT49" s="425">
        <f t="shared" si="38"/>
        <v>1.0277000000000001</v>
      </c>
      <c r="BU49" s="19">
        <f t="shared" si="39"/>
        <v>43.55</v>
      </c>
      <c r="BV49" s="19">
        <f t="shared" si="40"/>
        <v>44.756335</v>
      </c>
      <c r="BW49" s="539">
        <f t="shared" si="41"/>
        <v>0.76</v>
      </c>
      <c r="BX49" s="19">
        <f t="shared" si="42"/>
        <v>0.78105200000000008</v>
      </c>
      <c r="BY49" s="10">
        <f t="shared" si="43"/>
        <v>1.7934603903559131E-2</v>
      </c>
      <c r="BZ49" s="10">
        <f t="shared" si="44"/>
        <v>1.0456346039035591</v>
      </c>
      <c r="CA49" s="539">
        <f t="shared" si="45"/>
        <v>45.537386999999995</v>
      </c>
      <c r="CB49" s="19">
        <f t="shared" si="46"/>
        <v>0.79468229896670495</v>
      </c>
      <c r="CC49" s="10">
        <f t="shared" si="47"/>
        <v>1.8247584362036853E-2</v>
      </c>
      <c r="CD49" s="10">
        <f t="shared" si="48"/>
        <v>1.063882188265596</v>
      </c>
      <c r="CE49" s="539">
        <f t="shared" si="49"/>
        <v>46.332069298966701</v>
      </c>
      <c r="CF49" s="19">
        <f t="shared" si="50"/>
        <v>0.80855046308185297</v>
      </c>
      <c r="CG49" s="10">
        <f t="shared" si="51"/>
        <v>1.8566026706816372E-2</v>
      </c>
      <c r="CH49" s="10">
        <f t="shared" si="52"/>
        <v>1.0824482149724124</v>
      </c>
      <c r="CI49" s="539">
        <f t="shared" si="53"/>
        <v>47.140619762048559</v>
      </c>
      <c r="CJ49" s="19">
        <f t="shared" si="54"/>
        <v>0.82266064337903344</v>
      </c>
      <c r="CK49" s="10">
        <f t="shared" si="55"/>
        <v>1.8890026254398014E-2</v>
      </c>
      <c r="CL49" s="10">
        <f t="shared" si="56"/>
        <v>1.1013382412268105</v>
      </c>
      <c r="CM49" s="539">
        <f t="shared" si="57"/>
        <v>47.963280405427589</v>
      </c>
      <c r="CN49" s="19">
        <f t="shared" si="58"/>
        <v>0.83701706333237591</v>
      </c>
      <c r="CO49" s="10">
        <f t="shared" si="59"/>
        <v>1.9219679984669943E-2</v>
      </c>
      <c r="CP49" s="10">
        <f t="shared" si="60"/>
        <v>1.1205579212114805</v>
      </c>
      <c r="CQ49" s="539">
        <f t="shared" si="61"/>
        <v>48.800297468759972</v>
      </c>
      <c r="CR49" s="19">
        <f t="shared" si="62"/>
        <v>0.85162402012072513</v>
      </c>
      <c r="CS49" s="10">
        <f t="shared" si="63"/>
        <v>1.9555086569936285E-2</v>
      </c>
      <c r="CT49" s="10">
        <f t="shared" si="64"/>
        <v>1.1401130077814168</v>
      </c>
      <c r="CU49" s="539">
        <f t="shared" si="65"/>
        <v>49.651921488880696</v>
      </c>
      <c r="CV49" s="19">
        <f t="shared" si="66"/>
        <v>0.86648588591387676</v>
      </c>
      <c r="CW49" s="10">
        <f t="shared" si="67"/>
        <v>1.9896346404451822E-2</v>
      </c>
      <c r="CX49" s="10">
        <f t="shared" si="68"/>
        <v>1.1600093541858687</v>
      </c>
      <c r="CY49" s="539">
        <f t="shared" si="69"/>
        <v>50.518407374794577</v>
      </c>
      <c r="CZ49" s="19">
        <f t="shared" si="70"/>
        <v>0.88160710918126017</v>
      </c>
      <c r="DA49" s="10">
        <f t="shared" si="71"/>
        <v>2.0243561634472107E-2</v>
      </c>
      <c r="DB49" s="10">
        <f t="shared" si="72"/>
        <v>1.1802529158203408</v>
      </c>
      <c r="DC49" s="539">
        <f t="shared" si="73"/>
        <v>51.400014483975838</v>
      </c>
      <c r="DD49" s="19">
        <f t="shared" si="74"/>
        <v>0.89699221602345902</v>
      </c>
      <c r="DE49" s="10">
        <f t="shared" si="75"/>
        <v>2.0596836188827992E-2</v>
      </c>
      <c r="DF49" s="10">
        <f t="shared" si="76"/>
        <v>1.2008497520091688</v>
      </c>
      <c r="DG49" s="539">
        <f t="shared" si="77"/>
        <v>52.297006699999294</v>
      </c>
      <c r="DH49" s="19">
        <f t="shared" si="78"/>
        <v>0.91264581152696822</v>
      </c>
      <c r="DI49" s="10">
        <f t="shared" si="79"/>
        <v>2.0956275810033714E-2</v>
      </c>
      <c r="DJ49" s="10">
        <f t="shared" si="80"/>
        <v>1.2218060278192024</v>
      </c>
      <c r="DK49" s="539">
        <f t="shared" si="81"/>
        <v>53.209652511526265</v>
      </c>
      <c r="DL49" s="19">
        <f t="shared" si="82"/>
        <v>0.92857258114259389</v>
      </c>
      <c r="DM49" s="10">
        <f t="shared" si="83"/>
        <v>2.1321988085937865E-2</v>
      </c>
      <c r="DN49" s="10">
        <f t="shared" si="84"/>
        <v>1.2431280159051403</v>
      </c>
      <c r="DO49" s="539">
        <f t="shared" si="85"/>
        <v>54.138225092668854</v>
      </c>
      <c r="DP49" s="19">
        <f t="shared" si="86"/>
        <v>0.94477729208790662</v>
      </c>
      <c r="DQ49" s="10">
        <f t="shared" si="87"/>
        <v>2.1694082481926676E-2</v>
      </c>
      <c r="DR49" s="10">
        <f t="shared" si="88"/>
        <v>1.2648220983870671</v>
      </c>
      <c r="DS49" s="539">
        <f t="shared" si="89"/>
        <v>55.083002384756767</v>
      </c>
      <c r="DT49" s="19">
        <f t="shared" si="90"/>
        <v>0.96126479477417093</v>
      </c>
      <c r="DU49" s="10">
        <f t="shared" si="91"/>
        <v>2.2072670373689346E-2</v>
      </c>
      <c r="DV49" s="10">
        <f t="shared" si="92"/>
        <v>1.2868947687607564</v>
      </c>
      <c r="DW49" s="539">
        <f t="shared" si="93"/>
        <v>56.044267179530934</v>
      </c>
      <c r="DX49" s="19">
        <f t="shared" si="94"/>
        <v>0.97804002425817482</v>
      </c>
      <c r="DY49" s="10">
        <f t="shared" si="95"/>
        <v>2.2457865080555108E-2</v>
      </c>
      <c r="DZ49" s="10">
        <f t="shared" si="96"/>
        <v>1.3093526338413115</v>
      </c>
      <c r="EA49" s="539">
        <f t="shared" si="97"/>
        <v>57.022307203789111</v>
      </c>
      <c r="EB49" s="19">
        <f t="shared" si="98"/>
        <v>0.99510800171939673</v>
      </c>
      <c r="EC49" s="10">
        <f t="shared" si="99"/>
        <v>2.2849781899412096E-2</v>
      </c>
      <c r="ED49" s="10">
        <f t="shared" si="100"/>
        <v>1.3322024157407235</v>
      </c>
      <c r="EE49" s="539">
        <f t="shared" si="101"/>
        <v>58.017415205508506</v>
      </c>
      <c r="EF49" s="19">
        <f t="shared" si="102"/>
        <v>1.0124738359629499</v>
      </c>
      <c r="EG49" s="10">
        <f t="shared" si="103"/>
        <v>2.324853813921814E-2</v>
      </c>
      <c r="EH49" s="10">
        <f t="shared" si="104"/>
        <v>1.3554509538799417</v>
      </c>
      <c r="EI49" s="539">
        <f t="shared" si="105"/>
        <v>59.029889041471456</v>
      </c>
      <c r="EJ49" s="19">
        <f t="shared" si="106"/>
        <v>1.0301427249487558</v>
      </c>
      <c r="EK49" s="10">
        <f t="shared" si="107"/>
        <v>2.3654253156113796E-2</v>
      </c>
      <c r="EL49" s="10">
        <f t="shared" si="108"/>
        <v>1.3791052070360554</v>
      </c>
      <c r="EM49" s="539">
        <f t="shared" si="109"/>
        <v>60.060031766420209</v>
      </c>
      <c r="EN49" s="19">
        <f t="shared" si="110"/>
        <v>1.048119957347402</v>
      </c>
      <c r="EO49" s="10">
        <f t="shared" si="111"/>
        <v>2.4067048389148155E-2</v>
      </c>
      <c r="EP49" s="10">
        <f t="shared" si="112"/>
        <v>1.4031722554252035</v>
      </c>
      <c r="EQ49" s="539">
        <f t="shared" si="113"/>
        <v>61.108151723767612</v>
      </c>
      <c r="ER49" s="19">
        <f t="shared" si="114"/>
        <v>1.0664109141231546</v>
      </c>
      <c r="ES49" s="10">
        <f t="shared" si="115"/>
        <v>2.4487047396628121E-2</v>
      </c>
      <c r="ET49" s="10">
        <f t="shared" si="116"/>
        <v>1.4276593028218316</v>
      </c>
      <c r="EU49" s="539">
        <f t="shared" si="117"/>
        <v>62.174562637890766</v>
      </c>
      <c r="EV49" s="19">
        <f t="shared" si="118"/>
        <v>1.0850210701445921</v>
      </c>
      <c r="EW49" s="10">
        <f t="shared" si="119"/>
        <v>2.4914375893102001E-2</v>
      </c>
      <c r="EX49" s="10">
        <f t="shared" si="120"/>
        <v>1.4525736787149337</v>
      </c>
      <c r="EY49" s="539">
        <f t="shared" si="121"/>
        <v>63.259583708035358</v>
      </c>
      <c r="EZ49" s="19">
        <f t="shared" si="122"/>
        <v>1.1039559958233496</v>
      </c>
      <c r="FA49" s="10">
        <f t="shared" si="123"/>
        <v>2.5349161786988511E-2</v>
      </c>
      <c r="FB49" s="10">
        <f t="shared" si="124"/>
        <v>1.4779228405019222</v>
      </c>
      <c r="FC49" s="539">
        <f t="shared" si="125"/>
        <v>64.363539703858706</v>
      </c>
      <c r="FD49" s="19">
        <f t="shared" si="126"/>
        <v>1.123221358781461</v>
      </c>
      <c r="FE49" s="10">
        <f t="shared" si="127"/>
        <v>2.5791535218862481E-2</v>
      </c>
      <c r="FF49" s="10">
        <f t="shared" si="128"/>
        <v>1.5037143757207847</v>
      </c>
      <c r="FG49" s="539">
        <f t="shared" si="129"/>
        <v>65.48676106264017</v>
      </c>
      <c r="FH49" s="19">
        <f t="shared" si="130"/>
        <v>1.1428229255477964</v>
      </c>
      <c r="FI49" s="10">
        <f t="shared" si="131"/>
        <v>2.6241628600408646E-2</v>
      </c>
      <c r="FJ49" s="10">
        <f t="shared" si="132"/>
        <v>1.5299560043211933</v>
      </c>
      <c r="FK49" s="539">
        <f t="shared" si="133"/>
        <v>66.62958398818796</v>
      </c>
      <c r="FL49" s="19">
        <f t="shared" si="134"/>
        <v>1.1627665632841069</v>
      </c>
      <c r="FM49" s="10">
        <f t="shared" si="135"/>
        <v>2.6699576654055267E-2</v>
      </c>
      <c r="FN49" s="10">
        <f t="shared" si="136"/>
        <v>1.5566555809752485</v>
      </c>
      <c r="FO49" s="539">
        <f t="shared" si="137"/>
        <v>67.792350551472069</v>
      </c>
      <c r="FP49" s="19">
        <f t="shared" si="138"/>
        <v>1.1830582415411888</v>
      </c>
      <c r="FQ49" s="10">
        <f t="shared" si="139"/>
        <v>2.7165516453299399E-2</v>
      </c>
      <c r="FR49" s="10">
        <f t="shared" si="140"/>
        <v>1.5838210974285478</v>
      </c>
      <c r="FS49" s="539">
        <f t="shared" si="141"/>
        <v>68.975408793013258</v>
      </c>
      <c r="FT49" s="19">
        <f t="shared" si="142"/>
        <v>1.2037040340456964</v>
      </c>
      <c r="FU49" s="10">
        <f t="shared" si="143"/>
        <v>2.7639587463735855E-2</v>
      </c>
      <c r="FV49" s="10">
        <f t="shared" si="144"/>
        <v>1.6114606848922837</v>
      </c>
      <c r="FW49" s="539">
        <f t="shared" si="145"/>
        <v>70.179112827058944</v>
      </c>
      <c r="FX49" s="19">
        <f t="shared" si="146"/>
        <v>1.2247101205181357</v>
      </c>
      <c r="FY49" s="10">
        <f t="shared" si="147"/>
        <v>2.8121931584802199E-2</v>
      </c>
      <c r="FZ49" s="10">
        <f t="shared" si="148"/>
        <v>1.6395826164770859</v>
      </c>
      <c r="GA49" s="539">
        <f t="shared" si="149"/>
        <v>71.403822947577083</v>
      </c>
      <c r="GB49" s="19">
        <f t="shared" si="150"/>
        <v>1.2460827885225854</v>
      </c>
      <c r="GC49" s="10">
        <f t="shared" si="151"/>
        <v>2.861269319225225E-2</v>
      </c>
      <c r="GD49" s="10">
        <f t="shared" si="152"/>
        <v>1.6681953096693383</v>
      </c>
      <c r="GE49" s="539">
        <f t="shared" si="153"/>
        <v>72.649905736099683</v>
      </c>
      <c r="GF49" s="19">
        <f t="shared" si="154"/>
        <v>1.267828435348697</v>
      </c>
      <c r="GG49" s="10">
        <f t="shared" si="155"/>
        <v>2.9112019181370772E-2</v>
      </c>
      <c r="GH49" s="10">
        <f t="shared" si="156"/>
        <v>1.697307328850709</v>
      </c>
      <c r="GI49" s="539">
        <f t="shared" si="157"/>
        <v>73.917734171448373</v>
      </c>
      <c r="GJ49" s="19">
        <f t="shared" si="158"/>
        <v>1.2899535699265388</v>
      </c>
      <c r="GK49" s="10">
        <f t="shared" si="159"/>
        <v>2.9620059010942338E-2</v>
      </c>
      <c r="GL49" s="10">
        <f t="shared" si="160"/>
        <v>1.7269273878616513</v>
      </c>
      <c r="GM49" s="539">
        <f t="shared" si="161"/>
        <v>75.207687741374912</v>
      </c>
      <c r="GN49" s="19">
        <f t="shared" si="162"/>
        <v>1.312464814774855</v>
      </c>
      <c r="GO49" s="10">
        <f t="shared" si="163"/>
        <v>3.0136964747987487E-2</v>
      </c>
      <c r="GP49" s="10">
        <f t="shared" si="164"/>
        <v>1.7570643526096388</v>
      </c>
      <c r="GQ49" s="539">
        <f t="shared" si="165"/>
        <v>76.520152556149768</v>
      </c>
      <c r="GR49" s="19">
        <f t="shared" si="166"/>
        <v>1.3353689079833255</v>
      </c>
      <c r="GS49" s="10">
        <f t="shared" si="167"/>
        <v>3.0662891113279578E-2</v>
      </c>
      <c r="GT49" s="10">
        <f t="shared" si="168"/>
        <v>1.7877272437229184</v>
      </c>
      <c r="GU49" s="539">
        <f t="shared" si="169"/>
        <v>77.855521464133091</v>
      </c>
      <c r="GV49" s="19">
        <f t="shared" si="170"/>
        <v>1.3586727052294181</v>
      </c>
      <c r="GW49" s="10">
        <f t="shared" si="171"/>
        <v>3.1197995527655984E-2</v>
      </c>
      <c r="GX49" s="10">
        <f t="shared" si="172"/>
        <v>1.8189252392505744</v>
      </c>
      <c r="GY49" s="539">
        <f t="shared" si="173"/>
        <v>79.214194169362514</v>
      </c>
      <c r="GZ49" s="19">
        <f t="shared" si="174"/>
        <v>1.3823831818304366</v>
      </c>
      <c r="HA49" s="10">
        <f t="shared" si="175"/>
        <v>3.1742438159137465E-2</v>
      </c>
      <c r="HB49" s="10">
        <f t="shared" si="176"/>
        <v>1.8506676774097119</v>
      </c>
      <c r="HC49" s="539">
        <f t="shared" si="177"/>
        <v>80.596577351192948</v>
      </c>
      <c r="HD49" s="19">
        <f t="shared" si="178"/>
        <v>1.4065074348313811</v>
      </c>
      <c r="HE49" s="10">
        <f t="shared" si="179"/>
        <v>3.2296381970869835E-2</v>
      </c>
      <c r="HF49" s="10">
        <f t="shared" si="180"/>
        <v>1.8829640593805819</v>
      </c>
      <c r="HG49" s="539">
        <f t="shared" si="181"/>
        <v>82.003084786024331</v>
      </c>
      <c r="HH49" s="19">
        <f t="shared" si="182"/>
        <v>1.4310526851292422</v>
      </c>
      <c r="HI49" s="10">
        <f t="shared" si="183"/>
        <v>3.2859992769902237E-2</v>
      </c>
      <c r="HJ49" s="10">
        <f t="shared" si="184"/>
        <v>1.9158240521504841</v>
      </c>
      <c r="HK49" s="539">
        <f t="shared" si="185"/>
        <v>83.434137471153576</v>
      </c>
      <c r="HL49" s="19">
        <f t="shared" si="186"/>
        <v>1.4560262796343679</v>
      </c>
      <c r="HM49" s="10">
        <f t="shared" si="187"/>
        <v>3.3433439256816716E-2</v>
      </c>
      <c r="HN49" s="10">
        <f t="shared" si="188"/>
        <v>1.9492574914073009</v>
      </c>
      <c r="HO49" s="539">
        <f t="shared" si="189"/>
        <v>84.890163750787949</v>
      </c>
      <c r="HP49" s="19">
        <f t="shared" si="190"/>
        <v>1.4814356934695487</v>
      </c>
      <c r="HQ49" s="10">
        <f t="shared" si="191"/>
        <v>3.4016893076223853E-2</v>
      </c>
      <c r="HR49" s="10">
        <f t="shared" si="192"/>
        <v>1.9832743844835248</v>
      </c>
      <c r="HS49" s="539">
        <f t="shared" si="193"/>
        <v>86.371599444257498</v>
      </c>
      <c r="HT49" s="19">
        <f t="shared" si="194"/>
        <v>1.5072885322074789</v>
      </c>
      <c r="HU49" s="10">
        <f t="shared" si="195"/>
        <v>3.461052886813959E-2</v>
      </c>
      <c r="HV49" s="10">
        <f t="shared" si="196"/>
        <v>2.0178849133516645</v>
      </c>
      <c r="HW49" s="539">
        <f t="shared" si="197"/>
        <v>87.878887976464981</v>
      </c>
      <c r="HX49" s="19">
        <f t="shared" si="198"/>
        <v>1.5335925341472652</v>
      </c>
      <c r="HY49" s="10">
        <f t="shared" si="199"/>
        <v>3.5214524320258671E-2</v>
      </c>
      <c r="HZ49" s="10">
        <f t="shared" si="200"/>
        <v>2.0530994376719232</v>
      </c>
      <c r="IA49" s="539">
        <f t="shared" si="201"/>
        <v>89.412480510612241</v>
      </c>
      <c r="IB49" s="19">
        <f t="shared" si="202"/>
        <v>1.5603555726306617</v>
      </c>
      <c r="IF49" s="224" t="s">
        <v>1352</v>
      </c>
      <c r="IG49" s="420">
        <v>2</v>
      </c>
      <c r="IH49" s="19">
        <f>IK22</f>
        <v>225.01540000000003</v>
      </c>
      <c r="II49" s="420" t="str">
        <f>IK23</f>
        <v>Undervalued</v>
      </c>
      <c r="IJ49" s="236">
        <f t="shared" si="350"/>
        <v>3</v>
      </c>
      <c r="IK49" s="19"/>
      <c r="IP49" s="11">
        <v>8</v>
      </c>
      <c r="IQ49" s="19">
        <f t="shared" si="358"/>
        <v>16.311381335884811</v>
      </c>
      <c r="IR49" s="20">
        <f t="shared" si="351"/>
        <v>7.6093797746055607</v>
      </c>
    </row>
    <row r="50" spans="1:263">
      <c r="A50" s="11"/>
      <c r="B50" s="511"/>
      <c r="C50" s="826" t="s">
        <v>2341</v>
      </c>
      <c r="D50" s="47" t="s">
        <v>247</v>
      </c>
      <c r="E50" s="396">
        <f t="shared" si="333"/>
        <v>68.292200000000008</v>
      </c>
      <c r="F50" s="242">
        <v>48.292200000000001</v>
      </c>
      <c r="G50" s="48">
        <f>'Update Stock Prices'!S50</f>
        <v>1282375236.8919773</v>
      </c>
      <c r="H50" s="991">
        <f t="shared" si="27"/>
        <v>3.7658400295566503E-8</v>
      </c>
      <c r="I50" s="49">
        <f>'Update Stock Prices'!D50</f>
        <v>15.83</v>
      </c>
      <c r="J50" s="49">
        <f t="shared" si="1"/>
        <v>764.46552600000007</v>
      </c>
      <c r="K50" s="30">
        <v>632.86</v>
      </c>
      <c r="L50" s="49">
        <f t="shared" si="28"/>
        <v>131.60552600000005</v>
      </c>
      <c r="M50" s="50">
        <f t="shared" si="29"/>
        <v>0.20795361691369346</v>
      </c>
      <c r="N50" s="49">
        <f t="shared" si="30"/>
        <v>13.104807815754926</v>
      </c>
      <c r="O50" s="48">
        <f t="shared" si="334"/>
        <v>20</v>
      </c>
      <c r="P50" s="49">
        <f t="shared" si="342"/>
        <v>4.4099999999999682</v>
      </c>
      <c r="Q50" s="30">
        <f>0*4</f>
        <v>0</v>
      </c>
      <c r="R50" s="49">
        <f t="shared" si="242"/>
        <v>0</v>
      </c>
      <c r="S50" s="49">
        <f t="shared" si="335"/>
        <v>0</v>
      </c>
      <c r="T50" s="49">
        <f t="shared" si="31"/>
        <v>0</v>
      </c>
      <c r="U50" s="49"/>
      <c r="V50" s="50">
        <f t="shared" si="336"/>
        <v>0</v>
      </c>
      <c r="W50" s="50">
        <f t="shared" si="7"/>
        <v>0</v>
      </c>
      <c r="X50" s="49">
        <f t="shared" si="357"/>
        <v>0</v>
      </c>
      <c r="Y50" s="49">
        <f t="shared" si="32"/>
        <v>0</v>
      </c>
      <c r="Z50" s="860">
        <f t="shared" si="337"/>
        <v>0</v>
      </c>
      <c r="AA50" s="860" t="str">
        <f t="shared" si="338"/>
        <v/>
      </c>
      <c r="AB50" s="49" t="str">
        <f t="shared" si="339"/>
        <v/>
      </c>
      <c r="AC50" s="48">
        <v>1</v>
      </c>
      <c r="AD50" s="47" t="str">
        <f t="shared" si="340"/>
        <v>FCX</v>
      </c>
      <c r="AE50" s="49">
        <f t="shared" si="341"/>
        <v>764.46552600000007</v>
      </c>
      <c r="AF50" s="50" t="e">
        <f t="shared" si="310"/>
        <v>#REF!</v>
      </c>
      <c r="AG50" s="890" t="e">
        <f t="shared" si="332"/>
        <v>#REF!</v>
      </c>
      <c r="AH50" s="207" t="s">
        <v>248</v>
      </c>
      <c r="AI50" s="240">
        <f t="shared" si="312"/>
        <v>1.3266737715527988</v>
      </c>
      <c r="AJ50" s="11">
        <f t="shared" si="33"/>
        <v>3</v>
      </c>
      <c r="AK50" s="11"/>
      <c r="AL50" s="11"/>
      <c r="AM50" s="11"/>
      <c r="AN50" s="11"/>
      <c r="AO50" s="11"/>
      <c r="AP50" s="11"/>
      <c r="AQ50" s="11" t="str">
        <f>'Update Stock Prices'!Q50</f>
        <v>big</v>
      </c>
      <c r="AR50" s="11"/>
      <c r="AS50" s="11">
        <v>1</v>
      </c>
      <c r="AT50" s="176"/>
      <c r="AV50" s="836" t="s">
        <v>1705</v>
      </c>
      <c r="AW50" s="533" t="s">
        <v>1711</v>
      </c>
      <c r="AX50" s="420">
        <f t="shared" si="314"/>
        <v>83</v>
      </c>
      <c r="AY50" s="19">
        <f t="shared" si="293"/>
        <v>4755.650909205724</v>
      </c>
      <c r="AZ50" s="19">
        <f t="shared" si="291"/>
        <v>396.30424243381032</v>
      </c>
      <c r="BA50" s="19">
        <f t="shared" si="292"/>
        <v>13.020262585094384</v>
      </c>
      <c r="BB50" s="234">
        <f t="shared" si="294"/>
        <v>117559.6904755655</v>
      </c>
      <c r="BC50" s="19"/>
      <c r="BE50" s="74"/>
      <c r="BF50" s="74"/>
      <c r="BS50" s="420" t="str">
        <f t="shared" si="37"/>
        <v>FCX</v>
      </c>
      <c r="BT50" s="425">
        <f t="shared" si="38"/>
        <v>48.292200000000001</v>
      </c>
      <c r="BU50" s="19">
        <f t="shared" si="39"/>
        <v>15.83</v>
      </c>
      <c r="BV50" s="19">
        <f t="shared" si="40"/>
        <v>764.46552600000007</v>
      </c>
      <c r="BW50" s="539">
        <f t="shared" si="41"/>
        <v>0</v>
      </c>
      <c r="BX50" s="19">
        <f t="shared" si="42"/>
        <v>0</v>
      </c>
      <c r="BY50" s="10">
        <f t="shared" si="43"/>
        <v>0</v>
      </c>
      <c r="BZ50" s="10">
        <f t="shared" si="44"/>
        <v>48.292200000000001</v>
      </c>
      <c r="CA50" s="539">
        <f t="shared" si="45"/>
        <v>764.46552600000007</v>
      </c>
      <c r="CB50" s="19">
        <f t="shared" si="46"/>
        <v>0</v>
      </c>
      <c r="CC50" s="10">
        <f t="shared" si="47"/>
        <v>0</v>
      </c>
      <c r="CD50" s="10">
        <f t="shared" si="48"/>
        <v>48.292200000000001</v>
      </c>
      <c r="CE50" s="539">
        <f t="shared" si="49"/>
        <v>764.46552600000007</v>
      </c>
      <c r="CF50" s="19">
        <f t="shared" si="50"/>
        <v>0</v>
      </c>
      <c r="CG50" s="10">
        <f t="shared" si="51"/>
        <v>0</v>
      </c>
      <c r="CH50" s="10">
        <f t="shared" si="52"/>
        <v>48.292200000000001</v>
      </c>
      <c r="CI50" s="539">
        <f t="shared" si="53"/>
        <v>764.46552600000007</v>
      </c>
      <c r="CJ50" s="19">
        <f t="shared" si="54"/>
        <v>0</v>
      </c>
      <c r="CK50" s="10">
        <f t="shared" si="55"/>
        <v>0</v>
      </c>
      <c r="CL50" s="10">
        <f t="shared" si="56"/>
        <v>48.292200000000001</v>
      </c>
      <c r="CM50" s="539">
        <f t="shared" si="57"/>
        <v>764.46552600000007</v>
      </c>
      <c r="CN50" s="19">
        <f t="shared" si="58"/>
        <v>0</v>
      </c>
      <c r="CO50" s="10">
        <f t="shared" si="59"/>
        <v>0</v>
      </c>
      <c r="CP50" s="10">
        <f t="shared" si="60"/>
        <v>48.292200000000001</v>
      </c>
      <c r="CQ50" s="539">
        <f t="shared" si="61"/>
        <v>764.46552600000007</v>
      </c>
      <c r="CR50" s="19">
        <f t="shared" si="62"/>
        <v>0</v>
      </c>
      <c r="CS50" s="10">
        <f t="shared" si="63"/>
        <v>0</v>
      </c>
      <c r="CT50" s="10">
        <f t="shared" si="64"/>
        <v>48.292200000000001</v>
      </c>
      <c r="CU50" s="539">
        <f t="shared" si="65"/>
        <v>764.46552600000007</v>
      </c>
      <c r="CV50" s="19">
        <f t="shared" si="66"/>
        <v>0</v>
      </c>
      <c r="CW50" s="10">
        <f t="shared" si="67"/>
        <v>0</v>
      </c>
      <c r="CX50" s="10">
        <f t="shared" si="68"/>
        <v>48.292200000000001</v>
      </c>
      <c r="CY50" s="539">
        <f t="shared" si="69"/>
        <v>764.46552600000007</v>
      </c>
      <c r="CZ50" s="19">
        <f t="shared" si="70"/>
        <v>0</v>
      </c>
      <c r="DA50" s="10">
        <f t="shared" si="71"/>
        <v>0</v>
      </c>
      <c r="DB50" s="10">
        <f t="shared" si="72"/>
        <v>48.292200000000001</v>
      </c>
      <c r="DC50" s="539">
        <f t="shared" si="73"/>
        <v>764.46552600000007</v>
      </c>
      <c r="DD50" s="19">
        <f t="shared" si="74"/>
        <v>0</v>
      </c>
      <c r="DE50" s="10">
        <f t="shared" si="75"/>
        <v>0</v>
      </c>
      <c r="DF50" s="10">
        <f t="shared" si="76"/>
        <v>48.292200000000001</v>
      </c>
      <c r="DG50" s="539">
        <f t="shared" si="77"/>
        <v>764.46552600000007</v>
      </c>
      <c r="DH50" s="19">
        <f t="shared" si="78"/>
        <v>0</v>
      </c>
      <c r="DI50" s="10">
        <f t="shared" si="79"/>
        <v>0</v>
      </c>
      <c r="DJ50" s="10">
        <f t="shared" si="80"/>
        <v>48.292200000000001</v>
      </c>
      <c r="DK50" s="539">
        <f t="shared" si="81"/>
        <v>764.46552600000007</v>
      </c>
      <c r="DL50" s="19">
        <f t="shared" si="82"/>
        <v>0</v>
      </c>
      <c r="DM50" s="10">
        <f t="shared" si="83"/>
        <v>0</v>
      </c>
      <c r="DN50" s="10">
        <f t="shared" si="84"/>
        <v>48.292200000000001</v>
      </c>
      <c r="DO50" s="539">
        <f t="shared" si="85"/>
        <v>764.46552600000007</v>
      </c>
      <c r="DP50" s="19">
        <f t="shared" si="86"/>
        <v>0</v>
      </c>
      <c r="DQ50" s="10">
        <f t="shared" si="87"/>
        <v>0</v>
      </c>
      <c r="DR50" s="10">
        <f t="shared" si="88"/>
        <v>48.292200000000001</v>
      </c>
      <c r="DS50" s="539">
        <f t="shared" si="89"/>
        <v>764.46552600000007</v>
      </c>
      <c r="DT50" s="19">
        <f t="shared" si="90"/>
        <v>0</v>
      </c>
      <c r="DU50" s="10">
        <f t="shared" si="91"/>
        <v>0</v>
      </c>
      <c r="DV50" s="10">
        <f t="shared" si="92"/>
        <v>48.292200000000001</v>
      </c>
      <c r="DW50" s="539">
        <f t="shared" si="93"/>
        <v>764.46552600000007</v>
      </c>
      <c r="DX50" s="19">
        <f t="shared" si="94"/>
        <v>0</v>
      </c>
      <c r="DY50" s="10">
        <f t="shared" si="95"/>
        <v>0</v>
      </c>
      <c r="DZ50" s="10">
        <f t="shared" si="96"/>
        <v>48.292200000000001</v>
      </c>
      <c r="EA50" s="539">
        <f t="shared" si="97"/>
        <v>764.46552600000007</v>
      </c>
      <c r="EB50" s="19">
        <f t="shared" si="98"/>
        <v>0</v>
      </c>
      <c r="EC50" s="10">
        <f t="shared" si="99"/>
        <v>0</v>
      </c>
      <c r="ED50" s="10">
        <f t="shared" si="100"/>
        <v>48.292200000000001</v>
      </c>
      <c r="EE50" s="539">
        <f t="shared" si="101"/>
        <v>764.46552600000007</v>
      </c>
      <c r="EF50" s="19">
        <f t="shared" si="102"/>
        <v>0</v>
      </c>
      <c r="EG50" s="10">
        <f t="shared" si="103"/>
        <v>0</v>
      </c>
      <c r="EH50" s="10">
        <f t="shared" si="104"/>
        <v>48.292200000000001</v>
      </c>
      <c r="EI50" s="539">
        <f t="shared" si="105"/>
        <v>764.46552600000007</v>
      </c>
      <c r="EJ50" s="19">
        <f t="shared" si="106"/>
        <v>0</v>
      </c>
      <c r="EK50" s="10">
        <f t="shared" si="107"/>
        <v>0</v>
      </c>
      <c r="EL50" s="10">
        <f t="shared" si="108"/>
        <v>48.292200000000001</v>
      </c>
      <c r="EM50" s="539">
        <f t="shared" si="109"/>
        <v>764.46552600000007</v>
      </c>
      <c r="EN50" s="19">
        <f t="shared" si="110"/>
        <v>0</v>
      </c>
      <c r="EO50" s="10">
        <f t="shared" si="111"/>
        <v>0</v>
      </c>
      <c r="EP50" s="10">
        <f t="shared" si="112"/>
        <v>48.292200000000001</v>
      </c>
      <c r="EQ50" s="539">
        <f t="shared" si="113"/>
        <v>764.46552600000007</v>
      </c>
      <c r="ER50" s="19">
        <f t="shared" si="114"/>
        <v>0</v>
      </c>
      <c r="ES50" s="10">
        <f t="shared" si="115"/>
        <v>0</v>
      </c>
      <c r="ET50" s="10">
        <f t="shared" si="116"/>
        <v>48.292200000000001</v>
      </c>
      <c r="EU50" s="539">
        <f t="shared" si="117"/>
        <v>764.46552600000007</v>
      </c>
      <c r="EV50" s="19">
        <f t="shared" si="118"/>
        <v>0</v>
      </c>
      <c r="EW50" s="10">
        <f t="shared" si="119"/>
        <v>0</v>
      </c>
      <c r="EX50" s="10">
        <f t="shared" si="120"/>
        <v>48.292200000000001</v>
      </c>
      <c r="EY50" s="539">
        <f t="shared" si="121"/>
        <v>764.46552600000007</v>
      </c>
      <c r="EZ50" s="19">
        <f t="shared" si="122"/>
        <v>0</v>
      </c>
      <c r="FA50" s="10">
        <f t="shared" si="123"/>
        <v>0</v>
      </c>
      <c r="FB50" s="10">
        <f t="shared" si="124"/>
        <v>48.292200000000001</v>
      </c>
      <c r="FC50" s="539">
        <f t="shared" si="125"/>
        <v>764.46552600000007</v>
      </c>
      <c r="FD50" s="19">
        <f t="shared" si="126"/>
        <v>0</v>
      </c>
      <c r="FE50" s="10">
        <f t="shared" si="127"/>
        <v>0</v>
      </c>
      <c r="FF50" s="10">
        <f t="shared" si="128"/>
        <v>48.292200000000001</v>
      </c>
      <c r="FG50" s="539">
        <f t="shared" si="129"/>
        <v>764.46552600000007</v>
      </c>
      <c r="FH50" s="19">
        <f t="shared" si="130"/>
        <v>0</v>
      </c>
      <c r="FI50" s="10">
        <f t="shared" si="131"/>
        <v>0</v>
      </c>
      <c r="FJ50" s="10">
        <f t="shared" si="132"/>
        <v>48.292200000000001</v>
      </c>
      <c r="FK50" s="539">
        <f t="shared" si="133"/>
        <v>764.46552600000007</v>
      </c>
      <c r="FL50" s="19">
        <f t="shared" si="134"/>
        <v>0</v>
      </c>
      <c r="FM50" s="10">
        <f t="shared" si="135"/>
        <v>0</v>
      </c>
      <c r="FN50" s="10">
        <f t="shared" si="136"/>
        <v>48.292200000000001</v>
      </c>
      <c r="FO50" s="539">
        <f t="shared" si="137"/>
        <v>764.46552600000007</v>
      </c>
      <c r="FP50" s="19">
        <f t="shared" si="138"/>
        <v>0</v>
      </c>
      <c r="FQ50" s="10">
        <f t="shared" si="139"/>
        <v>0</v>
      </c>
      <c r="FR50" s="10">
        <f t="shared" si="140"/>
        <v>48.292200000000001</v>
      </c>
      <c r="FS50" s="539">
        <f t="shared" si="141"/>
        <v>764.46552600000007</v>
      </c>
      <c r="FT50" s="19">
        <f t="shared" si="142"/>
        <v>0</v>
      </c>
      <c r="FU50" s="10">
        <f t="shared" si="143"/>
        <v>0</v>
      </c>
      <c r="FV50" s="10">
        <f t="shared" si="144"/>
        <v>48.292200000000001</v>
      </c>
      <c r="FW50" s="539">
        <f t="shared" si="145"/>
        <v>764.46552600000007</v>
      </c>
      <c r="FX50" s="19">
        <f t="shared" si="146"/>
        <v>0</v>
      </c>
      <c r="FY50" s="10">
        <f t="shared" si="147"/>
        <v>0</v>
      </c>
      <c r="FZ50" s="10">
        <f t="shared" si="148"/>
        <v>48.292200000000001</v>
      </c>
      <c r="GA50" s="539">
        <f t="shared" si="149"/>
        <v>764.46552600000007</v>
      </c>
      <c r="GB50" s="19">
        <f t="shared" si="150"/>
        <v>0</v>
      </c>
      <c r="GC50" s="10">
        <f t="shared" si="151"/>
        <v>0</v>
      </c>
      <c r="GD50" s="10">
        <f t="shared" si="152"/>
        <v>48.292200000000001</v>
      </c>
      <c r="GE50" s="539">
        <f t="shared" si="153"/>
        <v>764.46552600000007</v>
      </c>
      <c r="GF50" s="19">
        <f t="shared" si="154"/>
        <v>0</v>
      </c>
      <c r="GG50" s="10">
        <f t="shared" si="155"/>
        <v>0</v>
      </c>
      <c r="GH50" s="10">
        <f t="shared" si="156"/>
        <v>48.292200000000001</v>
      </c>
      <c r="GI50" s="539">
        <f t="shared" si="157"/>
        <v>764.46552600000007</v>
      </c>
      <c r="GJ50" s="19">
        <f t="shared" si="158"/>
        <v>0</v>
      </c>
      <c r="GK50" s="10">
        <f t="shared" si="159"/>
        <v>0</v>
      </c>
      <c r="GL50" s="10">
        <f t="shared" si="160"/>
        <v>48.292200000000001</v>
      </c>
      <c r="GM50" s="539">
        <f t="shared" si="161"/>
        <v>764.46552600000007</v>
      </c>
      <c r="GN50" s="19">
        <f t="shared" si="162"/>
        <v>0</v>
      </c>
      <c r="GO50" s="10">
        <f t="shared" si="163"/>
        <v>0</v>
      </c>
      <c r="GP50" s="10">
        <f t="shared" si="164"/>
        <v>48.292200000000001</v>
      </c>
      <c r="GQ50" s="539">
        <f t="shared" si="165"/>
        <v>764.46552600000007</v>
      </c>
      <c r="GR50" s="19">
        <f t="shared" si="166"/>
        <v>0</v>
      </c>
      <c r="GS50" s="10">
        <f t="shared" si="167"/>
        <v>0</v>
      </c>
      <c r="GT50" s="10">
        <f t="shared" si="168"/>
        <v>48.292200000000001</v>
      </c>
      <c r="GU50" s="539">
        <f t="shared" si="169"/>
        <v>764.46552600000007</v>
      </c>
      <c r="GV50" s="19">
        <f t="shared" si="170"/>
        <v>0</v>
      </c>
      <c r="GW50" s="10">
        <f t="shared" si="171"/>
        <v>0</v>
      </c>
      <c r="GX50" s="10">
        <f t="shared" si="172"/>
        <v>48.292200000000001</v>
      </c>
      <c r="GY50" s="539">
        <f t="shared" si="173"/>
        <v>764.46552600000007</v>
      </c>
      <c r="GZ50" s="19">
        <f t="shared" si="174"/>
        <v>0</v>
      </c>
      <c r="HA50" s="10">
        <f t="shared" si="175"/>
        <v>0</v>
      </c>
      <c r="HB50" s="10">
        <f t="shared" si="176"/>
        <v>48.292200000000001</v>
      </c>
      <c r="HC50" s="539">
        <f t="shared" si="177"/>
        <v>764.46552600000007</v>
      </c>
      <c r="HD50" s="19">
        <f t="shared" si="178"/>
        <v>0</v>
      </c>
      <c r="HE50" s="10">
        <f t="shared" si="179"/>
        <v>0</v>
      </c>
      <c r="HF50" s="10">
        <f t="shared" si="180"/>
        <v>48.292200000000001</v>
      </c>
      <c r="HG50" s="539">
        <f t="shared" si="181"/>
        <v>764.46552600000007</v>
      </c>
      <c r="HH50" s="19">
        <f t="shared" si="182"/>
        <v>0</v>
      </c>
      <c r="HI50" s="10">
        <f t="shared" si="183"/>
        <v>0</v>
      </c>
      <c r="HJ50" s="10">
        <f t="shared" si="184"/>
        <v>48.292200000000001</v>
      </c>
      <c r="HK50" s="539">
        <f t="shared" si="185"/>
        <v>764.46552600000007</v>
      </c>
      <c r="HL50" s="19">
        <f t="shared" si="186"/>
        <v>0</v>
      </c>
      <c r="HM50" s="10">
        <f t="shared" si="187"/>
        <v>0</v>
      </c>
      <c r="HN50" s="10">
        <f t="shared" si="188"/>
        <v>48.292200000000001</v>
      </c>
      <c r="HO50" s="539">
        <f t="shared" si="189"/>
        <v>764.46552600000007</v>
      </c>
      <c r="HP50" s="19">
        <f t="shared" si="190"/>
        <v>0</v>
      </c>
      <c r="HQ50" s="10">
        <f t="shared" si="191"/>
        <v>0</v>
      </c>
      <c r="HR50" s="10">
        <f t="shared" si="192"/>
        <v>48.292200000000001</v>
      </c>
      <c r="HS50" s="539">
        <f t="shared" si="193"/>
        <v>764.46552600000007</v>
      </c>
      <c r="HT50" s="19">
        <f t="shared" si="194"/>
        <v>0</v>
      </c>
      <c r="HU50" s="10">
        <f t="shared" si="195"/>
        <v>0</v>
      </c>
      <c r="HV50" s="10">
        <f t="shared" si="196"/>
        <v>48.292200000000001</v>
      </c>
      <c r="HW50" s="539">
        <f t="shared" si="197"/>
        <v>764.46552600000007</v>
      </c>
      <c r="HX50" s="19">
        <f t="shared" si="198"/>
        <v>0</v>
      </c>
      <c r="HY50" s="10">
        <f t="shared" si="199"/>
        <v>0</v>
      </c>
      <c r="HZ50" s="10">
        <f t="shared" si="200"/>
        <v>48.292200000000001</v>
      </c>
      <c r="IA50" s="539">
        <f t="shared" si="201"/>
        <v>764.46552600000007</v>
      </c>
      <c r="IB50" s="19">
        <f t="shared" si="202"/>
        <v>0</v>
      </c>
      <c r="IF50" s="224" t="s">
        <v>1310</v>
      </c>
      <c r="IG50" s="420">
        <v>1</v>
      </c>
      <c r="IH50" s="19">
        <f>IL18</f>
        <v>13.523611111111112</v>
      </c>
      <c r="II50" s="420" t="str">
        <f>IL19</f>
        <v>Overvalued</v>
      </c>
      <c r="IJ50" s="236">
        <f t="shared" si="350"/>
        <v>14</v>
      </c>
      <c r="IP50" s="11">
        <v>9</v>
      </c>
      <c r="IQ50" s="19">
        <f t="shared" si="358"/>
        <v>17.616291842755597</v>
      </c>
      <c r="IR50" s="20">
        <f t="shared" si="351"/>
        <v>7.4710274150672777</v>
      </c>
      <c r="JC50" s="11"/>
    </row>
    <row r="51" spans="1:263">
      <c r="A51" s="510"/>
      <c r="B51" s="9"/>
      <c r="C51" s="177" t="s">
        <v>2342</v>
      </c>
      <c r="D51" s="47" t="s">
        <v>511</v>
      </c>
      <c r="E51" s="396">
        <f t="shared" si="333"/>
        <v>93</v>
      </c>
      <c r="F51" s="242">
        <v>16</v>
      </c>
      <c r="G51" s="48">
        <f>'Update Stock Prices'!S51</f>
        <v>650602409.63855422</v>
      </c>
      <c r="H51" s="991">
        <f t="shared" si="27"/>
        <v>2.4592592592592594E-8</v>
      </c>
      <c r="I51" s="49">
        <f>'Update Stock Prices'!D51</f>
        <v>4.1500000000000004</v>
      </c>
      <c r="J51" s="49">
        <f t="shared" si="1"/>
        <v>66.400000000000006</v>
      </c>
      <c r="K51" s="30">
        <v>46.54</v>
      </c>
      <c r="L51" s="49">
        <f t="shared" si="28"/>
        <v>19.860000000000007</v>
      </c>
      <c r="M51" s="50">
        <f t="shared" si="29"/>
        <v>0.42672969488611961</v>
      </c>
      <c r="N51" s="49">
        <f t="shared" si="30"/>
        <v>2.9087499999999999</v>
      </c>
      <c r="O51" s="48">
        <f t="shared" si="334"/>
        <v>77</v>
      </c>
      <c r="P51" s="49">
        <f>IF(($B$11-$B$12)-(O51*I51)&lt;0,0,($B$11-$B$12)-(O51*I51))</f>
        <v>1.4599999999999795</v>
      </c>
      <c r="Q51" s="30">
        <v>0</v>
      </c>
      <c r="R51" s="49">
        <f>S51/365.25</f>
        <v>0</v>
      </c>
      <c r="S51" s="49">
        <f t="shared" si="335"/>
        <v>0</v>
      </c>
      <c r="T51" s="49">
        <f>S51/12</f>
        <v>0</v>
      </c>
      <c r="U51" s="49"/>
      <c r="V51" s="50">
        <f t="shared" si="336"/>
        <v>0</v>
      </c>
      <c r="W51" s="50">
        <f t="shared" si="7"/>
        <v>0</v>
      </c>
      <c r="X51" s="49">
        <f t="shared" si="345"/>
        <v>0</v>
      </c>
      <c r="Y51" s="49">
        <f t="shared" si="32"/>
        <v>0</v>
      </c>
      <c r="Z51" s="860">
        <f t="shared" si="337"/>
        <v>0</v>
      </c>
      <c r="AA51" s="860" t="str">
        <f t="shared" si="338"/>
        <v/>
      </c>
      <c r="AB51" s="49" t="str">
        <f t="shared" si="339"/>
        <v/>
      </c>
      <c r="AC51" s="48">
        <v>1</v>
      </c>
      <c r="AD51" s="47" t="str">
        <f t="shared" si="340"/>
        <v>FMCC</v>
      </c>
      <c r="AE51" s="49">
        <f t="shared" si="341"/>
        <v>66.400000000000006</v>
      </c>
      <c r="AF51" s="50" t="e">
        <f t="shared" si="310"/>
        <v>#REF!</v>
      </c>
      <c r="AG51" s="890" t="e">
        <f t="shared" si="332"/>
        <v>#REF!</v>
      </c>
      <c r="AH51" s="207" t="s">
        <v>510</v>
      </c>
      <c r="AI51" s="240">
        <f t="shared" si="312"/>
        <v>1.0008857153685836E-2</v>
      </c>
      <c r="AJ51" s="11">
        <f t="shared" si="33"/>
        <v>4</v>
      </c>
      <c r="AK51" s="11"/>
      <c r="AL51" s="11"/>
      <c r="AM51" s="11"/>
      <c r="AN51" s="11"/>
      <c r="AO51" s="11"/>
      <c r="AP51" s="11">
        <v>1</v>
      </c>
      <c r="AQ51" s="11" t="str">
        <f>'Update Stock Prices'!Q51</f>
        <v>mid</v>
      </c>
      <c r="AR51" s="11"/>
      <c r="AS51" s="11"/>
      <c r="AT51" s="176"/>
      <c r="AV51" s="836" t="s">
        <v>1706</v>
      </c>
      <c r="AW51" s="533" t="s">
        <v>1706</v>
      </c>
      <c r="AX51" s="420">
        <f t="shared" si="314"/>
        <v>84</v>
      </c>
      <c r="AY51" s="19">
        <f t="shared" si="293"/>
        <v>4702.3876190226201</v>
      </c>
      <c r="AZ51" s="19">
        <f t="shared" si="291"/>
        <v>391.86563491855168</v>
      </c>
      <c r="BA51" s="19">
        <f t="shared" si="292"/>
        <v>12.874435644141329</v>
      </c>
      <c r="BB51" s="234">
        <f t="shared" si="294"/>
        <v>116243.02194223917</v>
      </c>
      <c r="BC51" s="19"/>
      <c r="BE51" s="74"/>
      <c r="BF51" s="74"/>
      <c r="BS51" s="420" t="str">
        <f t="shared" si="37"/>
        <v>FMCC</v>
      </c>
      <c r="BT51" s="425">
        <f t="shared" si="38"/>
        <v>16</v>
      </c>
      <c r="BU51" s="19">
        <f t="shared" si="39"/>
        <v>4.1500000000000004</v>
      </c>
      <c r="BV51" s="19">
        <f t="shared" si="40"/>
        <v>66.400000000000006</v>
      </c>
      <c r="BW51" s="539">
        <f t="shared" si="41"/>
        <v>0</v>
      </c>
      <c r="BX51" s="19">
        <f t="shared" si="42"/>
        <v>0</v>
      </c>
      <c r="BY51" s="10">
        <f t="shared" si="43"/>
        <v>0</v>
      </c>
      <c r="BZ51" s="10">
        <f t="shared" si="44"/>
        <v>16</v>
      </c>
      <c r="CA51" s="539">
        <f t="shared" si="45"/>
        <v>66.400000000000006</v>
      </c>
      <c r="CB51" s="19">
        <f t="shared" si="46"/>
        <v>0</v>
      </c>
      <c r="CC51" s="10">
        <f t="shared" si="47"/>
        <v>0</v>
      </c>
      <c r="CD51" s="10">
        <f t="shared" si="48"/>
        <v>16</v>
      </c>
      <c r="CE51" s="539">
        <f t="shared" si="49"/>
        <v>66.400000000000006</v>
      </c>
      <c r="CF51" s="19">
        <f t="shared" si="50"/>
        <v>0</v>
      </c>
      <c r="CG51" s="10">
        <f t="shared" si="51"/>
        <v>0</v>
      </c>
      <c r="CH51" s="10">
        <f t="shared" si="52"/>
        <v>16</v>
      </c>
      <c r="CI51" s="539">
        <f t="shared" si="53"/>
        <v>66.400000000000006</v>
      </c>
      <c r="CJ51" s="19">
        <f t="shared" si="54"/>
        <v>0</v>
      </c>
      <c r="CK51" s="10">
        <f t="shared" si="55"/>
        <v>0</v>
      </c>
      <c r="CL51" s="10">
        <f t="shared" si="56"/>
        <v>16</v>
      </c>
      <c r="CM51" s="539">
        <f t="shared" si="57"/>
        <v>66.400000000000006</v>
      </c>
      <c r="CN51" s="19">
        <f t="shared" si="58"/>
        <v>0</v>
      </c>
      <c r="CO51" s="10">
        <f t="shared" si="59"/>
        <v>0</v>
      </c>
      <c r="CP51" s="10">
        <f t="shared" si="60"/>
        <v>16</v>
      </c>
      <c r="CQ51" s="539">
        <f t="shared" si="61"/>
        <v>66.400000000000006</v>
      </c>
      <c r="CR51" s="19">
        <f t="shared" si="62"/>
        <v>0</v>
      </c>
      <c r="CS51" s="10">
        <f t="shared" si="63"/>
        <v>0</v>
      </c>
      <c r="CT51" s="10">
        <f t="shared" si="64"/>
        <v>16</v>
      </c>
      <c r="CU51" s="539">
        <f t="shared" si="65"/>
        <v>66.400000000000006</v>
      </c>
      <c r="CV51" s="19">
        <f t="shared" si="66"/>
        <v>0</v>
      </c>
      <c r="CW51" s="10">
        <f t="shared" si="67"/>
        <v>0</v>
      </c>
      <c r="CX51" s="10">
        <f t="shared" si="68"/>
        <v>16</v>
      </c>
      <c r="CY51" s="539">
        <f t="shared" si="69"/>
        <v>66.400000000000006</v>
      </c>
      <c r="CZ51" s="19">
        <f t="shared" si="70"/>
        <v>0</v>
      </c>
      <c r="DA51" s="10">
        <f t="shared" si="71"/>
        <v>0</v>
      </c>
      <c r="DB51" s="10">
        <f t="shared" si="72"/>
        <v>16</v>
      </c>
      <c r="DC51" s="539">
        <f t="shared" si="73"/>
        <v>66.400000000000006</v>
      </c>
      <c r="DD51" s="19">
        <f t="shared" si="74"/>
        <v>0</v>
      </c>
      <c r="DE51" s="10">
        <f t="shared" si="75"/>
        <v>0</v>
      </c>
      <c r="DF51" s="10">
        <f t="shared" si="76"/>
        <v>16</v>
      </c>
      <c r="DG51" s="539">
        <f t="shared" si="77"/>
        <v>66.400000000000006</v>
      </c>
      <c r="DH51" s="19">
        <f t="shared" si="78"/>
        <v>0</v>
      </c>
      <c r="DI51" s="10">
        <f t="shared" si="79"/>
        <v>0</v>
      </c>
      <c r="DJ51" s="10">
        <f t="shared" si="80"/>
        <v>16</v>
      </c>
      <c r="DK51" s="539">
        <f t="shared" si="81"/>
        <v>66.400000000000006</v>
      </c>
      <c r="DL51" s="19">
        <f t="shared" si="82"/>
        <v>0</v>
      </c>
      <c r="DM51" s="10">
        <f t="shared" si="83"/>
        <v>0</v>
      </c>
      <c r="DN51" s="10">
        <f t="shared" si="84"/>
        <v>16</v>
      </c>
      <c r="DO51" s="539">
        <f t="shared" si="85"/>
        <v>66.400000000000006</v>
      </c>
      <c r="DP51" s="19">
        <f t="shared" si="86"/>
        <v>0</v>
      </c>
      <c r="DQ51" s="10">
        <f t="shared" si="87"/>
        <v>0</v>
      </c>
      <c r="DR51" s="10">
        <f t="shared" si="88"/>
        <v>16</v>
      </c>
      <c r="DS51" s="539">
        <f t="shared" si="89"/>
        <v>66.400000000000006</v>
      </c>
      <c r="DT51" s="19">
        <f t="shared" si="90"/>
        <v>0</v>
      </c>
      <c r="DU51" s="10">
        <f t="shared" si="91"/>
        <v>0</v>
      </c>
      <c r="DV51" s="10">
        <f t="shared" si="92"/>
        <v>16</v>
      </c>
      <c r="DW51" s="539">
        <f t="shared" si="93"/>
        <v>66.400000000000006</v>
      </c>
      <c r="DX51" s="19">
        <f t="shared" si="94"/>
        <v>0</v>
      </c>
      <c r="DY51" s="10">
        <f t="shared" si="95"/>
        <v>0</v>
      </c>
      <c r="DZ51" s="10">
        <f t="shared" si="96"/>
        <v>16</v>
      </c>
      <c r="EA51" s="539">
        <f t="shared" si="97"/>
        <v>66.400000000000006</v>
      </c>
      <c r="EB51" s="19">
        <f t="shared" si="98"/>
        <v>0</v>
      </c>
      <c r="EC51" s="10">
        <f t="shared" si="99"/>
        <v>0</v>
      </c>
      <c r="ED51" s="10">
        <f t="shared" si="100"/>
        <v>16</v>
      </c>
      <c r="EE51" s="539">
        <f t="shared" si="101"/>
        <v>66.400000000000006</v>
      </c>
      <c r="EF51" s="19">
        <f t="shared" si="102"/>
        <v>0</v>
      </c>
      <c r="EG51" s="10">
        <f t="shared" si="103"/>
        <v>0</v>
      </c>
      <c r="EH51" s="10">
        <f t="shared" si="104"/>
        <v>16</v>
      </c>
      <c r="EI51" s="539">
        <f t="shared" si="105"/>
        <v>66.400000000000006</v>
      </c>
      <c r="EJ51" s="19">
        <f t="shared" si="106"/>
        <v>0</v>
      </c>
      <c r="EK51" s="10">
        <f t="shared" si="107"/>
        <v>0</v>
      </c>
      <c r="EL51" s="10">
        <f t="shared" si="108"/>
        <v>16</v>
      </c>
      <c r="EM51" s="539">
        <f t="shared" si="109"/>
        <v>66.400000000000006</v>
      </c>
      <c r="EN51" s="19">
        <f t="shared" si="110"/>
        <v>0</v>
      </c>
      <c r="EO51" s="10">
        <f t="shared" si="111"/>
        <v>0</v>
      </c>
      <c r="EP51" s="10">
        <f t="shared" si="112"/>
        <v>16</v>
      </c>
      <c r="EQ51" s="539">
        <f t="shared" si="113"/>
        <v>66.400000000000006</v>
      </c>
      <c r="ER51" s="19">
        <f t="shared" si="114"/>
        <v>0</v>
      </c>
      <c r="ES51" s="10">
        <f t="shared" si="115"/>
        <v>0</v>
      </c>
      <c r="ET51" s="10">
        <f t="shared" si="116"/>
        <v>16</v>
      </c>
      <c r="EU51" s="539">
        <f t="shared" si="117"/>
        <v>66.400000000000006</v>
      </c>
      <c r="EV51" s="19">
        <f t="shared" si="118"/>
        <v>0</v>
      </c>
      <c r="EW51" s="10">
        <f t="shared" si="119"/>
        <v>0</v>
      </c>
      <c r="EX51" s="10">
        <f t="shared" si="120"/>
        <v>16</v>
      </c>
      <c r="EY51" s="539">
        <f t="shared" si="121"/>
        <v>66.400000000000006</v>
      </c>
      <c r="EZ51" s="19">
        <f t="shared" si="122"/>
        <v>0</v>
      </c>
      <c r="FA51" s="10">
        <f t="shared" si="123"/>
        <v>0</v>
      </c>
      <c r="FB51" s="10">
        <f t="shared" si="124"/>
        <v>16</v>
      </c>
      <c r="FC51" s="539">
        <f t="shared" si="125"/>
        <v>66.400000000000006</v>
      </c>
      <c r="FD51" s="19">
        <f t="shared" si="126"/>
        <v>0</v>
      </c>
      <c r="FE51" s="10">
        <f t="shared" si="127"/>
        <v>0</v>
      </c>
      <c r="FF51" s="10">
        <f t="shared" si="128"/>
        <v>16</v>
      </c>
      <c r="FG51" s="539">
        <f t="shared" si="129"/>
        <v>66.400000000000006</v>
      </c>
      <c r="FH51" s="19">
        <f t="shared" si="130"/>
        <v>0</v>
      </c>
      <c r="FI51" s="10">
        <f t="shared" si="131"/>
        <v>0</v>
      </c>
      <c r="FJ51" s="10">
        <f t="shared" si="132"/>
        <v>16</v>
      </c>
      <c r="FK51" s="539">
        <f t="shared" si="133"/>
        <v>66.400000000000006</v>
      </c>
      <c r="FL51" s="19">
        <f t="shared" si="134"/>
        <v>0</v>
      </c>
      <c r="FM51" s="10">
        <f t="shared" si="135"/>
        <v>0</v>
      </c>
      <c r="FN51" s="10">
        <f t="shared" si="136"/>
        <v>16</v>
      </c>
      <c r="FO51" s="539">
        <f t="shared" si="137"/>
        <v>66.400000000000006</v>
      </c>
      <c r="FP51" s="19">
        <f t="shared" si="138"/>
        <v>0</v>
      </c>
      <c r="FQ51" s="10">
        <f t="shared" si="139"/>
        <v>0</v>
      </c>
      <c r="FR51" s="10">
        <f t="shared" si="140"/>
        <v>16</v>
      </c>
      <c r="FS51" s="539">
        <f t="shared" si="141"/>
        <v>66.400000000000006</v>
      </c>
      <c r="FT51" s="19">
        <f t="shared" si="142"/>
        <v>0</v>
      </c>
      <c r="FU51" s="10">
        <f t="shared" si="143"/>
        <v>0</v>
      </c>
      <c r="FV51" s="10">
        <f t="shared" si="144"/>
        <v>16</v>
      </c>
      <c r="FW51" s="539">
        <f t="shared" si="145"/>
        <v>66.400000000000006</v>
      </c>
      <c r="FX51" s="19">
        <f t="shared" si="146"/>
        <v>0</v>
      </c>
      <c r="FY51" s="10">
        <f t="shared" si="147"/>
        <v>0</v>
      </c>
      <c r="FZ51" s="10">
        <f t="shared" si="148"/>
        <v>16</v>
      </c>
      <c r="GA51" s="539">
        <f t="shared" si="149"/>
        <v>66.400000000000006</v>
      </c>
      <c r="GB51" s="19">
        <f t="shared" si="150"/>
        <v>0</v>
      </c>
      <c r="GC51" s="10">
        <f t="shared" si="151"/>
        <v>0</v>
      </c>
      <c r="GD51" s="10">
        <f t="shared" si="152"/>
        <v>16</v>
      </c>
      <c r="GE51" s="539">
        <f t="shared" si="153"/>
        <v>66.400000000000006</v>
      </c>
      <c r="GF51" s="19">
        <f t="shared" si="154"/>
        <v>0</v>
      </c>
      <c r="GG51" s="10">
        <f t="shared" si="155"/>
        <v>0</v>
      </c>
      <c r="GH51" s="10">
        <f t="shared" si="156"/>
        <v>16</v>
      </c>
      <c r="GI51" s="539">
        <f t="shared" si="157"/>
        <v>66.400000000000006</v>
      </c>
      <c r="GJ51" s="19">
        <f t="shared" si="158"/>
        <v>0</v>
      </c>
      <c r="GK51" s="10">
        <f t="shared" si="159"/>
        <v>0</v>
      </c>
      <c r="GL51" s="10">
        <f t="shared" si="160"/>
        <v>16</v>
      </c>
      <c r="GM51" s="539">
        <f t="shared" si="161"/>
        <v>66.400000000000006</v>
      </c>
      <c r="GN51" s="19">
        <f t="shared" si="162"/>
        <v>0</v>
      </c>
      <c r="GO51" s="10">
        <f t="shared" si="163"/>
        <v>0</v>
      </c>
      <c r="GP51" s="10">
        <f t="shared" si="164"/>
        <v>16</v>
      </c>
      <c r="GQ51" s="539">
        <f t="shared" si="165"/>
        <v>66.400000000000006</v>
      </c>
      <c r="GR51" s="19">
        <f t="shared" si="166"/>
        <v>0</v>
      </c>
      <c r="GS51" s="10">
        <f t="shared" si="167"/>
        <v>0</v>
      </c>
      <c r="GT51" s="10">
        <f t="shared" si="168"/>
        <v>16</v>
      </c>
      <c r="GU51" s="539">
        <f t="shared" si="169"/>
        <v>66.400000000000006</v>
      </c>
      <c r="GV51" s="19">
        <f t="shared" si="170"/>
        <v>0</v>
      </c>
      <c r="GW51" s="10">
        <f t="shared" si="171"/>
        <v>0</v>
      </c>
      <c r="GX51" s="10">
        <f t="shared" si="172"/>
        <v>16</v>
      </c>
      <c r="GY51" s="539">
        <f t="shared" si="173"/>
        <v>66.400000000000006</v>
      </c>
      <c r="GZ51" s="19">
        <f t="shared" si="174"/>
        <v>0</v>
      </c>
      <c r="HA51" s="10">
        <f t="shared" si="175"/>
        <v>0</v>
      </c>
      <c r="HB51" s="10">
        <f t="shared" si="176"/>
        <v>16</v>
      </c>
      <c r="HC51" s="539">
        <f t="shared" si="177"/>
        <v>66.400000000000006</v>
      </c>
      <c r="HD51" s="19">
        <f t="shared" si="178"/>
        <v>0</v>
      </c>
      <c r="HE51" s="10">
        <f t="shared" si="179"/>
        <v>0</v>
      </c>
      <c r="HF51" s="10">
        <f t="shared" si="180"/>
        <v>16</v>
      </c>
      <c r="HG51" s="539">
        <f t="shared" si="181"/>
        <v>66.400000000000006</v>
      </c>
      <c r="HH51" s="19">
        <f t="shared" si="182"/>
        <v>0</v>
      </c>
      <c r="HI51" s="10">
        <f t="shared" si="183"/>
        <v>0</v>
      </c>
      <c r="HJ51" s="10">
        <f t="shared" si="184"/>
        <v>16</v>
      </c>
      <c r="HK51" s="539">
        <f t="shared" si="185"/>
        <v>66.400000000000006</v>
      </c>
      <c r="HL51" s="19">
        <f t="shared" si="186"/>
        <v>0</v>
      </c>
      <c r="HM51" s="10">
        <f t="shared" si="187"/>
        <v>0</v>
      </c>
      <c r="HN51" s="10">
        <f t="shared" si="188"/>
        <v>16</v>
      </c>
      <c r="HO51" s="539">
        <f t="shared" si="189"/>
        <v>66.400000000000006</v>
      </c>
      <c r="HP51" s="19">
        <f t="shared" si="190"/>
        <v>0</v>
      </c>
      <c r="HQ51" s="10">
        <f t="shared" si="191"/>
        <v>0</v>
      </c>
      <c r="HR51" s="10">
        <f t="shared" si="192"/>
        <v>16</v>
      </c>
      <c r="HS51" s="539">
        <f t="shared" si="193"/>
        <v>66.400000000000006</v>
      </c>
      <c r="HT51" s="19">
        <f t="shared" si="194"/>
        <v>0</v>
      </c>
      <c r="HU51" s="10">
        <f t="shared" si="195"/>
        <v>0</v>
      </c>
      <c r="HV51" s="10">
        <f t="shared" si="196"/>
        <v>16</v>
      </c>
      <c r="HW51" s="539">
        <f t="shared" si="197"/>
        <v>66.400000000000006</v>
      </c>
      <c r="HX51" s="19">
        <f t="shared" si="198"/>
        <v>0</v>
      </c>
      <c r="HY51" s="10">
        <f t="shared" si="199"/>
        <v>0</v>
      </c>
      <c r="HZ51" s="10">
        <f t="shared" si="200"/>
        <v>16</v>
      </c>
      <c r="IA51" s="539">
        <f t="shared" si="201"/>
        <v>66.400000000000006</v>
      </c>
      <c r="IB51" s="19">
        <f t="shared" si="202"/>
        <v>0</v>
      </c>
      <c r="IF51" s="224" t="s">
        <v>1390</v>
      </c>
      <c r="IG51" s="420">
        <v>1</v>
      </c>
      <c r="IH51" s="19">
        <f>IM27</f>
        <v>72.916666666666714</v>
      </c>
      <c r="II51" s="420" t="str">
        <f>IM28</f>
        <v>Overvalued</v>
      </c>
      <c r="IJ51" s="236">
        <f t="shared" si="350"/>
        <v>10</v>
      </c>
      <c r="IP51" s="11">
        <v>10</v>
      </c>
      <c r="IQ51" s="19">
        <f t="shared" si="358"/>
        <v>19.025595190176045</v>
      </c>
      <c r="IR51" s="20">
        <f t="shared" si="351"/>
        <v>7.3351905529751447</v>
      </c>
      <c r="JC51" s="11"/>
    </row>
    <row r="52" spans="1:263">
      <c r="A52" s="443"/>
      <c r="B52" s="9"/>
      <c r="C52" s="1219" t="s">
        <v>2342</v>
      </c>
      <c r="D52" s="47" t="s">
        <v>512</v>
      </c>
      <c r="E52" s="396">
        <f t="shared" si="333"/>
        <v>91</v>
      </c>
      <c r="F52" s="242">
        <v>18</v>
      </c>
      <c r="G52" s="48">
        <f>'Update Stock Prices'!S52</f>
        <v>1157894736.8421052</v>
      </c>
      <c r="H52" s="991">
        <f t="shared" si="27"/>
        <v>1.5545454545454546E-8</v>
      </c>
      <c r="I52" s="49">
        <f>'Update Stock Prices'!D52</f>
        <v>4.37</v>
      </c>
      <c r="J52" s="49">
        <f t="shared" si="1"/>
        <v>78.66</v>
      </c>
      <c r="K52" s="30">
        <v>60.27</v>
      </c>
      <c r="L52" s="49">
        <f t="shared" si="28"/>
        <v>18.389999999999993</v>
      </c>
      <c r="M52" s="50">
        <f t="shared" si="29"/>
        <v>0.30512692882030851</v>
      </c>
      <c r="N52" s="49">
        <f t="shared" si="30"/>
        <v>3.3483333333333336</v>
      </c>
      <c r="O52" s="48">
        <f t="shared" si="334"/>
        <v>73</v>
      </c>
      <c r="P52" s="49">
        <f t="shared" si="342"/>
        <v>2</v>
      </c>
      <c r="Q52" s="30">
        <v>0</v>
      </c>
      <c r="R52" s="49">
        <f>S52/365.25</f>
        <v>0</v>
      </c>
      <c r="S52" s="49">
        <f t="shared" si="335"/>
        <v>0</v>
      </c>
      <c r="T52" s="49">
        <f>S52/12</f>
        <v>0</v>
      </c>
      <c r="U52" s="49"/>
      <c r="V52" s="50">
        <f t="shared" si="336"/>
        <v>0</v>
      </c>
      <c r="W52" s="50">
        <f t="shared" si="7"/>
        <v>0</v>
      </c>
      <c r="X52" s="49">
        <f t="shared" ref="X52:X59" si="376">12*((E52*Q52)/12-T52)</f>
        <v>0</v>
      </c>
      <c r="Y52" s="49">
        <f t="shared" si="32"/>
        <v>0</v>
      </c>
      <c r="Z52" s="860">
        <f t="shared" si="337"/>
        <v>0</v>
      </c>
      <c r="AA52" s="860" t="str">
        <f t="shared" si="338"/>
        <v/>
      </c>
      <c r="AB52" s="49" t="str">
        <f t="shared" si="339"/>
        <v/>
      </c>
      <c r="AC52" s="48">
        <v>1</v>
      </c>
      <c r="AD52" s="47" t="str">
        <f t="shared" si="340"/>
        <v>FNMA</v>
      </c>
      <c r="AE52" s="49">
        <f t="shared" si="341"/>
        <v>78.66</v>
      </c>
      <c r="AF52" s="50" t="e">
        <f t="shared" si="310"/>
        <v>#REF!</v>
      </c>
      <c r="AG52" s="890" t="e">
        <f t="shared" si="332"/>
        <v>#REF!</v>
      </c>
      <c r="AH52" s="207" t="s">
        <v>510</v>
      </c>
      <c r="AI52" s="240">
        <f t="shared" si="312"/>
        <v>1.4046114891889302E-2</v>
      </c>
      <c r="AJ52" s="11">
        <f t="shared" si="33"/>
        <v>4</v>
      </c>
      <c r="AK52" s="11"/>
      <c r="AL52" s="11"/>
      <c r="AM52" s="11"/>
      <c r="AN52" s="11"/>
      <c r="AO52" s="11"/>
      <c r="AP52" s="11">
        <v>1</v>
      </c>
      <c r="AQ52" s="11" t="str">
        <f>'Update Stock Prices'!Q52</f>
        <v>mid</v>
      </c>
      <c r="AR52" s="11"/>
      <c r="AS52" s="11"/>
      <c r="AT52" s="176"/>
      <c r="AV52" s="660" t="s">
        <v>1708</v>
      </c>
      <c r="AW52" s="236" t="s">
        <v>1708</v>
      </c>
      <c r="AX52" s="420">
        <f t="shared" si="314"/>
        <v>85</v>
      </c>
      <c r="AY52" s="19">
        <f t="shared" si="293"/>
        <v>4649.7208776895668</v>
      </c>
      <c r="AZ52" s="19">
        <f t="shared" si="291"/>
        <v>387.4767398074639</v>
      </c>
      <c r="BA52" s="19">
        <f t="shared" si="292"/>
        <v>12.730241964926945</v>
      </c>
      <c r="BB52" s="234">
        <f t="shared" si="294"/>
        <v>114941.10009648609</v>
      </c>
      <c r="BC52" s="19"/>
      <c r="BE52" s="74"/>
      <c r="BF52" s="74"/>
      <c r="BS52" s="420" t="str">
        <f t="shared" si="37"/>
        <v>FNMA</v>
      </c>
      <c r="BT52" s="425">
        <f t="shared" si="38"/>
        <v>18</v>
      </c>
      <c r="BU52" s="19">
        <f t="shared" si="39"/>
        <v>4.37</v>
      </c>
      <c r="BV52" s="19">
        <f t="shared" si="40"/>
        <v>78.66</v>
      </c>
      <c r="BW52" s="539">
        <f t="shared" si="41"/>
        <v>0</v>
      </c>
      <c r="BX52" s="19">
        <f t="shared" si="42"/>
        <v>0</v>
      </c>
      <c r="BY52" s="10">
        <f t="shared" si="43"/>
        <v>0</v>
      </c>
      <c r="BZ52" s="10">
        <f t="shared" si="44"/>
        <v>18</v>
      </c>
      <c r="CA52" s="539">
        <f t="shared" si="45"/>
        <v>78.66</v>
      </c>
      <c r="CB52" s="19">
        <f t="shared" si="46"/>
        <v>0</v>
      </c>
      <c r="CC52" s="10">
        <f t="shared" si="47"/>
        <v>0</v>
      </c>
      <c r="CD52" s="10">
        <f t="shared" si="48"/>
        <v>18</v>
      </c>
      <c r="CE52" s="539">
        <f t="shared" si="49"/>
        <v>78.66</v>
      </c>
      <c r="CF52" s="19">
        <f t="shared" si="50"/>
        <v>0</v>
      </c>
      <c r="CG52" s="10">
        <f t="shared" si="51"/>
        <v>0</v>
      </c>
      <c r="CH52" s="10">
        <f t="shared" si="52"/>
        <v>18</v>
      </c>
      <c r="CI52" s="539">
        <f t="shared" si="53"/>
        <v>78.66</v>
      </c>
      <c r="CJ52" s="19">
        <f t="shared" si="54"/>
        <v>0</v>
      </c>
      <c r="CK52" s="10">
        <f t="shared" si="55"/>
        <v>0</v>
      </c>
      <c r="CL52" s="10">
        <f t="shared" si="56"/>
        <v>18</v>
      </c>
      <c r="CM52" s="539">
        <f t="shared" si="57"/>
        <v>78.66</v>
      </c>
      <c r="CN52" s="19">
        <f t="shared" si="58"/>
        <v>0</v>
      </c>
      <c r="CO52" s="10">
        <f t="shared" si="59"/>
        <v>0</v>
      </c>
      <c r="CP52" s="10">
        <f t="shared" si="60"/>
        <v>18</v>
      </c>
      <c r="CQ52" s="539">
        <f t="shared" si="61"/>
        <v>78.66</v>
      </c>
      <c r="CR52" s="19">
        <f t="shared" si="62"/>
        <v>0</v>
      </c>
      <c r="CS52" s="10">
        <f t="shared" si="63"/>
        <v>0</v>
      </c>
      <c r="CT52" s="10">
        <f t="shared" si="64"/>
        <v>18</v>
      </c>
      <c r="CU52" s="539">
        <f t="shared" si="65"/>
        <v>78.66</v>
      </c>
      <c r="CV52" s="19">
        <f t="shared" si="66"/>
        <v>0</v>
      </c>
      <c r="CW52" s="10">
        <f t="shared" si="67"/>
        <v>0</v>
      </c>
      <c r="CX52" s="10">
        <f t="shared" si="68"/>
        <v>18</v>
      </c>
      <c r="CY52" s="539">
        <f t="shared" si="69"/>
        <v>78.66</v>
      </c>
      <c r="CZ52" s="19">
        <f t="shared" si="70"/>
        <v>0</v>
      </c>
      <c r="DA52" s="10">
        <f t="shared" si="71"/>
        <v>0</v>
      </c>
      <c r="DB52" s="10">
        <f t="shared" si="72"/>
        <v>18</v>
      </c>
      <c r="DC52" s="539">
        <f t="shared" si="73"/>
        <v>78.66</v>
      </c>
      <c r="DD52" s="19">
        <f t="shared" si="74"/>
        <v>0</v>
      </c>
      <c r="DE52" s="10">
        <f t="shared" si="75"/>
        <v>0</v>
      </c>
      <c r="DF52" s="10">
        <f t="shared" si="76"/>
        <v>18</v>
      </c>
      <c r="DG52" s="539">
        <f t="shared" si="77"/>
        <v>78.66</v>
      </c>
      <c r="DH52" s="19">
        <f t="shared" si="78"/>
        <v>0</v>
      </c>
      <c r="DI52" s="10">
        <f t="shared" si="79"/>
        <v>0</v>
      </c>
      <c r="DJ52" s="10">
        <f t="shared" si="80"/>
        <v>18</v>
      </c>
      <c r="DK52" s="539">
        <f t="shared" si="81"/>
        <v>78.66</v>
      </c>
      <c r="DL52" s="19">
        <f t="shared" si="82"/>
        <v>0</v>
      </c>
      <c r="DM52" s="10">
        <f t="shared" si="83"/>
        <v>0</v>
      </c>
      <c r="DN52" s="10">
        <f t="shared" si="84"/>
        <v>18</v>
      </c>
      <c r="DO52" s="539">
        <f t="shared" si="85"/>
        <v>78.66</v>
      </c>
      <c r="DP52" s="19">
        <f t="shared" si="86"/>
        <v>0</v>
      </c>
      <c r="DQ52" s="10">
        <f t="shared" si="87"/>
        <v>0</v>
      </c>
      <c r="DR52" s="10">
        <f t="shared" si="88"/>
        <v>18</v>
      </c>
      <c r="DS52" s="539">
        <f t="shared" si="89"/>
        <v>78.66</v>
      </c>
      <c r="DT52" s="19">
        <f t="shared" si="90"/>
        <v>0</v>
      </c>
      <c r="DU52" s="10">
        <f t="shared" si="91"/>
        <v>0</v>
      </c>
      <c r="DV52" s="10">
        <f t="shared" si="92"/>
        <v>18</v>
      </c>
      <c r="DW52" s="539">
        <f t="shared" si="93"/>
        <v>78.66</v>
      </c>
      <c r="DX52" s="19">
        <f t="shared" si="94"/>
        <v>0</v>
      </c>
      <c r="DY52" s="10">
        <f t="shared" si="95"/>
        <v>0</v>
      </c>
      <c r="DZ52" s="10">
        <f t="shared" si="96"/>
        <v>18</v>
      </c>
      <c r="EA52" s="539">
        <f t="shared" si="97"/>
        <v>78.66</v>
      </c>
      <c r="EB52" s="19">
        <f t="shared" si="98"/>
        <v>0</v>
      </c>
      <c r="EC52" s="10">
        <f t="shared" si="99"/>
        <v>0</v>
      </c>
      <c r="ED52" s="10">
        <f t="shared" si="100"/>
        <v>18</v>
      </c>
      <c r="EE52" s="539">
        <f t="shared" si="101"/>
        <v>78.66</v>
      </c>
      <c r="EF52" s="19">
        <f t="shared" si="102"/>
        <v>0</v>
      </c>
      <c r="EG52" s="10">
        <f t="shared" si="103"/>
        <v>0</v>
      </c>
      <c r="EH52" s="10">
        <f t="shared" si="104"/>
        <v>18</v>
      </c>
      <c r="EI52" s="539">
        <f t="shared" si="105"/>
        <v>78.66</v>
      </c>
      <c r="EJ52" s="19">
        <f t="shared" si="106"/>
        <v>0</v>
      </c>
      <c r="EK52" s="10">
        <f t="shared" si="107"/>
        <v>0</v>
      </c>
      <c r="EL52" s="10">
        <f t="shared" si="108"/>
        <v>18</v>
      </c>
      <c r="EM52" s="539">
        <f t="shared" si="109"/>
        <v>78.66</v>
      </c>
      <c r="EN52" s="19">
        <f t="shared" si="110"/>
        <v>0</v>
      </c>
      <c r="EO52" s="10">
        <f t="shared" si="111"/>
        <v>0</v>
      </c>
      <c r="EP52" s="10">
        <f t="shared" si="112"/>
        <v>18</v>
      </c>
      <c r="EQ52" s="539">
        <f t="shared" si="113"/>
        <v>78.66</v>
      </c>
      <c r="ER52" s="19">
        <f t="shared" si="114"/>
        <v>0</v>
      </c>
      <c r="ES52" s="10">
        <f t="shared" si="115"/>
        <v>0</v>
      </c>
      <c r="ET52" s="10">
        <f t="shared" si="116"/>
        <v>18</v>
      </c>
      <c r="EU52" s="539">
        <f t="shared" si="117"/>
        <v>78.66</v>
      </c>
      <c r="EV52" s="19">
        <f t="shared" si="118"/>
        <v>0</v>
      </c>
      <c r="EW52" s="10">
        <f t="shared" si="119"/>
        <v>0</v>
      </c>
      <c r="EX52" s="10">
        <f t="shared" si="120"/>
        <v>18</v>
      </c>
      <c r="EY52" s="539">
        <f t="shared" si="121"/>
        <v>78.66</v>
      </c>
      <c r="EZ52" s="19">
        <f t="shared" si="122"/>
        <v>0</v>
      </c>
      <c r="FA52" s="10">
        <f t="shared" si="123"/>
        <v>0</v>
      </c>
      <c r="FB52" s="10">
        <f t="shared" si="124"/>
        <v>18</v>
      </c>
      <c r="FC52" s="539">
        <f t="shared" si="125"/>
        <v>78.66</v>
      </c>
      <c r="FD52" s="19">
        <f t="shared" si="126"/>
        <v>0</v>
      </c>
      <c r="FE52" s="10">
        <f t="shared" si="127"/>
        <v>0</v>
      </c>
      <c r="FF52" s="10">
        <f t="shared" si="128"/>
        <v>18</v>
      </c>
      <c r="FG52" s="539">
        <f t="shared" si="129"/>
        <v>78.66</v>
      </c>
      <c r="FH52" s="19">
        <f t="shared" si="130"/>
        <v>0</v>
      </c>
      <c r="FI52" s="10">
        <f t="shared" si="131"/>
        <v>0</v>
      </c>
      <c r="FJ52" s="10">
        <f t="shared" si="132"/>
        <v>18</v>
      </c>
      <c r="FK52" s="539">
        <f t="shared" si="133"/>
        <v>78.66</v>
      </c>
      <c r="FL52" s="19">
        <f t="shared" si="134"/>
        <v>0</v>
      </c>
      <c r="FM52" s="10">
        <f t="shared" si="135"/>
        <v>0</v>
      </c>
      <c r="FN52" s="10">
        <f t="shared" si="136"/>
        <v>18</v>
      </c>
      <c r="FO52" s="539">
        <f t="shared" si="137"/>
        <v>78.66</v>
      </c>
      <c r="FP52" s="19">
        <f t="shared" si="138"/>
        <v>0</v>
      </c>
      <c r="FQ52" s="10">
        <f t="shared" si="139"/>
        <v>0</v>
      </c>
      <c r="FR52" s="10">
        <f t="shared" si="140"/>
        <v>18</v>
      </c>
      <c r="FS52" s="539">
        <f t="shared" si="141"/>
        <v>78.66</v>
      </c>
      <c r="FT52" s="19">
        <f t="shared" si="142"/>
        <v>0</v>
      </c>
      <c r="FU52" s="10">
        <f t="shared" si="143"/>
        <v>0</v>
      </c>
      <c r="FV52" s="10">
        <f t="shared" si="144"/>
        <v>18</v>
      </c>
      <c r="FW52" s="539">
        <f t="shared" si="145"/>
        <v>78.66</v>
      </c>
      <c r="FX52" s="19">
        <f t="shared" si="146"/>
        <v>0</v>
      </c>
      <c r="FY52" s="10">
        <f t="shared" si="147"/>
        <v>0</v>
      </c>
      <c r="FZ52" s="10">
        <f t="shared" si="148"/>
        <v>18</v>
      </c>
      <c r="GA52" s="539">
        <f t="shared" si="149"/>
        <v>78.66</v>
      </c>
      <c r="GB52" s="19">
        <f t="shared" si="150"/>
        <v>0</v>
      </c>
      <c r="GC52" s="10">
        <f t="shared" si="151"/>
        <v>0</v>
      </c>
      <c r="GD52" s="10">
        <f t="shared" si="152"/>
        <v>18</v>
      </c>
      <c r="GE52" s="539">
        <f t="shared" si="153"/>
        <v>78.66</v>
      </c>
      <c r="GF52" s="19">
        <f t="shared" si="154"/>
        <v>0</v>
      </c>
      <c r="GG52" s="10">
        <f t="shared" si="155"/>
        <v>0</v>
      </c>
      <c r="GH52" s="10">
        <f t="shared" si="156"/>
        <v>18</v>
      </c>
      <c r="GI52" s="539">
        <f t="shared" si="157"/>
        <v>78.66</v>
      </c>
      <c r="GJ52" s="19">
        <f t="shared" si="158"/>
        <v>0</v>
      </c>
      <c r="GK52" s="10">
        <f t="shared" si="159"/>
        <v>0</v>
      </c>
      <c r="GL52" s="10">
        <f t="shared" si="160"/>
        <v>18</v>
      </c>
      <c r="GM52" s="539">
        <f t="shared" si="161"/>
        <v>78.66</v>
      </c>
      <c r="GN52" s="19">
        <f t="shared" si="162"/>
        <v>0</v>
      </c>
      <c r="GO52" s="10">
        <f t="shared" si="163"/>
        <v>0</v>
      </c>
      <c r="GP52" s="10">
        <f t="shared" si="164"/>
        <v>18</v>
      </c>
      <c r="GQ52" s="539">
        <f t="shared" si="165"/>
        <v>78.66</v>
      </c>
      <c r="GR52" s="19">
        <f t="shared" si="166"/>
        <v>0</v>
      </c>
      <c r="GS52" s="10">
        <f t="shared" si="167"/>
        <v>0</v>
      </c>
      <c r="GT52" s="10">
        <f t="shared" si="168"/>
        <v>18</v>
      </c>
      <c r="GU52" s="539">
        <f t="shared" si="169"/>
        <v>78.66</v>
      </c>
      <c r="GV52" s="19">
        <f t="shared" si="170"/>
        <v>0</v>
      </c>
      <c r="GW52" s="10">
        <f t="shared" si="171"/>
        <v>0</v>
      </c>
      <c r="GX52" s="10">
        <f t="shared" si="172"/>
        <v>18</v>
      </c>
      <c r="GY52" s="539">
        <f t="shared" si="173"/>
        <v>78.66</v>
      </c>
      <c r="GZ52" s="19">
        <f t="shared" si="174"/>
        <v>0</v>
      </c>
      <c r="HA52" s="10">
        <f t="shared" si="175"/>
        <v>0</v>
      </c>
      <c r="HB52" s="10">
        <f t="shared" si="176"/>
        <v>18</v>
      </c>
      <c r="HC52" s="539">
        <f t="shared" si="177"/>
        <v>78.66</v>
      </c>
      <c r="HD52" s="19">
        <f t="shared" si="178"/>
        <v>0</v>
      </c>
      <c r="HE52" s="10">
        <f t="shared" si="179"/>
        <v>0</v>
      </c>
      <c r="HF52" s="10">
        <f t="shared" si="180"/>
        <v>18</v>
      </c>
      <c r="HG52" s="539">
        <f t="shared" si="181"/>
        <v>78.66</v>
      </c>
      <c r="HH52" s="19">
        <f t="shared" si="182"/>
        <v>0</v>
      </c>
      <c r="HI52" s="10">
        <f t="shared" si="183"/>
        <v>0</v>
      </c>
      <c r="HJ52" s="10">
        <f t="shared" si="184"/>
        <v>18</v>
      </c>
      <c r="HK52" s="539">
        <f t="shared" si="185"/>
        <v>78.66</v>
      </c>
      <c r="HL52" s="19">
        <f t="shared" si="186"/>
        <v>0</v>
      </c>
      <c r="HM52" s="10">
        <f t="shared" si="187"/>
        <v>0</v>
      </c>
      <c r="HN52" s="10">
        <f t="shared" si="188"/>
        <v>18</v>
      </c>
      <c r="HO52" s="539">
        <f t="shared" si="189"/>
        <v>78.66</v>
      </c>
      <c r="HP52" s="19">
        <f t="shared" si="190"/>
        <v>0</v>
      </c>
      <c r="HQ52" s="10">
        <f t="shared" si="191"/>
        <v>0</v>
      </c>
      <c r="HR52" s="10">
        <f t="shared" si="192"/>
        <v>18</v>
      </c>
      <c r="HS52" s="539">
        <f t="shared" si="193"/>
        <v>78.66</v>
      </c>
      <c r="HT52" s="19">
        <f t="shared" si="194"/>
        <v>0</v>
      </c>
      <c r="HU52" s="10">
        <f t="shared" si="195"/>
        <v>0</v>
      </c>
      <c r="HV52" s="10">
        <f t="shared" si="196"/>
        <v>18</v>
      </c>
      <c r="HW52" s="539">
        <f t="shared" si="197"/>
        <v>78.66</v>
      </c>
      <c r="HX52" s="19">
        <f t="shared" si="198"/>
        <v>0</v>
      </c>
      <c r="HY52" s="10">
        <f t="shared" si="199"/>
        <v>0</v>
      </c>
      <c r="HZ52" s="10">
        <f t="shared" si="200"/>
        <v>18</v>
      </c>
      <c r="IA52" s="539">
        <f t="shared" si="201"/>
        <v>78.66</v>
      </c>
      <c r="IB52" s="19">
        <f t="shared" si="202"/>
        <v>0</v>
      </c>
      <c r="IF52" s="224" t="s">
        <v>1396</v>
      </c>
      <c r="IG52" s="420">
        <v>1</v>
      </c>
      <c r="IH52" s="19">
        <f>IN27</f>
        <v>47.37287304956854</v>
      </c>
      <c r="II52" s="420" t="str">
        <f>IN28</f>
        <v>Overvalued</v>
      </c>
      <c r="IJ52" s="236">
        <f t="shared" si="350"/>
        <v>11</v>
      </c>
      <c r="IP52" s="11">
        <v>11</v>
      </c>
      <c r="IQ52" s="19">
        <f t="shared" si="358"/>
        <v>20.547642805390129</v>
      </c>
      <c r="IR52" s="20">
        <f t="shared" si="351"/>
        <v>7.2018234520119595</v>
      </c>
      <c r="JA52" s="11"/>
    </row>
    <row r="53" spans="1:263">
      <c r="A53" s="11"/>
      <c r="B53" s="9"/>
      <c r="C53" s="1217" t="s">
        <v>2342</v>
      </c>
      <c r="D53" s="47" t="s">
        <v>329</v>
      </c>
      <c r="E53" s="396">
        <f t="shared" si="333"/>
        <v>64.007000000000005</v>
      </c>
      <c r="F53" s="242">
        <f>6.0011+0.0059</f>
        <v>6.0069999999999997</v>
      </c>
      <c r="G53" s="48">
        <f>'Update Stock Prices'!S53</f>
        <v>141219780.21978021</v>
      </c>
      <c r="H53" s="991">
        <f t="shared" si="27"/>
        <v>4.2536534121858226E-8</v>
      </c>
      <c r="I53" s="49">
        <f>'Update Stock Prices'!D53</f>
        <v>5.46</v>
      </c>
      <c r="J53" s="49">
        <f t="shared" si="1"/>
        <v>32.798220000000001</v>
      </c>
      <c r="K53" s="30">
        <v>58.12</v>
      </c>
      <c r="L53" s="49">
        <f t="shared" si="28"/>
        <v>-25.321779999999997</v>
      </c>
      <c r="M53" s="50">
        <f t="shared" si="29"/>
        <v>-0.43568100481761868</v>
      </c>
      <c r="N53" s="49">
        <f t="shared" si="30"/>
        <v>9.6753787248210426</v>
      </c>
      <c r="O53" s="48">
        <f t="shared" si="334"/>
        <v>58</v>
      </c>
      <c r="P53" s="49">
        <f>IF(($B$11-$B$12)-(O53*I53)&lt;0,0,($B$11-$B$12)-(O53*I53))</f>
        <v>4.3299999999999841</v>
      </c>
      <c r="Q53" s="30">
        <f>0.06*12</f>
        <v>0.72</v>
      </c>
      <c r="R53" s="49">
        <f t="shared" si="242"/>
        <v>1.1841314168377822E-2</v>
      </c>
      <c r="S53" s="49">
        <f t="shared" si="335"/>
        <v>4.3250399999999996</v>
      </c>
      <c r="T53" s="49">
        <f t="shared" si="31"/>
        <v>0.36041999999999996</v>
      </c>
      <c r="U53" s="49" t="s">
        <v>56</v>
      </c>
      <c r="V53" s="50">
        <f t="shared" si="336"/>
        <v>0.13186813186813187</v>
      </c>
      <c r="W53" s="50">
        <f t="shared" si="7"/>
        <v>7.4415691672401918E-2</v>
      </c>
      <c r="X53" s="49">
        <f t="shared" si="376"/>
        <v>41.76</v>
      </c>
      <c r="Y53" s="49">
        <f t="shared" si="32"/>
        <v>0.36041999999999996</v>
      </c>
      <c r="Z53" s="860">
        <f t="shared" si="337"/>
        <v>0</v>
      </c>
      <c r="AA53" s="860">
        <f t="shared" si="338"/>
        <v>84.992999999999995</v>
      </c>
      <c r="AB53" s="49">
        <f t="shared" si="339"/>
        <v>464.06177999999994</v>
      </c>
      <c r="AC53" s="48">
        <v>1</v>
      </c>
      <c r="AD53" s="47" t="str">
        <f t="shared" si="340"/>
        <v>FSC</v>
      </c>
      <c r="AE53" s="49">
        <f t="shared" si="341"/>
        <v>32.798220000000001</v>
      </c>
      <c r="AF53" s="50" t="e">
        <f t="shared" si="310"/>
        <v>#REF!</v>
      </c>
      <c r="AG53" s="890" t="e">
        <f t="shared" si="332"/>
        <v>#REF!</v>
      </c>
      <c r="AH53" s="207" t="s">
        <v>320</v>
      </c>
      <c r="AI53" s="240">
        <f t="shared" si="312"/>
        <v>2.4420181171299609E-3</v>
      </c>
      <c r="AJ53" s="11">
        <f t="shared" si="33"/>
        <v>3</v>
      </c>
      <c r="AK53" s="11"/>
      <c r="AL53" s="11"/>
      <c r="AM53" s="11"/>
      <c r="AN53" s="11"/>
      <c r="AO53" s="11"/>
      <c r="AP53" s="11"/>
      <c r="AQ53" s="11" t="str">
        <f>'Update Stock Prices'!Q53</f>
        <v>small</v>
      </c>
      <c r="AR53" s="11"/>
      <c r="AS53" s="11"/>
      <c r="AT53" s="176"/>
      <c r="AV53" s="837">
        <f>(BB121/((1-AV32)^AV47*AV32))</f>
        <v>6083496.6902545476</v>
      </c>
      <c r="AW53" s="234">
        <f>((AW32*BB121)/((1-AV32)^AV47*AV32))</f>
        <v>3041748.3451272738</v>
      </c>
      <c r="AX53" s="420">
        <f t="shared" si="314"/>
        <v>86</v>
      </c>
      <c r="AY53" s="19">
        <f t="shared" si="293"/>
        <v>4597.6440038594437</v>
      </c>
      <c r="AZ53" s="19">
        <f t="shared" si="291"/>
        <v>383.13700032162029</v>
      </c>
      <c r="BA53" s="19">
        <f t="shared" si="292"/>
        <v>12.587663254919764</v>
      </c>
      <c r="BB53" s="234">
        <f t="shared" si="294"/>
        <v>113653.75977540544</v>
      </c>
      <c r="BC53" s="19"/>
      <c r="BE53" s="74"/>
      <c r="BF53" s="74"/>
      <c r="BS53" s="420" t="str">
        <f t="shared" si="37"/>
        <v>FSC</v>
      </c>
      <c r="BT53" s="425">
        <f t="shared" si="38"/>
        <v>6.0069999999999997</v>
      </c>
      <c r="BU53" s="19">
        <f t="shared" si="39"/>
        <v>5.46</v>
      </c>
      <c r="BV53" s="19">
        <f t="shared" si="40"/>
        <v>32.798220000000001</v>
      </c>
      <c r="BW53" s="539">
        <f t="shared" si="41"/>
        <v>0.72</v>
      </c>
      <c r="BX53" s="19">
        <f t="shared" si="42"/>
        <v>4.3250399999999996</v>
      </c>
      <c r="BY53" s="10">
        <f t="shared" si="43"/>
        <v>0.79213186813186809</v>
      </c>
      <c r="BZ53" s="10">
        <f t="shared" si="44"/>
        <v>6.7991318681318678</v>
      </c>
      <c r="CA53" s="539">
        <f t="shared" si="45"/>
        <v>37.123259999999995</v>
      </c>
      <c r="CB53" s="19">
        <f t="shared" si="46"/>
        <v>4.8953749450549449</v>
      </c>
      <c r="CC53" s="10">
        <f t="shared" si="47"/>
        <v>0.89658881777563093</v>
      </c>
      <c r="CD53" s="10">
        <f t="shared" si="48"/>
        <v>7.6957206859074985</v>
      </c>
      <c r="CE53" s="539">
        <f t="shared" si="49"/>
        <v>42.018634945054941</v>
      </c>
      <c r="CF53" s="19">
        <f t="shared" si="50"/>
        <v>5.5409188938533989</v>
      </c>
      <c r="CG53" s="10">
        <f t="shared" si="51"/>
        <v>1.0148203102295603</v>
      </c>
      <c r="CH53" s="10">
        <f t="shared" si="52"/>
        <v>8.710540996137059</v>
      </c>
      <c r="CI53" s="539">
        <f t="shared" si="53"/>
        <v>47.559553838908343</v>
      </c>
      <c r="CJ53" s="19">
        <f t="shared" si="54"/>
        <v>6.2715895172186826</v>
      </c>
      <c r="CK53" s="10">
        <f t="shared" si="55"/>
        <v>1.1486427687213705</v>
      </c>
      <c r="CL53" s="10">
        <f t="shared" si="56"/>
        <v>9.8591837648584288</v>
      </c>
      <c r="CM53" s="539">
        <f t="shared" si="57"/>
        <v>53.831143356127022</v>
      </c>
      <c r="CN53" s="19">
        <f t="shared" si="58"/>
        <v>7.0986123106980683</v>
      </c>
      <c r="CO53" s="10">
        <f t="shared" si="59"/>
        <v>1.3001121448164961</v>
      </c>
      <c r="CP53" s="10">
        <f t="shared" si="60"/>
        <v>11.159295909674924</v>
      </c>
      <c r="CQ53" s="539">
        <f t="shared" si="61"/>
        <v>60.929755666825088</v>
      </c>
      <c r="CR53" s="19">
        <f t="shared" si="62"/>
        <v>8.0346930549659454</v>
      </c>
      <c r="CS53" s="10">
        <f t="shared" si="63"/>
        <v>1.4715555045725175</v>
      </c>
      <c r="CT53" s="10">
        <f t="shared" si="64"/>
        <v>12.630851414247442</v>
      </c>
      <c r="CU53" s="539">
        <f t="shared" si="65"/>
        <v>68.96444872179103</v>
      </c>
      <c r="CV53" s="19">
        <f t="shared" si="66"/>
        <v>9.0942130182581575</v>
      </c>
      <c r="CW53" s="10">
        <f t="shared" si="67"/>
        <v>1.6656067799007614</v>
      </c>
      <c r="CX53" s="10">
        <f t="shared" si="68"/>
        <v>14.296458194148203</v>
      </c>
      <c r="CY53" s="539">
        <f t="shared" si="69"/>
        <v>78.058661740049189</v>
      </c>
      <c r="CZ53" s="19">
        <f t="shared" si="70"/>
        <v>10.293449899786706</v>
      </c>
      <c r="DA53" s="10">
        <f t="shared" si="71"/>
        <v>1.8852472343931697</v>
      </c>
      <c r="DB53" s="10">
        <f t="shared" si="72"/>
        <v>16.181705428541374</v>
      </c>
      <c r="DC53" s="539">
        <f t="shared" si="73"/>
        <v>88.352111639835897</v>
      </c>
      <c r="DD53" s="19">
        <f t="shared" si="74"/>
        <v>11.65082790854979</v>
      </c>
      <c r="DE53" s="10">
        <f t="shared" si="75"/>
        <v>2.1338512653021593</v>
      </c>
      <c r="DF53" s="10">
        <f t="shared" si="76"/>
        <v>18.315556693843533</v>
      </c>
      <c r="DG53" s="539">
        <f t="shared" si="77"/>
        <v>100.00293954838568</v>
      </c>
      <c r="DH53" s="19">
        <f t="shared" si="78"/>
        <v>13.187200819567343</v>
      </c>
      <c r="DI53" s="10">
        <f t="shared" si="79"/>
        <v>2.415238245342004</v>
      </c>
      <c r="DJ53" s="10">
        <f t="shared" si="80"/>
        <v>20.730794939185536</v>
      </c>
      <c r="DK53" s="539">
        <f t="shared" si="81"/>
        <v>113.19014036795302</v>
      </c>
      <c r="DL53" s="19">
        <f t="shared" si="82"/>
        <v>14.926172356213586</v>
      </c>
      <c r="DM53" s="10">
        <f t="shared" si="83"/>
        <v>2.7337312007717189</v>
      </c>
      <c r="DN53" s="10">
        <f t="shared" si="84"/>
        <v>23.464526139957254</v>
      </c>
      <c r="DO53" s="539">
        <f t="shared" si="85"/>
        <v>128.11631272416662</v>
      </c>
      <c r="DP53" s="19">
        <f t="shared" si="86"/>
        <v>16.894458820769223</v>
      </c>
      <c r="DQ53" s="10">
        <f t="shared" si="87"/>
        <v>3.0942232272471104</v>
      </c>
      <c r="DR53" s="10">
        <f t="shared" si="88"/>
        <v>26.558749367204364</v>
      </c>
      <c r="DS53" s="539">
        <f t="shared" si="89"/>
        <v>145.01077154493584</v>
      </c>
      <c r="DT53" s="19">
        <f t="shared" si="90"/>
        <v>19.12229954438714</v>
      </c>
      <c r="DU53" s="10">
        <f t="shared" si="91"/>
        <v>3.5022526638071683</v>
      </c>
      <c r="DV53" s="10">
        <f t="shared" si="92"/>
        <v>30.061002031011533</v>
      </c>
      <c r="DW53" s="539">
        <f t="shared" si="93"/>
        <v>164.13307108932298</v>
      </c>
      <c r="DX53" s="19">
        <f t="shared" si="94"/>
        <v>21.643921462328304</v>
      </c>
      <c r="DY53" s="10">
        <f t="shared" si="95"/>
        <v>3.9640881799136087</v>
      </c>
      <c r="DZ53" s="10">
        <f t="shared" si="96"/>
        <v>34.025090210925143</v>
      </c>
      <c r="EA53" s="539">
        <f t="shared" si="97"/>
        <v>185.77699255165129</v>
      </c>
      <c r="EB53" s="19">
        <f t="shared" si="98"/>
        <v>24.498064951866102</v>
      </c>
      <c r="EC53" s="10">
        <f t="shared" si="99"/>
        <v>4.486825082759359</v>
      </c>
      <c r="ED53" s="10">
        <f t="shared" si="100"/>
        <v>38.511915293684503</v>
      </c>
      <c r="EE53" s="539">
        <f t="shared" si="101"/>
        <v>210.27505750351739</v>
      </c>
      <c r="EF53" s="19">
        <f t="shared" si="102"/>
        <v>27.72857901145284</v>
      </c>
      <c r="EG53" s="10">
        <f t="shared" si="103"/>
        <v>5.0784943244419125</v>
      </c>
      <c r="EH53" s="10">
        <f t="shared" si="104"/>
        <v>43.590409618126415</v>
      </c>
      <c r="EI53" s="539">
        <f t="shared" si="105"/>
        <v>238.00363651497022</v>
      </c>
      <c r="EJ53" s="19">
        <f t="shared" si="106"/>
        <v>31.385094925051018</v>
      </c>
      <c r="EK53" s="10">
        <f t="shared" si="107"/>
        <v>5.7481858837089774</v>
      </c>
      <c r="EL53" s="10">
        <f t="shared" si="108"/>
        <v>49.338595501835393</v>
      </c>
      <c r="EM53" s="539">
        <f t="shared" si="109"/>
        <v>269.38873144002122</v>
      </c>
      <c r="EN53" s="19">
        <f t="shared" si="110"/>
        <v>35.523788761321484</v>
      </c>
      <c r="EO53" s="10">
        <f t="shared" si="111"/>
        <v>6.5061884178244478</v>
      </c>
      <c r="EP53" s="10">
        <f t="shared" si="112"/>
        <v>55.844783919659839</v>
      </c>
      <c r="EQ53" s="539">
        <f t="shared" si="113"/>
        <v>304.91252020134272</v>
      </c>
      <c r="ER53" s="19">
        <f t="shared" si="114"/>
        <v>40.208244422155083</v>
      </c>
      <c r="ES53" s="10">
        <f t="shared" si="115"/>
        <v>7.364147330065034</v>
      </c>
      <c r="ET53" s="10">
        <f t="shared" si="116"/>
        <v>63.20893124972487</v>
      </c>
      <c r="EU53" s="539">
        <f t="shared" si="117"/>
        <v>345.12076462349779</v>
      </c>
      <c r="EV53" s="19">
        <f t="shared" si="118"/>
        <v>45.510430499801906</v>
      </c>
      <c r="EW53" s="10">
        <f t="shared" si="119"/>
        <v>8.3352436812823996</v>
      </c>
      <c r="EX53" s="10">
        <f t="shared" si="120"/>
        <v>71.544174931007262</v>
      </c>
      <c r="EY53" s="539">
        <f t="shared" si="121"/>
        <v>390.63119512329968</v>
      </c>
      <c r="EZ53" s="19">
        <f t="shared" si="122"/>
        <v>51.511805950325225</v>
      </c>
      <c r="FA53" s="10">
        <f t="shared" si="123"/>
        <v>9.4343966941987585</v>
      </c>
      <c r="FB53" s="10">
        <f t="shared" si="124"/>
        <v>80.978571625206015</v>
      </c>
      <c r="FC53" s="539">
        <f t="shared" si="125"/>
        <v>442.14300107362482</v>
      </c>
      <c r="FD53" s="19">
        <f t="shared" si="126"/>
        <v>58.304571570148326</v>
      </c>
      <c r="FE53" s="10">
        <f t="shared" si="127"/>
        <v>10.678492961565627</v>
      </c>
      <c r="FF53" s="10">
        <f t="shared" si="128"/>
        <v>91.657064586771639</v>
      </c>
      <c r="FG53" s="539">
        <f t="shared" si="129"/>
        <v>500.44757264377313</v>
      </c>
      <c r="FH53" s="19">
        <f t="shared" si="130"/>
        <v>65.993086502475578</v>
      </c>
      <c r="FI53" s="10">
        <f t="shared" si="131"/>
        <v>12.086645879574281</v>
      </c>
      <c r="FJ53" s="10">
        <f t="shared" si="132"/>
        <v>103.74371046634592</v>
      </c>
      <c r="FK53" s="539">
        <f t="shared" si="133"/>
        <v>566.44065914624866</v>
      </c>
      <c r="FL53" s="19">
        <f t="shared" si="134"/>
        <v>74.695471535769059</v>
      </c>
      <c r="FM53" s="10">
        <f t="shared" si="135"/>
        <v>13.680489292265396</v>
      </c>
      <c r="FN53" s="10">
        <f t="shared" si="136"/>
        <v>117.42419975861131</v>
      </c>
      <c r="FO53" s="539">
        <f t="shared" si="137"/>
        <v>641.13613068201778</v>
      </c>
      <c r="FP53" s="19">
        <f t="shared" si="138"/>
        <v>84.545423826200135</v>
      </c>
      <c r="FQ53" s="10">
        <f t="shared" si="139"/>
        <v>15.484509858278413</v>
      </c>
      <c r="FR53" s="10">
        <f t="shared" si="140"/>
        <v>132.90870961688972</v>
      </c>
      <c r="FS53" s="539">
        <f t="shared" si="141"/>
        <v>725.68155450821791</v>
      </c>
      <c r="FT53" s="19">
        <f t="shared" si="142"/>
        <v>95.694270924160591</v>
      </c>
      <c r="FU53" s="10">
        <f t="shared" si="143"/>
        <v>17.52642324618326</v>
      </c>
      <c r="FV53" s="10">
        <f t="shared" si="144"/>
        <v>150.43513286307299</v>
      </c>
      <c r="FW53" s="539">
        <f t="shared" si="145"/>
        <v>821.37582543237852</v>
      </c>
      <c r="FX53" s="19">
        <f t="shared" si="146"/>
        <v>108.31329566141255</v>
      </c>
      <c r="FY53" s="10">
        <f t="shared" si="147"/>
        <v>19.837599937987648</v>
      </c>
      <c r="FZ53" s="10">
        <f t="shared" si="148"/>
        <v>170.27273280106064</v>
      </c>
      <c r="GA53" s="539">
        <f t="shared" si="149"/>
        <v>929.68912109379107</v>
      </c>
      <c r="GB53" s="19">
        <f t="shared" si="150"/>
        <v>122.59636761676366</v>
      </c>
      <c r="GC53" s="10">
        <f t="shared" si="151"/>
        <v>22.453547182557447</v>
      </c>
      <c r="GD53" s="10">
        <f t="shared" si="152"/>
        <v>192.7262799836181</v>
      </c>
      <c r="GE53" s="539">
        <f t="shared" si="153"/>
        <v>1052.2854887105548</v>
      </c>
      <c r="GF53" s="19">
        <f t="shared" si="154"/>
        <v>138.76292158820502</v>
      </c>
      <c r="GG53" s="10">
        <f t="shared" si="155"/>
        <v>25.414454503334252</v>
      </c>
      <c r="GH53" s="10">
        <f t="shared" si="156"/>
        <v>218.14073448695234</v>
      </c>
      <c r="GI53" s="539">
        <f t="shared" si="157"/>
        <v>1191.0484102987598</v>
      </c>
      <c r="GJ53" s="19">
        <f t="shared" si="158"/>
        <v>157.06132883060567</v>
      </c>
      <c r="GK53" s="10">
        <f t="shared" si="159"/>
        <v>28.76581114113657</v>
      </c>
      <c r="GL53" s="10">
        <f t="shared" si="160"/>
        <v>246.90654562808891</v>
      </c>
      <c r="GM53" s="539">
        <f t="shared" si="161"/>
        <v>1348.1097391293654</v>
      </c>
      <c r="GN53" s="19">
        <f t="shared" si="162"/>
        <v>177.772712852224</v>
      </c>
      <c r="GO53" s="10">
        <f t="shared" si="163"/>
        <v>32.559104917989742</v>
      </c>
      <c r="GP53" s="10">
        <f t="shared" si="164"/>
        <v>279.46565054607868</v>
      </c>
      <c r="GQ53" s="539">
        <f t="shared" si="165"/>
        <v>1525.8824519815896</v>
      </c>
      <c r="GR53" s="19">
        <f t="shared" si="166"/>
        <v>201.21526839317664</v>
      </c>
      <c r="GS53" s="10">
        <f t="shared" si="167"/>
        <v>36.85261325882356</v>
      </c>
      <c r="GT53" s="10">
        <f t="shared" si="168"/>
        <v>316.31826380490224</v>
      </c>
      <c r="GU53" s="539">
        <f t="shared" si="169"/>
        <v>1727.0977203747661</v>
      </c>
      <c r="GV53" s="19">
        <f t="shared" si="170"/>
        <v>227.74914993952962</v>
      </c>
      <c r="GW53" s="10">
        <f t="shared" si="171"/>
        <v>41.712298523723376</v>
      </c>
      <c r="GX53" s="10">
        <f t="shared" si="172"/>
        <v>358.03056232862559</v>
      </c>
      <c r="GY53" s="539">
        <f t="shared" si="173"/>
        <v>1954.8468703142958</v>
      </c>
      <c r="GZ53" s="19">
        <f t="shared" si="174"/>
        <v>257.78200487661042</v>
      </c>
      <c r="HA53" s="10">
        <f t="shared" si="175"/>
        <v>47.212821405972605</v>
      </c>
      <c r="HB53" s="10">
        <f t="shared" si="176"/>
        <v>405.24338373459818</v>
      </c>
      <c r="HC53" s="539">
        <f t="shared" si="177"/>
        <v>2212.628875190906</v>
      </c>
      <c r="HD53" s="19">
        <f t="shared" si="178"/>
        <v>291.77523628891066</v>
      </c>
      <c r="HE53" s="10">
        <f t="shared" si="179"/>
        <v>53.438687965001954</v>
      </c>
      <c r="HF53" s="10">
        <f t="shared" si="180"/>
        <v>458.68207169960016</v>
      </c>
      <c r="HG53" s="539">
        <f t="shared" si="181"/>
        <v>2504.4041114798169</v>
      </c>
      <c r="HH53" s="19">
        <f t="shared" si="182"/>
        <v>330.25109162371211</v>
      </c>
      <c r="HI53" s="10">
        <f t="shared" si="183"/>
        <v>60.485547916430789</v>
      </c>
      <c r="HJ53" s="10">
        <f t="shared" si="184"/>
        <v>519.16761961603095</v>
      </c>
      <c r="HK53" s="539">
        <f t="shared" si="185"/>
        <v>2834.6552031035289</v>
      </c>
      <c r="HL53" s="19">
        <f t="shared" si="186"/>
        <v>373.80068612354228</v>
      </c>
      <c r="HM53" s="10">
        <f t="shared" si="187"/>
        <v>68.461664125190893</v>
      </c>
      <c r="HN53" s="10">
        <f t="shared" si="188"/>
        <v>587.6292837412218</v>
      </c>
      <c r="HO53" s="539">
        <f t="shared" si="189"/>
        <v>3208.4558892270711</v>
      </c>
      <c r="HP53" s="19">
        <f t="shared" si="190"/>
        <v>423.09308429367968</v>
      </c>
      <c r="HQ53" s="10">
        <f t="shared" si="191"/>
        <v>77.489575877963318</v>
      </c>
      <c r="HR53" s="10">
        <f t="shared" si="192"/>
        <v>665.11885961918506</v>
      </c>
      <c r="HS53" s="539">
        <f t="shared" si="193"/>
        <v>3631.5489735207502</v>
      </c>
      <c r="HT53" s="19">
        <f t="shared" si="194"/>
        <v>478.88557892581321</v>
      </c>
      <c r="HU53" s="10">
        <f t="shared" si="195"/>
        <v>87.707981488244172</v>
      </c>
      <c r="HV53" s="10">
        <f t="shared" si="196"/>
        <v>752.82684110742923</v>
      </c>
      <c r="HW53" s="539">
        <f t="shared" si="197"/>
        <v>4110.4345524465634</v>
      </c>
      <c r="HX53" s="19">
        <f t="shared" si="198"/>
        <v>542.03532559734901</v>
      </c>
      <c r="HY53" s="10">
        <f t="shared" si="199"/>
        <v>99.273869157023626</v>
      </c>
      <c r="HZ53" s="10">
        <f t="shared" si="200"/>
        <v>852.1007102644528</v>
      </c>
      <c r="IA53" s="539">
        <f t="shared" si="201"/>
        <v>4652.4698780439121</v>
      </c>
      <c r="IB53" s="19">
        <f t="shared" si="202"/>
        <v>613.51251139040596</v>
      </c>
      <c r="IF53" s="224" t="s">
        <v>2700</v>
      </c>
      <c r="IG53" s="420">
        <v>3</v>
      </c>
      <c r="IH53" s="19">
        <f>IO15</f>
        <v>176.66696596764527</v>
      </c>
      <c r="II53" s="420" t="str">
        <f>IO16</f>
        <v>Overvalued</v>
      </c>
      <c r="IJ53" s="236">
        <f t="shared" si="350"/>
        <v>9</v>
      </c>
      <c r="IP53" s="11">
        <v>12</v>
      </c>
      <c r="IQ53" s="19">
        <f t="shared" si="358"/>
        <v>22.191454229821343</v>
      </c>
      <c r="IR53" s="20">
        <f t="shared" si="351"/>
        <v>7.0708812074299248</v>
      </c>
      <c r="JA53" s="11"/>
    </row>
    <row r="54" spans="1:263" ht="13.5" thickBot="1">
      <c r="A54" s="11"/>
      <c r="B54" s="511"/>
      <c r="C54" s="1217" t="s">
        <v>2342</v>
      </c>
      <c r="D54" s="47" t="s">
        <v>330</v>
      </c>
      <c r="E54" s="396">
        <f t="shared" si="333"/>
        <v>45.026200000000003</v>
      </c>
      <c r="F54" s="242">
        <v>9.0261999999999993</v>
      </c>
      <c r="G54" s="48">
        <f>'Update Stock Prices'!S54</f>
        <v>30373589.164785556</v>
      </c>
      <c r="H54" s="991">
        <f t="shared" si="27"/>
        <v>2.9717265058897842E-7</v>
      </c>
      <c r="I54" s="49">
        <f>'Update Stock Prices'!D54</f>
        <v>8.86</v>
      </c>
      <c r="J54" s="49">
        <f t="shared" si="1"/>
        <v>79.972131999999988</v>
      </c>
      <c r="K54" s="30">
        <v>65.22</v>
      </c>
      <c r="L54" s="49">
        <f t="shared" si="28"/>
        <v>14.752131999999989</v>
      </c>
      <c r="M54" s="50">
        <f t="shared" si="29"/>
        <v>0.22619030972094434</v>
      </c>
      <c r="N54" s="49">
        <f t="shared" si="30"/>
        <v>7.2256320489242434</v>
      </c>
      <c r="O54" s="48">
        <f t="shared" si="334"/>
        <v>36</v>
      </c>
      <c r="P54" s="49">
        <f>IF(($B$11-$B$12)-(O54*I54)&lt;0,0,($B$11-$B$12)-(O54*I54))</f>
        <v>2.0500000000000114</v>
      </c>
      <c r="Q54" s="30">
        <f>0.06*12</f>
        <v>0.72</v>
      </c>
      <c r="R54" s="49">
        <f t="shared" si="242"/>
        <v>1.7792919917864476E-2</v>
      </c>
      <c r="S54" s="49">
        <f t="shared" si="335"/>
        <v>6.4988639999999993</v>
      </c>
      <c r="T54" s="49">
        <f t="shared" si="31"/>
        <v>0.54157199999999994</v>
      </c>
      <c r="U54" s="49" t="s">
        <v>56</v>
      </c>
      <c r="V54" s="50">
        <f t="shared" si="336"/>
        <v>8.1264108352144468E-2</v>
      </c>
      <c r="W54" s="50">
        <f t="shared" si="7"/>
        <v>9.9645262189512404E-2</v>
      </c>
      <c r="X54" s="49">
        <f t="shared" si="376"/>
        <v>25.92</v>
      </c>
      <c r="Y54" s="49">
        <f t="shared" si="32"/>
        <v>0.54157199999999994</v>
      </c>
      <c r="Z54" s="860">
        <f t="shared" si="337"/>
        <v>0</v>
      </c>
      <c r="AA54" s="860">
        <f t="shared" si="338"/>
        <v>138.64046666666667</v>
      </c>
      <c r="AB54" s="49">
        <f t="shared" si="339"/>
        <v>1228.3545346666665</v>
      </c>
      <c r="AC54" s="48">
        <v>1</v>
      </c>
      <c r="AD54" s="47" t="str">
        <f t="shared" si="340"/>
        <v>GAIN</v>
      </c>
      <c r="AE54" s="49">
        <f t="shared" si="341"/>
        <v>79.972131999999988</v>
      </c>
      <c r="AF54" s="50" t="e">
        <f t="shared" si="310"/>
        <v>#REF!</v>
      </c>
      <c r="AG54" s="890" t="e">
        <f t="shared" si="332"/>
        <v>#REF!</v>
      </c>
      <c r="AH54" s="207" t="s">
        <v>320</v>
      </c>
      <c r="AI54" s="240">
        <f t="shared" si="312"/>
        <v>1.4518631437739703E-2</v>
      </c>
      <c r="AJ54" s="11">
        <f t="shared" si="33"/>
        <v>4</v>
      </c>
      <c r="AK54" s="11"/>
      <c r="AL54" s="11"/>
      <c r="AM54" s="11"/>
      <c r="AN54" s="11"/>
      <c r="AO54" s="11"/>
      <c r="AP54" s="11"/>
      <c r="AQ54" s="11" t="str">
        <f>'Update Stock Prices'!Q54</f>
        <v>micro</v>
      </c>
      <c r="AR54" s="11"/>
      <c r="AS54" s="11"/>
      <c r="AT54" s="176"/>
      <c r="AV54" s="836"/>
      <c r="AW54" s="533"/>
      <c r="AX54" s="420">
        <f t="shared" si="314"/>
        <v>87</v>
      </c>
      <c r="AY54" s="19">
        <f t="shared" si="293"/>
        <v>4546.1503910162182</v>
      </c>
      <c r="AZ54" s="19">
        <f t="shared" si="291"/>
        <v>378.84586591801821</v>
      </c>
      <c r="BA54" s="19">
        <f t="shared" si="292"/>
        <v>12.446681426464663</v>
      </c>
      <c r="BB54" s="234">
        <f t="shared" si="294"/>
        <v>112380.83766592092</v>
      </c>
      <c r="BC54" s="19"/>
      <c r="BE54" s="74"/>
      <c r="BF54" s="74"/>
      <c r="BS54" s="420" t="str">
        <f t="shared" si="37"/>
        <v>GAIN</v>
      </c>
      <c r="BT54" s="425">
        <f t="shared" si="38"/>
        <v>9.0261999999999993</v>
      </c>
      <c r="BU54" s="19">
        <f t="shared" si="39"/>
        <v>8.86</v>
      </c>
      <c r="BV54" s="19">
        <f t="shared" si="40"/>
        <v>79.972131999999988</v>
      </c>
      <c r="BW54" s="539">
        <f t="shared" si="41"/>
        <v>0.72</v>
      </c>
      <c r="BX54" s="19">
        <f t="shared" si="42"/>
        <v>6.4988639999999993</v>
      </c>
      <c r="BY54" s="10">
        <f t="shared" si="43"/>
        <v>0.73350609480812634</v>
      </c>
      <c r="BZ54" s="10">
        <f t="shared" si="44"/>
        <v>9.7597060948081253</v>
      </c>
      <c r="CA54" s="539">
        <f t="shared" si="45"/>
        <v>86.470995999999985</v>
      </c>
      <c r="CB54" s="19">
        <f t="shared" si="46"/>
        <v>7.0269883882618496</v>
      </c>
      <c r="CC54" s="10">
        <f t="shared" si="47"/>
        <v>0.79311381357357225</v>
      </c>
      <c r="CD54" s="10">
        <f t="shared" si="48"/>
        <v>10.552819908381698</v>
      </c>
      <c r="CE54" s="539">
        <f t="shared" si="49"/>
        <v>93.497984388261841</v>
      </c>
      <c r="CF54" s="19">
        <f t="shared" si="50"/>
        <v>7.5980303340348225</v>
      </c>
      <c r="CG54" s="10">
        <f t="shared" si="51"/>
        <v>0.85756550045539759</v>
      </c>
      <c r="CH54" s="10">
        <f t="shared" si="52"/>
        <v>11.410385408837096</v>
      </c>
      <c r="CI54" s="539">
        <f t="shared" si="53"/>
        <v>101.09601472229666</v>
      </c>
      <c r="CJ54" s="19">
        <f t="shared" si="54"/>
        <v>8.2154774943627089</v>
      </c>
      <c r="CK54" s="10">
        <f t="shared" si="55"/>
        <v>0.92725479620346607</v>
      </c>
      <c r="CL54" s="10">
        <f t="shared" si="56"/>
        <v>12.337640205040561</v>
      </c>
      <c r="CM54" s="539">
        <f t="shared" si="57"/>
        <v>109.31149221665936</v>
      </c>
      <c r="CN54" s="19">
        <f t="shared" si="58"/>
        <v>8.8831009476292042</v>
      </c>
      <c r="CO54" s="10">
        <f t="shared" si="59"/>
        <v>1.0026073304321901</v>
      </c>
      <c r="CP54" s="10">
        <f t="shared" si="60"/>
        <v>13.34024753547275</v>
      </c>
      <c r="CQ54" s="539">
        <f t="shared" si="61"/>
        <v>118.19459316428856</v>
      </c>
      <c r="CR54" s="19">
        <f t="shared" si="62"/>
        <v>9.6049782255403802</v>
      </c>
      <c r="CS54" s="10">
        <f t="shared" si="63"/>
        <v>1.0840833211670859</v>
      </c>
      <c r="CT54" s="10">
        <f t="shared" si="64"/>
        <v>14.424330856639836</v>
      </c>
      <c r="CU54" s="539">
        <f t="shared" si="65"/>
        <v>127.79957138982894</v>
      </c>
      <c r="CV54" s="19">
        <f t="shared" si="66"/>
        <v>10.385518216780682</v>
      </c>
      <c r="CW54" s="10">
        <f t="shared" si="67"/>
        <v>1.1721803856411606</v>
      </c>
      <c r="CX54" s="10">
        <f t="shared" si="68"/>
        <v>15.596511242280997</v>
      </c>
      <c r="CY54" s="539">
        <f t="shared" si="69"/>
        <v>138.18508960660961</v>
      </c>
      <c r="CZ54" s="19">
        <f t="shared" si="70"/>
        <v>11.229488094442317</v>
      </c>
      <c r="DA54" s="10">
        <f t="shared" si="71"/>
        <v>1.2674365795081624</v>
      </c>
      <c r="DB54" s="10">
        <f t="shared" si="72"/>
        <v>16.863947821789161</v>
      </c>
      <c r="DC54" s="539">
        <f t="shared" si="73"/>
        <v>149.41457770105197</v>
      </c>
      <c r="DD54" s="19">
        <f t="shared" si="74"/>
        <v>12.142042431688195</v>
      </c>
      <c r="DE54" s="10">
        <f t="shared" si="75"/>
        <v>1.370433683034785</v>
      </c>
      <c r="DF54" s="10">
        <f t="shared" si="76"/>
        <v>18.234381504823947</v>
      </c>
      <c r="DG54" s="539">
        <f t="shared" si="77"/>
        <v>161.55662013274016</v>
      </c>
      <c r="DH54" s="19">
        <f t="shared" si="78"/>
        <v>13.128754683473241</v>
      </c>
      <c r="DI54" s="10">
        <f t="shared" si="79"/>
        <v>1.4818007543423524</v>
      </c>
      <c r="DJ54" s="10">
        <f t="shared" si="80"/>
        <v>19.716182259166299</v>
      </c>
      <c r="DK54" s="539">
        <f t="shared" si="81"/>
        <v>174.6853748162134</v>
      </c>
      <c r="DL54" s="19">
        <f t="shared" si="82"/>
        <v>14.195651226599734</v>
      </c>
      <c r="DM54" s="10">
        <f t="shared" si="83"/>
        <v>1.6022179713995186</v>
      </c>
      <c r="DN54" s="10">
        <f t="shared" si="84"/>
        <v>21.318400230565818</v>
      </c>
      <c r="DO54" s="539">
        <f t="shared" si="85"/>
        <v>188.88102604281312</v>
      </c>
      <c r="DP54" s="19">
        <f t="shared" si="86"/>
        <v>15.349248166007389</v>
      </c>
      <c r="DQ54" s="10">
        <f t="shared" si="87"/>
        <v>1.7324207862310823</v>
      </c>
      <c r="DR54" s="10">
        <f t="shared" si="88"/>
        <v>23.050821016796899</v>
      </c>
      <c r="DS54" s="539">
        <f t="shared" si="89"/>
        <v>204.2302742088205</v>
      </c>
      <c r="DT54" s="19">
        <f t="shared" si="90"/>
        <v>16.596591132093767</v>
      </c>
      <c r="DU54" s="10">
        <f t="shared" si="91"/>
        <v>1.8732044167148723</v>
      </c>
      <c r="DV54" s="10">
        <f t="shared" si="92"/>
        <v>24.924025433511773</v>
      </c>
      <c r="DW54" s="539">
        <f t="shared" si="93"/>
        <v>220.82686534091428</v>
      </c>
      <c r="DX54" s="19">
        <f t="shared" si="94"/>
        <v>17.945298312128475</v>
      </c>
      <c r="DY54" s="10">
        <f t="shared" si="95"/>
        <v>2.0254287034005052</v>
      </c>
      <c r="DZ54" s="10">
        <f t="shared" si="96"/>
        <v>26.949454136912276</v>
      </c>
      <c r="EA54" s="539">
        <f t="shared" si="97"/>
        <v>238.77216365304275</v>
      </c>
      <c r="EB54" s="19">
        <f t="shared" si="98"/>
        <v>19.403606978576839</v>
      </c>
      <c r="EC54" s="10">
        <f t="shared" si="99"/>
        <v>2.1900233610131874</v>
      </c>
      <c r="ED54" s="10">
        <f t="shared" si="100"/>
        <v>29.139477497925462</v>
      </c>
      <c r="EE54" s="539">
        <f t="shared" si="101"/>
        <v>258.17577063161957</v>
      </c>
      <c r="EF54" s="19">
        <f t="shared" si="102"/>
        <v>20.980423798506333</v>
      </c>
      <c r="EG54" s="10">
        <f t="shared" si="103"/>
        <v>2.3679936567162905</v>
      </c>
      <c r="EH54" s="10">
        <f t="shared" si="104"/>
        <v>31.507471154641753</v>
      </c>
      <c r="EI54" s="539">
        <f t="shared" si="105"/>
        <v>279.15619443012594</v>
      </c>
      <c r="EJ54" s="19">
        <f t="shared" si="106"/>
        <v>22.685379231342061</v>
      </c>
      <c r="EK54" s="10">
        <f t="shared" si="107"/>
        <v>2.560426549812874</v>
      </c>
      <c r="EL54" s="10">
        <f t="shared" si="108"/>
        <v>34.067897704454623</v>
      </c>
      <c r="EM54" s="539">
        <f t="shared" si="109"/>
        <v>301.84157366146792</v>
      </c>
      <c r="EN54" s="19">
        <f t="shared" si="110"/>
        <v>24.528886347207326</v>
      </c>
      <c r="EO54" s="10">
        <f t="shared" si="111"/>
        <v>2.7684973303845744</v>
      </c>
      <c r="EP54" s="10">
        <f t="shared" si="112"/>
        <v>36.8363950348392</v>
      </c>
      <c r="EQ54" s="539">
        <f t="shared" si="113"/>
        <v>326.37046000867531</v>
      </c>
      <c r="ER54" s="19">
        <f t="shared" si="114"/>
        <v>26.522204425084222</v>
      </c>
      <c r="ES54" s="10">
        <f t="shared" si="115"/>
        <v>2.9934767974135692</v>
      </c>
      <c r="ET54" s="10">
        <f t="shared" si="116"/>
        <v>39.829871832252771</v>
      </c>
      <c r="EU54" s="539">
        <f t="shared" si="117"/>
        <v>352.89266443375953</v>
      </c>
      <c r="EV54" s="19">
        <f t="shared" si="118"/>
        <v>28.677507719221992</v>
      </c>
      <c r="EW54" s="10">
        <f t="shared" si="119"/>
        <v>3.236739020228216</v>
      </c>
      <c r="EX54" s="10">
        <f t="shared" si="120"/>
        <v>43.066610852480984</v>
      </c>
      <c r="EY54" s="539">
        <f t="shared" si="121"/>
        <v>381.57017215298151</v>
      </c>
      <c r="EZ54" s="19">
        <f t="shared" si="122"/>
        <v>31.007959813786307</v>
      </c>
      <c r="FA54" s="10">
        <f t="shared" si="123"/>
        <v>3.4997697306756557</v>
      </c>
      <c r="FB54" s="10">
        <f t="shared" si="124"/>
        <v>46.566380583156644</v>
      </c>
      <c r="FC54" s="539">
        <f t="shared" si="125"/>
        <v>412.57813196676784</v>
      </c>
      <c r="FD54" s="19">
        <f t="shared" si="126"/>
        <v>33.527794019872779</v>
      </c>
      <c r="FE54" s="10">
        <f t="shared" si="127"/>
        <v>3.7841753972768375</v>
      </c>
      <c r="FF54" s="10">
        <f t="shared" si="128"/>
        <v>50.350555980433484</v>
      </c>
      <c r="FG54" s="539">
        <f t="shared" si="129"/>
        <v>446.10592598664061</v>
      </c>
      <c r="FH54" s="19">
        <f t="shared" si="130"/>
        <v>36.252400305912104</v>
      </c>
      <c r="FI54" s="10">
        <f t="shared" si="131"/>
        <v>4.0916930367846618</v>
      </c>
      <c r="FJ54" s="10">
        <f t="shared" si="132"/>
        <v>54.442249017218145</v>
      </c>
      <c r="FK54" s="539">
        <f t="shared" si="133"/>
        <v>482.35832629255276</v>
      </c>
      <c r="FL54" s="19">
        <f t="shared" si="134"/>
        <v>39.198419292397062</v>
      </c>
      <c r="FM54" s="10">
        <f t="shared" si="135"/>
        <v>4.4242008230696461</v>
      </c>
      <c r="FN54" s="10">
        <f t="shared" si="136"/>
        <v>58.866449840287792</v>
      </c>
      <c r="FO54" s="539">
        <f t="shared" si="137"/>
        <v>521.55674558494979</v>
      </c>
      <c r="FP54" s="19">
        <f t="shared" si="138"/>
        <v>42.383843885007209</v>
      </c>
      <c r="FQ54" s="10">
        <f t="shared" si="139"/>
        <v>4.7837295581272246</v>
      </c>
      <c r="FR54" s="10">
        <f t="shared" si="140"/>
        <v>63.65017939841502</v>
      </c>
      <c r="FS54" s="539">
        <f t="shared" si="141"/>
        <v>563.94058946995699</v>
      </c>
      <c r="FT54" s="19">
        <f t="shared" si="142"/>
        <v>45.828129166858815</v>
      </c>
      <c r="FU54" s="10">
        <f t="shared" si="143"/>
        <v>5.1724750752662327</v>
      </c>
      <c r="FV54" s="10">
        <f t="shared" si="144"/>
        <v>68.822654473681254</v>
      </c>
      <c r="FW54" s="539">
        <f t="shared" si="145"/>
        <v>609.76871863681583</v>
      </c>
      <c r="FX54" s="19">
        <f t="shared" si="146"/>
        <v>49.552311221050502</v>
      </c>
      <c r="FY54" s="10">
        <f t="shared" si="147"/>
        <v>5.5928116502314342</v>
      </c>
      <c r="FZ54" s="10">
        <f t="shared" si="148"/>
        <v>74.415466123912694</v>
      </c>
      <c r="GA54" s="539">
        <f t="shared" si="149"/>
        <v>659.32102985786639</v>
      </c>
      <c r="GB54" s="19">
        <f t="shared" si="150"/>
        <v>53.57913560921714</v>
      </c>
      <c r="GC54" s="10">
        <f t="shared" si="151"/>
        <v>6.0473065021689774</v>
      </c>
      <c r="GD54" s="10">
        <f t="shared" si="152"/>
        <v>80.462772626081673</v>
      </c>
      <c r="GE54" s="539">
        <f t="shared" si="153"/>
        <v>712.90016546708353</v>
      </c>
      <c r="GF54" s="19">
        <f t="shared" si="154"/>
        <v>57.933196290778803</v>
      </c>
      <c r="GG54" s="10">
        <f t="shared" si="155"/>
        <v>6.538735472999865</v>
      </c>
      <c r="GH54" s="10">
        <f t="shared" si="156"/>
        <v>87.001508099081533</v>
      </c>
      <c r="GI54" s="539">
        <f t="shared" si="157"/>
        <v>770.83336175786235</v>
      </c>
      <c r="GJ54" s="19">
        <f t="shared" si="158"/>
        <v>62.6410858313387</v>
      </c>
      <c r="GK54" s="10">
        <f t="shared" si="159"/>
        <v>7.0700999809637359</v>
      </c>
      <c r="GL54" s="10">
        <f t="shared" si="160"/>
        <v>94.071608080045266</v>
      </c>
      <c r="GM54" s="539">
        <f t="shared" si="161"/>
        <v>833.47444758920096</v>
      </c>
      <c r="GN54" s="19">
        <f t="shared" si="162"/>
        <v>67.731557817632591</v>
      </c>
      <c r="GO54" s="10">
        <f t="shared" si="163"/>
        <v>7.6446453518772683</v>
      </c>
      <c r="GP54" s="10">
        <f t="shared" si="164"/>
        <v>101.71625343192254</v>
      </c>
      <c r="GQ54" s="539">
        <f t="shared" si="165"/>
        <v>901.20600540683358</v>
      </c>
      <c r="GR54" s="19">
        <f t="shared" si="166"/>
        <v>73.235702470984222</v>
      </c>
      <c r="GS54" s="10">
        <f t="shared" si="167"/>
        <v>8.265880640065939</v>
      </c>
      <c r="GT54" s="10">
        <f t="shared" si="168"/>
        <v>109.98213407198848</v>
      </c>
      <c r="GU54" s="539">
        <f t="shared" si="169"/>
        <v>974.44170787781786</v>
      </c>
      <c r="GV54" s="19">
        <f t="shared" si="170"/>
        <v>79.187136531831712</v>
      </c>
      <c r="GW54" s="10">
        <f t="shared" si="171"/>
        <v>8.9376000600261527</v>
      </c>
      <c r="GX54" s="10">
        <f t="shared" si="172"/>
        <v>118.91973413201464</v>
      </c>
      <c r="GY54" s="539">
        <f t="shared" si="173"/>
        <v>1053.6288444096497</v>
      </c>
      <c r="GZ54" s="19">
        <f t="shared" si="174"/>
        <v>85.622208575050536</v>
      </c>
      <c r="HA54" s="10">
        <f t="shared" si="175"/>
        <v>9.6639061597122513</v>
      </c>
      <c r="HB54" s="10">
        <f t="shared" si="176"/>
        <v>128.58364029172688</v>
      </c>
      <c r="HC54" s="539">
        <f t="shared" si="177"/>
        <v>1139.2510529847</v>
      </c>
      <c r="HD54" s="19">
        <f t="shared" si="178"/>
        <v>92.580221010043346</v>
      </c>
      <c r="HE54" s="10">
        <f t="shared" si="179"/>
        <v>10.449234876980062</v>
      </c>
      <c r="HF54" s="10">
        <f t="shared" si="180"/>
        <v>139.03287516870694</v>
      </c>
      <c r="HG54" s="539">
        <f t="shared" si="181"/>
        <v>1231.8312739947435</v>
      </c>
      <c r="HH54" s="19">
        <f t="shared" si="182"/>
        <v>100.10367012146899</v>
      </c>
      <c r="HI54" s="10">
        <f t="shared" si="183"/>
        <v>11.298382632219978</v>
      </c>
      <c r="HJ54" s="10">
        <f t="shared" si="184"/>
        <v>150.33125780092692</v>
      </c>
      <c r="HK54" s="539">
        <f t="shared" si="185"/>
        <v>1331.9349441162124</v>
      </c>
      <c r="HL54" s="19">
        <f t="shared" si="186"/>
        <v>108.23850561666738</v>
      </c>
      <c r="HM54" s="10">
        <f t="shared" si="187"/>
        <v>12.21653562264869</v>
      </c>
      <c r="HN54" s="10">
        <f t="shared" si="188"/>
        <v>162.5477934235756</v>
      </c>
      <c r="HO54" s="539">
        <f t="shared" si="189"/>
        <v>1440.1734497328798</v>
      </c>
      <c r="HP54" s="19">
        <f t="shared" si="190"/>
        <v>117.03441126497442</v>
      </c>
      <c r="HQ54" s="10">
        <f t="shared" si="191"/>
        <v>13.209301497175444</v>
      </c>
      <c r="HR54" s="10">
        <f t="shared" si="192"/>
        <v>175.75709492075103</v>
      </c>
      <c r="HS54" s="539">
        <f t="shared" si="193"/>
        <v>1557.2078609978539</v>
      </c>
      <c r="HT54" s="19">
        <f t="shared" si="194"/>
        <v>126.54510834294074</v>
      </c>
      <c r="HU54" s="10">
        <f t="shared" si="195"/>
        <v>14.282743605298052</v>
      </c>
      <c r="HV54" s="10">
        <f t="shared" si="196"/>
        <v>190.0398385260491</v>
      </c>
      <c r="HW54" s="539">
        <f t="shared" si="197"/>
        <v>1683.7529693407948</v>
      </c>
      <c r="HX54" s="19">
        <f t="shared" si="198"/>
        <v>136.82868373875533</v>
      </c>
      <c r="HY54" s="10">
        <f t="shared" si="199"/>
        <v>15.443418029204892</v>
      </c>
      <c r="HZ54" s="10">
        <f t="shared" si="200"/>
        <v>205.483256555254</v>
      </c>
      <c r="IA54" s="539">
        <f t="shared" si="201"/>
        <v>1820.5816530795503</v>
      </c>
      <c r="IB54" s="19">
        <f t="shared" si="202"/>
        <v>147.94794471978287</v>
      </c>
      <c r="IF54" s="441" t="s">
        <v>1311</v>
      </c>
      <c r="IG54" s="238">
        <v>4</v>
      </c>
      <c r="IH54" s="432">
        <f>IP21</f>
        <v>284.23117101375442</v>
      </c>
      <c r="II54" s="238" t="str">
        <f>IP22</f>
        <v>Undervalued</v>
      </c>
      <c r="IJ54" s="646">
        <f t="shared" si="350"/>
        <v>1</v>
      </c>
      <c r="IP54" s="11">
        <v>13</v>
      </c>
      <c r="IQ54" s="19">
        <f t="shared" si="358"/>
        <v>23.966770568207053</v>
      </c>
      <c r="IR54" s="20">
        <f t="shared" si="351"/>
        <v>6.9423197309312004</v>
      </c>
      <c r="JA54" s="11"/>
    </row>
    <row r="55" spans="1:263">
      <c r="A55" s="11"/>
      <c r="B55" s="20"/>
      <c r="C55" s="1220" t="s">
        <v>2344</v>
      </c>
      <c r="D55" s="47" t="s">
        <v>308</v>
      </c>
      <c r="E55" s="396">
        <f t="shared" si="333"/>
        <v>50.113599999999998</v>
      </c>
      <c r="F55" s="242">
        <v>40.113599999999998</v>
      </c>
      <c r="G55" s="48">
        <f>'Update Stock Prices'!S55</f>
        <v>8852188552.1885529</v>
      </c>
      <c r="H55" s="991">
        <f t="shared" si="27"/>
        <v>4.5314895591647326E-9</v>
      </c>
      <c r="I55" s="49">
        <f>'Update Stock Prices'!D55</f>
        <v>29.7</v>
      </c>
      <c r="J55" s="49">
        <f t="shared" si="1"/>
        <v>1191.37392</v>
      </c>
      <c r="K55" s="30">
        <v>1089.25</v>
      </c>
      <c r="L55" s="49">
        <f t="shared" si="28"/>
        <v>102.12392</v>
      </c>
      <c r="M55" s="50">
        <f t="shared" si="29"/>
        <v>9.3756180858388799E-2</v>
      </c>
      <c r="N55" s="49">
        <f t="shared" si="30"/>
        <v>27.154132264369192</v>
      </c>
      <c r="O55" s="48">
        <f t="shared" si="334"/>
        <v>10</v>
      </c>
      <c r="P55" s="49">
        <f t="shared" si="342"/>
        <v>24.009999999999991</v>
      </c>
      <c r="Q55" s="30">
        <f>0.24*4</f>
        <v>0.96</v>
      </c>
      <c r="R55" s="49">
        <f t="shared" si="242"/>
        <v>0.10543204928131415</v>
      </c>
      <c r="S55" s="49">
        <f t="shared" si="335"/>
        <v>38.509055999999994</v>
      </c>
      <c r="T55" s="49">
        <f t="shared" si="31"/>
        <v>3.2090879999999995</v>
      </c>
      <c r="U55" s="49" t="s">
        <v>54</v>
      </c>
      <c r="V55" s="50">
        <f t="shared" si="336"/>
        <v>3.2323232323232323E-2</v>
      </c>
      <c r="W55" s="50">
        <f t="shared" si="7"/>
        <v>3.5353735138857006E-2</v>
      </c>
      <c r="X55" s="49">
        <f t="shared" si="376"/>
        <v>9.5999999999999979</v>
      </c>
      <c r="Y55" s="49">
        <f t="shared" si="32"/>
        <v>9.6272639999999985</v>
      </c>
      <c r="Z55" s="860">
        <f t="shared" si="337"/>
        <v>0</v>
      </c>
      <c r="AA55" s="860">
        <f t="shared" si="338"/>
        <v>83.636400000000009</v>
      </c>
      <c r="AB55" s="49">
        <f t="shared" si="339"/>
        <v>2484.00108</v>
      </c>
      <c r="AC55" s="48">
        <v>1</v>
      </c>
      <c r="AD55" s="47" t="str">
        <f t="shared" si="340"/>
        <v>GE</v>
      </c>
      <c r="AE55" s="49">
        <f t="shared" si="341"/>
        <v>1191.37392</v>
      </c>
      <c r="AF55" s="50" t="e">
        <f t="shared" si="310"/>
        <v>#REF!</v>
      </c>
      <c r="AG55" s="890" t="e">
        <f t="shared" si="332"/>
        <v>#REF!</v>
      </c>
      <c r="AH55" s="207" t="s">
        <v>1131</v>
      </c>
      <c r="AI55" s="240">
        <f t="shared" si="312"/>
        <v>3.2221407694523081</v>
      </c>
      <c r="AJ55" s="11">
        <f t="shared" si="33"/>
        <v>2</v>
      </c>
      <c r="AK55" s="11"/>
      <c r="AL55" s="11"/>
      <c r="AM55" s="11"/>
      <c r="AN55" s="11"/>
      <c r="AO55" s="11"/>
      <c r="AP55" s="11">
        <v>1</v>
      </c>
      <c r="AQ55" s="11" t="str">
        <f>'Update Stock Prices'!Q55</f>
        <v>mega</v>
      </c>
      <c r="AR55" s="11"/>
      <c r="AS55" s="11"/>
      <c r="AT55" s="176"/>
      <c r="AV55" s="838" t="s">
        <v>1707</v>
      </c>
      <c r="AW55" s="452" t="s">
        <v>1707</v>
      </c>
      <c r="AX55" s="420">
        <f t="shared" si="314"/>
        <v>88</v>
      </c>
      <c r="AY55" s="19">
        <f t="shared" si="293"/>
        <v>4495.2335066368369</v>
      </c>
      <c r="AZ55" s="19">
        <f t="shared" si="291"/>
        <v>374.60279221973639</v>
      </c>
      <c r="BA55" s="19">
        <f t="shared" si="292"/>
        <v>12.30727859448826</v>
      </c>
      <c r="BB55" s="234">
        <f t="shared" si="294"/>
        <v>111122.1722840626</v>
      </c>
      <c r="BC55" s="19"/>
      <c r="BE55" s="74"/>
      <c r="BF55" s="74"/>
      <c r="BS55" s="420" t="str">
        <f t="shared" si="37"/>
        <v>GE</v>
      </c>
      <c r="BT55" s="425">
        <f t="shared" si="38"/>
        <v>40.113599999999998</v>
      </c>
      <c r="BU55" s="19">
        <f t="shared" si="39"/>
        <v>29.7</v>
      </c>
      <c r="BV55" s="19">
        <f t="shared" si="40"/>
        <v>1191.37392</v>
      </c>
      <c r="BW55" s="539">
        <f t="shared" si="41"/>
        <v>0.96</v>
      </c>
      <c r="BX55" s="19">
        <f t="shared" si="42"/>
        <v>38.509055999999994</v>
      </c>
      <c r="BY55" s="10">
        <f t="shared" si="43"/>
        <v>1.296601212121212</v>
      </c>
      <c r="BZ55" s="10">
        <f t="shared" si="44"/>
        <v>41.410201212121208</v>
      </c>
      <c r="CA55" s="539">
        <f t="shared" si="45"/>
        <v>1229.8829759999999</v>
      </c>
      <c r="CB55" s="19">
        <f t="shared" si="46"/>
        <v>39.75379316363636</v>
      </c>
      <c r="CC55" s="10">
        <f t="shared" si="47"/>
        <v>1.3385115543311905</v>
      </c>
      <c r="CD55" s="10">
        <f t="shared" si="48"/>
        <v>42.7487127664524</v>
      </c>
      <c r="CE55" s="539">
        <f t="shared" si="49"/>
        <v>1269.6367691636362</v>
      </c>
      <c r="CF55" s="19">
        <f t="shared" si="50"/>
        <v>41.038764255794305</v>
      </c>
      <c r="CG55" s="10">
        <f t="shared" si="51"/>
        <v>1.3817765742691686</v>
      </c>
      <c r="CH55" s="10">
        <f t="shared" si="52"/>
        <v>44.130489340721567</v>
      </c>
      <c r="CI55" s="539">
        <f t="shared" si="53"/>
        <v>1310.6755334194306</v>
      </c>
      <c r="CJ55" s="19">
        <f t="shared" si="54"/>
        <v>42.365269767092705</v>
      </c>
      <c r="CK55" s="10">
        <f t="shared" si="55"/>
        <v>1.4264400594980708</v>
      </c>
      <c r="CL55" s="10">
        <f t="shared" si="56"/>
        <v>45.556929400219637</v>
      </c>
      <c r="CM55" s="539">
        <f t="shared" si="57"/>
        <v>1353.0408031865231</v>
      </c>
      <c r="CN55" s="19">
        <f t="shared" si="58"/>
        <v>43.734652224210848</v>
      </c>
      <c r="CO55" s="10">
        <f t="shared" si="59"/>
        <v>1.4725472129363921</v>
      </c>
      <c r="CP55" s="10">
        <f t="shared" si="60"/>
        <v>47.029476613156028</v>
      </c>
      <c r="CQ55" s="539">
        <f t="shared" si="61"/>
        <v>1396.7754554107339</v>
      </c>
      <c r="CR55" s="19">
        <f t="shared" si="62"/>
        <v>45.148297548629785</v>
      </c>
      <c r="CS55" s="10">
        <f t="shared" si="63"/>
        <v>1.5201446986070635</v>
      </c>
      <c r="CT55" s="10">
        <f t="shared" si="64"/>
        <v>48.54962131176309</v>
      </c>
      <c r="CU55" s="539">
        <f t="shared" si="65"/>
        <v>1441.9237529593638</v>
      </c>
      <c r="CV55" s="19">
        <f t="shared" si="66"/>
        <v>46.607636459292564</v>
      </c>
      <c r="CW55" s="10">
        <f t="shared" si="67"/>
        <v>1.5692806888650694</v>
      </c>
      <c r="CX55" s="10">
        <f t="shared" si="68"/>
        <v>50.118902000628161</v>
      </c>
      <c r="CY55" s="539">
        <f t="shared" si="69"/>
        <v>1488.5313894186563</v>
      </c>
      <c r="CZ55" s="19">
        <f t="shared" si="70"/>
        <v>48.114145920603036</v>
      </c>
      <c r="DA55" s="10">
        <f t="shared" si="71"/>
        <v>1.6200049131516174</v>
      </c>
      <c r="DB55" s="10">
        <f t="shared" si="72"/>
        <v>51.738906913779779</v>
      </c>
      <c r="DC55" s="539">
        <f t="shared" si="73"/>
        <v>1536.6455353392594</v>
      </c>
      <c r="DD55" s="19">
        <f t="shared" si="74"/>
        <v>49.66935063722859</v>
      </c>
      <c r="DE55" s="10">
        <f t="shared" si="75"/>
        <v>1.6723687083241949</v>
      </c>
      <c r="DF55" s="10">
        <f t="shared" si="76"/>
        <v>53.411275622103972</v>
      </c>
      <c r="DG55" s="539">
        <f t="shared" si="77"/>
        <v>1586.3148859764879</v>
      </c>
      <c r="DH55" s="19">
        <f t="shared" si="78"/>
        <v>51.274824597219812</v>
      </c>
      <c r="DI55" s="10">
        <f t="shared" si="79"/>
        <v>1.7264250706134616</v>
      </c>
      <c r="DJ55" s="10">
        <f t="shared" si="80"/>
        <v>55.137700692717431</v>
      </c>
      <c r="DK55" s="539">
        <f t="shared" si="81"/>
        <v>1637.5897105737076</v>
      </c>
      <c r="DL55" s="19">
        <f t="shared" si="82"/>
        <v>52.932192665008735</v>
      </c>
      <c r="DM55" s="10">
        <f t="shared" si="83"/>
        <v>1.7822287092595535</v>
      </c>
      <c r="DN55" s="10">
        <f t="shared" si="84"/>
        <v>56.919929401976987</v>
      </c>
      <c r="DO55" s="539">
        <f t="shared" si="85"/>
        <v>1690.5219032387165</v>
      </c>
      <c r="DP55" s="19">
        <f t="shared" si="86"/>
        <v>54.643132225897908</v>
      </c>
      <c r="DQ55" s="10">
        <f t="shared" si="87"/>
        <v>1.8398361018820846</v>
      </c>
      <c r="DR55" s="10">
        <f t="shared" si="88"/>
        <v>58.759765503859072</v>
      </c>
      <c r="DS55" s="539">
        <f t="shared" si="89"/>
        <v>1745.1650354646144</v>
      </c>
      <c r="DT55" s="19">
        <f t="shared" si="90"/>
        <v>56.409374883704707</v>
      </c>
      <c r="DU55" s="10">
        <f t="shared" si="91"/>
        <v>1.8993055516398891</v>
      </c>
      <c r="DV55" s="10">
        <f t="shared" si="92"/>
        <v>60.659071055498963</v>
      </c>
      <c r="DW55" s="539">
        <f t="shared" si="93"/>
        <v>1801.5744103483191</v>
      </c>
      <c r="DX55" s="19">
        <f t="shared" si="94"/>
        <v>58.232708213279004</v>
      </c>
      <c r="DY55" s="10">
        <f t="shared" si="95"/>
        <v>1.9606972462383503</v>
      </c>
      <c r="DZ55" s="10">
        <f t="shared" si="96"/>
        <v>62.619768301737309</v>
      </c>
      <c r="EA55" s="539">
        <f t="shared" si="97"/>
        <v>1859.8071185615981</v>
      </c>
      <c r="EB55" s="19">
        <f t="shared" si="98"/>
        <v>60.114977569667815</v>
      </c>
      <c r="EC55" s="10">
        <f t="shared" si="99"/>
        <v>2.0240733188440343</v>
      </c>
      <c r="ED55" s="10">
        <f t="shared" si="100"/>
        <v>64.643841620581341</v>
      </c>
      <c r="EE55" s="539">
        <f t="shared" si="101"/>
        <v>1919.9220961312658</v>
      </c>
      <c r="EF55" s="19">
        <f t="shared" si="102"/>
        <v>62.058087955758083</v>
      </c>
      <c r="EG55" s="10">
        <f t="shared" si="103"/>
        <v>2.0894979109682859</v>
      </c>
      <c r="EH55" s="10">
        <f t="shared" si="104"/>
        <v>66.733339531549632</v>
      </c>
      <c r="EI55" s="539">
        <f t="shared" si="105"/>
        <v>1981.9801840870241</v>
      </c>
      <c r="EJ55" s="19">
        <f t="shared" si="106"/>
        <v>64.064005950287651</v>
      </c>
      <c r="EK55" s="10">
        <f t="shared" si="107"/>
        <v>2.1570372373834226</v>
      </c>
      <c r="EL55" s="10">
        <f t="shared" si="108"/>
        <v>68.890376768933052</v>
      </c>
      <c r="EM55" s="539">
        <f t="shared" si="109"/>
        <v>2046.0441900373116</v>
      </c>
      <c r="EN55" s="19">
        <f t="shared" si="110"/>
        <v>66.134761698175723</v>
      </c>
      <c r="EO55" s="10">
        <f t="shared" si="111"/>
        <v>2.2267596531372296</v>
      </c>
      <c r="EP55" s="10">
        <f t="shared" si="112"/>
        <v>71.117136422070288</v>
      </c>
      <c r="EQ55" s="539">
        <f t="shared" si="113"/>
        <v>2112.1789517354873</v>
      </c>
      <c r="ER55" s="19">
        <f t="shared" si="114"/>
        <v>68.272450965187474</v>
      </c>
      <c r="ES55" s="10">
        <f t="shared" si="115"/>
        <v>2.2987357227335852</v>
      </c>
      <c r="ET55" s="10">
        <f t="shared" si="116"/>
        <v>73.41587214480387</v>
      </c>
      <c r="EU55" s="539">
        <f t="shared" si="117"/>
        <v>2180.4514027006749</v>
      </c>
      <c r="EV55" s="19">
        <f t="shared" si="118"/>
        <v>70.479237259011711</v>
      </c>
      <c r="EW55" s="10">
        <f t="shared" si="119"/>
        <v>2.3730382915492161</v>
      </c>
      <c r="EX55" s="10">
        <f t="shared" si="120"/>
        <v>75.788910436353092</v>
      </c>
      <c r="EY55" s="539">
        <f t="shared" si="121"/>
        <v>2250.9306399596867</v>
      </c>
      <c r="EZ55" s="19">
        <f t="shared" si="122"/>
        <v>72.757354018898965</v>
      </c>
      <c r="FA55" s="10">
        <f t="shared" si="123"/>
        <v>2.4497425595588878</v>
      </c>
      <c r="FB55" s="10">
        <f t="shared" si="124"/>
        <v>78.238652995911977</v>
      </c>
      <c r="FC55" s="539">
        <f t="shared" si="125"/>
        <v>2323.6879939785858</v>
      </c>
      <c r="FD55" s="19">
        <f t="shared" si="126"/>
        <v>75.109106876075501</v>
      </c>
      <c r="FE55" s="10">
        <f t="shared" si="127"/>
        <v>2.5289261574436197</v>
      </c>
      <c r="FF55" s="10">
        <f t="shared" si="128"/>
        <v>80.767579153355598</v>
      </c>
      <c r="FG55" s="539">
        <f t="shared" si="129"/>
        <v>2398.797100854661</v>
      </c>
      <c r="FH55" s="19">
        <f t="shared" si="130"/>
        <v>77.536875987221364</v>
      </c>
      <c r="FI55" s="10">
        <f t="shared" si="131"/>
        <v>2.6106692251589685</v>
      </c>
      <c r="FJ55" s="10">
        <f t="shared" si="132"/>
        <v>83.37824837851457</v>
      </c>
      <c r="FK55" s="539">
        <f t="shared" si="133"/>
        <v>2476.3339768418828</v>
      </c>
      <c r="FL55" s="19">
        <f t="shared" si="134"/>
        <v>80.043118443373984</v>
      </c>
      <c r="FM55" s="10">
        <f t="shared" si="135"/>
        <v>2.6950544930428952</v>
      </c>
      <c r="FN55" s="10">
        <f t="shared" si="136"/>
        <v>86.073302871557459</v>
      </c>
      <c r="FO55" s="539">
        <f t="shared" si="137"/>
        <v>2556.3770952852565</v>
      </c>
      <c r="FP55" s="19">
        <f t="shared" si="138"/>
        <v>82.630370756695157</v>
      </c>
      <c r="FQ55" s="10">
        <f t="shared" si="139"/>
        <v>2.7821673655452916</v>
      </c>
      <c r="FR55" s="10">
        <f t="shared" si="140"/>
        <v>88.85547023710275</v>
      </c>
      <c r="FS55" s="539">
        <f t="shared" si="141"/>
        <v>2639.0074660419518</v>
      </c>
      <c r="FT55" s="19">
        <f t="shared" si="142"/>
        <v>85.301251427618638</v>
      </c>
      <c r="FU55" s="10">
        <f t="shared" si="143"/>
        <v>2.8720960076639273</v>
      </c>
      <c r="FV55" s="10">
        <f t="shared" si="144"/>
        <v>91.727566244766678</v>
      </c>
      <c r="FW55" s="539">
        <f t="shared" si="145"/>
        <v>2724.3087174695702</v>
      </c>
      <c r="FX55" s="19">
        <f t="shared" si="146"/>
        <v>88.058463594976004</v>
      </c>
      <c r="FY55" s="10">
        <f t="shared" si="147"/>
        <v>2.9649314341742765</v>
      </c>
      <c r="FZ55" s="10">
        <f t="shared" si="148"/>
        <v>94.692497678940953</v>
      </c>
      <c r="GA55" s="539">
        <f t="shared" si="149"/>
        <v>2812.367181064546</v>
      </c>
      <c r="GB55" s="19">
        <f t="shared" si="150"/>
        <v>90.904797771783308</v>
      </c>
      <c r="GC55" s="10">
        <f t="shared" si="151"/>
        <v>3.0607676017435459</v>
      </c>
      <c r="GD55" s="10">
        <f t="shared" si="152"/>
        <v>97.753265280684502</v>
      </c>
      <c r="GE55" s="539">
        <f t="shared" si="153"/>
        <v>2903.2719788363297</v>
      </c>
      <c r="GF55" s="19">
        <f t="shared" si="154"/>
        <v>93.843134669457115</v>
      </c>
      <c r="GG55" s="10">
        <f t="shared" si="155"/>
        <v>3.159701504022125</v>
      </c>
      <c r="GH55" s="10">
        <f t="shared" si="156"/>
        <v>100.91296678470663</v>
      </c>
      <c r="GI55" s="539">
        <f t="shared" si="157"/>
        <v>2997.1151135057867</v>
      </c>
      <c r="GJ55" s="19">
        <f t="shared" si="158"/>
        <v>96.876448113318361</v>
      </c>
      <c r="GK55" s="10">
        <f t="shared" si="159"/>
        <v>3.2618332698086991</v>
      </c>
      <c r="GL55" s="10">
        <f t="shared" si="160"/>
        <v>104.17480005451533</v>
      </c>
      <c r="GM55" s="539">
        <f t="shared" si="161"/>
        <v>3093.9915616191051</v>
      </c>
      <c r="GN55" s="19">
        <f t="shared" si="162"/>
        <v>100.00780805233471</v>
      </c>
      <c r="GO55" s="10">
        <f t="shared" si="163"/>
        <v>3.3672662643883742</v>
      </c>
      <c r="GP55" s="10">
        <f t="shared" si="164"/>
        <v>107.54206631890371</v>
      </c>
      <c r="GQ55" s="539">
        <f t="shared" si="165"/>
        <v>3193.99936967144</v>
      </c>
      <c r="GR55" s="19">
        <f t="shared" si="166"/>
        <v>103.24038366614755</v>
      </c>
      <c r="GS55" s="10">
        <f t="shared" si="167"/>
        <v>3.4761071941463824</v>
      </c>
      <c r="GT55" s="10">
        <f t="shared" si="168"/>
        <v>111.01817351305009</v>
      </c>
      <c r="GU55" s="539">
        <f t="shared" si="169"/>
        <v>3297.2397533375874</v>
      </c>
      <c r="GV55" s="19">
        <f t="shared" si="170"/>
        <v>106.57744657252807</v>
      </c>
      <c r="GW55" s="10">
        <f t="shared" si="171"/>
        <v>3.5884662145632351</v>
      </c>
      <c r="GX55" s="10">
        <f t="shared" si="172"/>
        <v>114.60663972761333</v>
      </c>
      <c r="GY55" s="539">
        <f t="shared" si="173"/>
        <v>3403.817199910116</v>
      </c>
      <c r="GZ55" s="19">
        <f t="shared" si="174"/>
        <v>110.02237413850879</v>
      </c>
      <c r="HA55" s="10">
        <f t="shared" si="175"/>
        <v>3.7044570417006328</v>
      </c>
      <c r="HB55" s="10">
        <f t="shared" si="176"/>
        <v>118.31109676931396</v>
      </c>
      <c r="HC55" s="539">
        <f t="shared" si="177"/>
        <v>3513.8395740486244</v>
      </c>
      <c r="HD55" s="19">
        <f t="shared" si="178"/>
        <v>113.57865289854141</v>
      </c>
      <c r="HE55" s="10">
        <f t="shared" si="179"/>
        <v>3.8241970672909567</v>
      </c>
      <c r="HF55" s="10">
        <f t="shared" si="180"/>
        <v>122.13529383660492</v>
      </c>
      <c r="HG55" s="539">
        <f t="shared" si="181"/>
        <v>3627.4182269471657</v>
      </c>
      <c r="HH55" s="19">
        <f t="shared" si="182"/>
        <v>117.24988208314072</v>
      </c>
      <c r="HI55" s="10">
        <f t="shared" si="183"/>
        <v>3.9478074775468257</v>
      </c>
      <c r="HJ55" s="10">
        <f t="shared" si="184"/>
        <v>126.08310131415175</v>
      </c>
      <c r="HK55" s="539">
        <f t="shared" si="185"/>
        <v>3744.6681090303068</v>
      </c>
      <c r="HL55" s="19">
        <f t="shared" si="186"/>
        <v>121.03977726158567</v>
      </c>
      <c r="HM55" s="10">
        <f t="shared" si="187"/>
        <v>4.0754133758109656</v>
      </c>
      <c r="HN55" s="10">
        <f t="shared" si="188"/>
        <v>130.15851468996271</v>
      </c>
      <c r="HO55" s="539">
        <f t="shared" si="189"/>
        <v>3865.7078862918925</v>
      </c>
      <c r="HP55" s="19">
        <f t="shared" si="190"/>
        <v>124.9521741023642</v>
      </c>
      <c r="HQ55" s="10">
        <f t="shared" si="191"/>
        <v>4.2071439091705116</v>
      </c>
      <c r="HR55" s="10">
        <f t="shared" si="192"/>
        <v>134.36565859913321</v>
      </c>
      <c r="HS55" s="539">
        <f t="shared" si="193"/>
        <v>3990.6600603942561</v>
      </c>
      <c r="HT55" s="19">
        <f t="shared" si="194"/>
        <v>128.99103225516788</v>
      </c>
      <c r="HU55" s="10">
        <f t="shared" si="195"/>
        <v>4.3431323991639017</v>
      </c>
      <c r="HV55" s="10">
        <f t="shared" si="196"/>
        <v>138.7087909982971</v>
      </c>
      <c r="HW55" s="539">
        <f t="shared" si="197"/>
        <v>4119.6510926494238</v>
      </c>
      <c r="HX55" s="19">
        <f t="shared" si="198"/>
        <v>133.16043935836521</v>
      </c>
      <c r="HY55" s="10">
        <f t="shared" si="199"/>
        <v>4.4835164767126336</v>
      </c>
      <c r="HZ55" s="10">
        <f t="shared" si="200"/>
        <v>143.19230747500973</v>
      </c>
      <c r="IA55" s="539">
        <f t="shared" si="201"/>
        <v>4252.8115320077886</v>
      </c>
      <c r="IB55" s="19">
        <f t="shared" si="202"/>
        <v>137.46461517600935</v>
      </c>
      <c r="IP55" s="11">
        <v>14</v>
      </c>
      <c r="IQ55" s="19">
        <f t="shared" si="358"/>
        <v>25.88411221366362</v>
      </c>
      <c r="IR55" s="20">
        <f t="shared" si="351"/>
        <v>6.8160957358233594</v>
      </c>
    </row>
    <row r="56" spans="1:263" ht="13.5" thickBot="1">
      <c r="A56" s="11"/>
      <c r="B56" s="20"/>
      <c r="C56" s="1220" t="s">
        <v>2342</v>
      </c>
      <c r="D56" s="47" t="s">
        <v>2650</v>
      </c>
      <c r="E56" s="396">
        <f t="shared" ref="E56" si="377">F56+O56</f>
        <v>29.084600000000002</v>
      </c>
      <c r="F56" s="242">
        <f>1.0159+0.0687</f>
        <v>1.0846</v>
      </c>
      <c r="G56" s="48">
        <f>'Update Stock Prices'!S56</f>
        <v>12889478.337754199</v>
      </c>
      <c r="H56" s="991">
        <f t="shared" ref="H56" si="378">F56/G56</f>
        <v>8.4146151735491847E-8</v>
      </c>
      <c r="I56" s="49">
        <f>'Update Stock Prices'!D56</f>
        <v>11.31</v>
      </c>
      <c r="J56" s="49">
        <f t="shared" ref="J56" si="379">F56*I56</f>
        <v>12.266826</v>
      </c>
      <c r="K56" s="30">
        <v>34.369999999999997</v>
      </c>
      <c r="L56" s="49">
        <f t="shared" ref="L56" si="380">J56-K56</f>
        <v>-22.103173999999996</v>
      </c>
      <c r="M56" s="50">
        <f t="shared" ref="M56" si="381">L56/K56</f>
        <v>-0.64309496654058762</v>
      </c>
      <c r="N56" s="49">
        <f t="shared" ref="N56" si="382">K56/F56</f>
        <v>31.68910197307763</v>
      </c>
      <c r="O56" s="48">
        <f t="shared" ref="O56" si="383">IF(INT(($B$11-$B$12)/I56)&lt;0,0,INT(($B$11-$B$12)/I56))</f>
        <v>28</v>
      </c>
      <c r="P56" s="49">
        <f t="shared" ref="P56" si="384">IF(($B$11-$B$12)-(O56*I56)&lt;0,0,($B$11-$B$12)-(O56*I56))</f>
        <v>4.3299999999999841</v>
      </c>
      <c r="Q56" s="30">
        <f>0.083*12</f>
        <v>0.996</v>
      </c>
      <c r="R56" s="49">
        <f t="shared" ref="R56" si="385">S56/365.25</f>
        <v>2.9575950718685835E-3</v>
      </c>
      <c r="S56" s="49">
        <f t="shared" ref="S56" si="386">F56*Q56</f>
        <v>1.0802616</v>
      </c>
      <c r="T56" s="49">
        <f t="shared" ref="T56" si="387">S56/12</f>
        <v>9.0021799999999999E-2</v>
      </c>
      <c r="U56" s="49" t="s">
        <v>56</v>
      </c>
      <c r="V56" s="50">
        <f t="shared" ref="V56" si="388">Q56/I56</f>
        <v>8.8063660477453579E-2</v>
      </c>
      <c r="W56" s="50">
        <f t="shared" ref="W56" si="389">S56/K56</f>
        <v>3.1430363689263899E-2</v>
      </c>
      <c r="X56" s="49">
        <f t="shared" ref="X56" si="390">12*((E56*Q56)/12-T56)</f>
        <v>27.887999999999998</v>
      </c>
      <c r="Y56" s="49">
        <f t="shared" ref="Y56" si="391">IF(U56="Q",3*T56,IF(U56="Y",12*T56,IF(U56="B",6*T56,IF(U56="M",T56,0))))</f>
        <v>9.0021799999999999E-2</v>
      </c>
      <c r="Z56" s="860">
        <f t="shared" ref="Z56" si="392">IF(Y56/I56&gt;1,1,0)</f>
        <v>0</v>
      </c>
      <c r="AA56" s="860">
        <f t="shared" ref="AA56" si="393">IF(Z56=1,"",IF(AND(U56&lt;&gt;"",Z56=0),I56/(Y56/F56)-F56,""))</f>
        <v>135.18046024096387</v>
      </c>
      <c r="AB56" s="49">
        <f t="shared" ref="AB56" si="394">IF(AA56&lt;&gt;"",AA56*I56,"")</f>
        <v>1528.8910053253014</v>
      </c>
      <c r="AC56" s="48">
        <v>1</v>
      </c>
      <c r="AD56" s="47" t="str">
        <f t="shared" ref="AD56" si="395">D56</f>
        <v>GECC</v>
      </c>
      <c r="AE56" s="49">
        <f t="shared" ref="AE56" si="396">J56</f>
        <v>12.266826</v>
      </c>
      <c r="AF56" s="50" t="e">
        <f t="shared" si="310"/>
        <v>#REF!</v>
      </c>
      <c r="AG56" s="890" t="e">
        <f t="shared" ref="AG56" si="397">(100*AF56)^2</f>
        <v>#REF!</v>
      </c>
      <c r="AH56" s="207" t="s">
        <v>320</v>
      </c>
      <c r="AI56" s="240">
        <f t="shared" si="312"/>
        <v>3.4159597309156602E-4</v>
      </c>
      <c r="AJ56" s="11">
        <f t="shared" ref="AJ56" si="398">LEN(D56)</f>
        <v>4</v>
      </c>
      <c r="AK56" s="11"/>
      <c r="AL56" s="11"/>
      <c r="AM56" s="11"/>
      <c r="AN56" s="11"/>
      <c r="AO56" s="11"/>
      <c r="AP56" s="11"/>
      <c r="AQ56" s="11" t="str">
        <f>'Update Stock Prices'!Q56</f>
        <v>micro</v>
      </c>
      <c r="AR56" s="11"/>
      <c r="AS56" s="11"/>
      <c r="AT56" s="176"/>
      <c r="AV56" s="761">
        <f>AV84-AV53</f>
        <v>-5937884.4992132476</v>
      </c>
      <c r="AW56" s="186">
        <f>AV84-AW53</f>
        <v>-2896136.1540859737</v>
      </c>
      <c r="AX56" s="420">
        <f t="shared" si="314"/>
        <v>89</v>
      </c>
      <c r="AY56" s="19">
        <f t="shared" si="293"/>
        <v>4444.8868913625038</v>
      </c>
      <c r="AZ56" s="19">
        <f t="shared" si="291"/>
        <v>370.40724094687533</v>
      </c>
      <c r="BA56" s="19">
        <f t="shared" si="292"/>
        <v>12.16943707422999</v>
      </c>
      <c r="BB56" s="234">
        <f t="shared" si="294"/>
        <v>109877.60395448111</v>
      </c>
      <c r="BC56" s="19"/>
      <c r="BE56" s="74"/>
      <c r="BF56" s="74"/>
      <c r="BS56" s="420" t="str">
        <f t="shared" si="37"/>
        <v>GECC</v>
      </c>
      <c r="BT56" s="425">
        <f t="shared" si="38"/>
        <v>1.0846</v>
      </c>
      <c r="BU56" s="19">
        <f t="shared" si="39"/>
        <v>11.31</v>
      </c>
      <c r="BV56" s="19">
        <f t="shared" si="40"/>
        <v>12.266826</v>
      </c>
      <c r="BW56" s="539">
        <f t="shared" si="41"/>
        <v>0.996</v>
      </c>
      <c r="BX56" s="19">
        <f t="shared" si="42"/>
        <v>1.0802616</v>
      </c>
      <c r="BY56" s="10">
        <f t="shared" si="43"/>
        <v>9.5513846153846158E-2</v>
      </c>
      <c r="BZ56" s="10">
        <f t="shared" si="44"/>
        <v>1.1801138461538461</v>
      </c>
      <c r="CA56" s="539">
        <f t="shared" si="45"/>
        <v>13.3470876</v>
      </c>
      <c r="CB56" s="19">
        <f t="shared" si="46"/>
        <v>1.1753933907692307</v>
      </c>
      <c r="CC56" s="10">
        <f t="shared" si="47"/>
        <v>0.10392514507243418</v>
      </c>
      <c r="CD56" s="10">
        <f t="shared" si="48"/>
        <v>1.2840389912262802</v>
      </c>
      <c r="CE56" s="539">
        <f t="shared" si="49"/>
        <v>14.52248099076923</v>
      </c>
      <c r="CF56" s="19">
        <f t="shared" si="50"/>
        <v>1.2789028352613752</v>
      </c>
      <c r="CG56" s="10">
        <f t="shared" si="51"/>
        <v>0.11307717376316313</v>
      </c>
      <c r="CH56" s="10">
        <f t="shared" si="52"/>
        <v>1.3971161649894432</v>
      </c>
      <c r="CI56" s="539">
        <f t="shared" si="53"/>
        <v>15.801383826030603</v>
      </c>
      <c r="CJ56" s="19">
        <f t="shared" si="54"/>
        <v>1.3915277003294855</v>
      </c>
      <c r="CK56" s="10">
        <f t="shared" si="55"/>
        <v>0.12303516360119235</v>
      </c>
      <c r="CL56" s="10">
        <f t="shared" si="56"/>
        <v>1.5201513285906356</v>
      </c>
      <c r="CM56" s="539">
        <f t="shared" si="57"/>
        <v>17.192911526360088</v>
      </c>
      <c r="CN56" s="19">
        <f t="shared" si="58"/>
        <v>1.5140707232762731</v>
      </c>
      <c r="CO56" s="10">
        <f t="shared" si="59"/>
        <v>0.1338700904753557</v>
      </c>
      <c r="CP56" s="10">
        <f t="shared" si="60"/>
        <v>1.6540214190659914</v>
      </c>
      <c r="CQ56" s="539">
        <f t="shared" si="61"/>
        <v>18.706982249636365</v>
      </c>
      <c r="CR56" s="19">
        <f t="shared" si="62"/>
        <v>1.6474053333897274</v>
      </c>
      <c r="CS56" s="10">
        <f t="shared" si="63"/>
        <v>0.14565918067106343</v>
      </c>
      <c r="CT56" s="10">
        <f t="shared" si="64"/>
        <v>1.7996805997370549</v>
      </c>
      <c r="CU56" s="539">
        <f t="shared" si="65"/>
        <v>20.354387583026092</v>
      </c>
      <c r="CV56" s="19">
        <f t="shared" si="66"/>
        <v>1.7924818773381066</v>
      </c>
      <c r="CW56" s="10">
        <f t="shared" si="67"/>
        <v>0.15848646130310404</v>
      </c>
      <c r="CX56" s="10">
        <f t="shared" si="68"/>
        <v>1.9581670610401589</v>
      </c>
      <c r="CY56" s="539">
        <f t="shared" si="69"/>
        <v>22.146869460364197</v>
      </c>
      <c r="CZ56" s="19">
        <f t="shared" si="70"/>
        <v>1.9503343927959982</v>
      </c>
      <c r="DA56" s="10">
        <f t="shared" si="71"/>
        <v>0.17244335922157367</v>
      </c>
      <c r="DB56" s="10">
        <f t="shared" si="72"/>
        <v>2.1306104202617324</v>
      </c>
      <c r="DC56" s="539">
        <f t="shared" si="73"/>
        <v>24.097203853160195</v>
      </c>
      <c r="DD56" s="19">
        <f t="shared" si="74"/>
        <v>2.1220879785806854</v>
      </c>
      <c r="DE56" s="10">
        <f t="shared" si="75"/>
        <v>0.18762935265965389</v>
      </c>
      <c r="DF56" s="10">
        <f t="shared" si="76"/>
        <v>2.3182397729213862</v>
      </c>
      <c r="DG56" s="539">
        <f t="shared" si="77"/>
        <v>26.219291831740879</v>
      </c>
      <c r="DH56" s="19">
        <f t="shared" si="78"/>
        <v>2.3089668138297008</v>
      </c>
      <c r="DI56" s="10">
        <f t="shared" si="79"/>
        <v>0.20415268026787806</v>
      </c>
      <c r="DJ56" s="10">
        <f t="shared" si="80"/>
        <v>2.5223924531892643</v>
      </c>
      <c r="DK56" s="539">
        <f t="shared" si="81"/>
        <v>28.528258645570581</v>
      </c>
      <c r="DL56" s="19">
        <f t="shared" si="82"/>
        <v>2.5123028833765071</v>
      </c>
      <c r="DM56" s="10">
        <f t="shared" si="83"/>
        <v>0.22213111258855056</v>
      </c>
      <c r="DN56" s="10">
        <f t="shared" si="84"/>
        <v>2.7445235657778149</v>
      </c>
      <c r="DO56" s="539">
        <f t="shared" si="85"/>
        <v>31.040561528947087</v>
      </c>
      <c r="DP56" s="19">
        <f t="shared" si="86"/>
        <v>2.7335454715147036</v>
      </c>
      <c r="DQ56" s="10">
        <f t="shared" si="87"/>
        <v>0.24169279146902772</v>
      </c>
      <c r="DR56" s="10">
        <f t="shared" si="88"/>
        <v>2.9862163572468425</v>
      </c>
      <c r="DS56" s="539">
        <f t="shared" si="89"/>
        <v>33.77410700046179</v>
      </c>
      <c r="DT56" s="19">
        <f t="shared" si="90"/>
        <v>2.9742714918178552</v>
      </c>
      <c r="DU56" s="10">
        <f t="shared" si="91"/>
        <v>0.26297714339680417</v>
      </c>
      <c r="DV56" s="10">
        <f t="shared" si="92"/>
        <v>3.2491935006436465</v>
      </c>
      <c r="DW56" s="539">
        <f t="shared" si="93"/>
        <v>36.748378492279642</v>
      </c>
      <c r="DX56" s="19">
        <f t="shared" si="94"/>
        <v>3.2361967266410718</v>
      </c>
      <c r="DY56" s="10">
        <f t="shared" si="95"/>
        <v>0.28613587326623091</v>
      </c>
      <c r="DZ56" s="10">
        <f t="shared" si="96"/>
        <v>3.5353293739098772</v>
      </c>
      <c r="EA56" s="539">
        <f t="shared" si="97"/>
        <v>39.98457521892071</v>
      </c>
      <c r="EB56" s="19">
        <f t="shared" si="98"/>
        <v>3.5211880564142377</v>
      </c>
      <c r="EC56" s="10">
        <f t="shared" si="99"/>
        <v>0.31133404565996797</v>
      </c>
      <c r="ED56" s="10">
        <f t="shared" si="100"/>
        <v>3.846663419569845</v>
      </c>
      <c r="EE56" s="539">
        <f t="shared" si="101"/>
        <v>43.505763275334949</v>
      </c>
      <c r="EF56" s="19">
        <f t="shared" si="102"/>
        <v>3.8312767658915656</v>
      </c>
      <c r="EG56" s="10">
        <f t="shared" si="103"/>
        <v>0.33875126135203937</v>
      </c>
      <c r="EH56" s="10">
        <f t="shared" si="104"/>
        <v>4.185414680921884</v>
      </c>
      <c r="EI56" s="539">
        <f t="shared" si="105"/>
        <v>47.337040041226508</v>
      </c>
      <c r="EJ56" s="19">
        <f t="shared" si="106"/>
        <v>4.1686730221981962</v>
      </c>
      <c r="EK56" s="10">
        <f t="shared" si="107"/>
        <v>0.36858293741805448</v>
      </c>
      <c r="EL56" s="10">
        <f t="shared" si="108"/>
        <v>4.5539976183399382</v>
      </c>
      <c r="EM56" s="539">
        <f t="shared" si="109"/>
        <v>51.5057130634247</v>
      </c>
      <c r="EN56" s="19">
        <f t="shared" si="110"/>
        <v>4.5357816278665783</v>
      </c>
      <c r="EO56" s="10">
        <f t="shared" si="111"/>
        <v>0.40104170007662054</v>
      </c>
      <c r="EP56" s="10">
        <f t="shared" si="112"/>
        <v>4.9550393184165591</v>
      </c>
      <c r="EQ56" s="539">
        <f t="shared" si="113"/>
        <v>56.041494691291284</v>
      </c>
      <c r="ER56" s="19">
        <f t="shared" si="114"/>
        <v>4.9352191611428928</v>
      </c>
      <c r="ES56" s="10">
        <f t="shared" si="115"/>
        <v>0.43635890018946882</v>
      </c>
      <c r="ET56" s="10">
        <f t="shared" si="116"/>
        <v>5.3913982186060281</v>
      </c>
      <c r="EU56" s="539">
        <f t="shared" si="117"/>
        <v>60.97671385243418</v>
      </c>
      <c r="EV56" s="19">
        <f t="shared" si="118"/>
        <v>5.369832625731604</v>
      </c>
      <c r="EW56" s="10">
        <f t="shared" si="119"/>
        <v>0.47478626222206932</v>
      </c>
      <c r="EX56" s="10">
        <f t="shared" si="120"/>
        <v>5.8661844808280978</v>
      </c>
      <c r="EY56" s="539">
        <f t="shared" si="121"/>
        <v>66.346546478165791</v>
      </c>
      <c r="EZ56" s="19">
        <f t="shared" si="122"/>
        <v>5.8427197429047855</v>
      </c>
      <c r="FA56" s="10">
        <f t="shared" si="123"/>
        <v>0.51659767841775284</v>
      </c>
      <c r="FB56" s="10">
        <f t="shared" si="124"/>
        <v>6.3827821592458509</v>
      </c>
      <c r="FC56" s="539">
        <f t="shared" si="125"/>
        <v>72.189266221070582</v>
      </c>
      <c r="FD56" s="19">
        <f t="shared" si="126"/>
        <v>6.3572510306088672</v>
      </c>
      <c r="FE56" s="10">
        <f t="shared" si="127"/>
        <v>0.56209116097337464</v>
      </c>
      <c r="FF56" s="10">
        <f t="shared" si="128"/>
        <v>6.9448733202192257</v>
      </c>
      <c r="FG56" s="539">
        <f t="shared" si="129"/>
        <v>78.546517251679447</v>
      </c>
      <c r="FH56" s="19">
        <f t="shared" si="130"/>
        <v>6.9170938269383484</v>
      </c>
      <c r="FI56" s="10">
        <f t="shared" si="131"/>
        <v>0.61159096613071162</v>
      </c>
      <c r="FJ56" s="10">
        <f t="shared" si="132"/>
        <v>7.5564642863499376</v>
      </c>
      <c r="FK56" s="539">
        <f t="shared" si="133"/>
        <v>85.463611078617802</v>
      </c>
      <c r="FL56" s="19">
        <f t="shared" si="134"/>
        <v>7.5262384292045379</v>
      </c>
      <c r="FM56" s="10">
        <f t="shared" si="135"/>
        <v>0.66544990532312442</v>
      </c>
      <c r="FN56" s="10">
        <f t="shared" si="136"/>
        <v>8.2219141916730614</v>
      </c>
      <c r="FO56" s="539">
        <f t="shared" si="137"/>
        <v>92.989849507822328</v>
      </c>
      <c r="FP56" s="19">
        <f t="shared" si="138"/>
        <v>8.1890265349063682</v>
      </c>
      <c r="FQ56" s="10">
        <f t="shared" si="139"/>
        <v>0.72405185985025355</v>
      </c>
      <c r="FR56" s="10">
        <f t="shared" si="140"/>
        <v>8.9459660515233157</v>
      </c>
      <c r="FS56" s="539">
        <f t="shared" si="141"/>
        <v>101.1788760427287</v>
      </c>
      <c r="FT56" s="19">
        <f t="shared" si="142"/>
        <v>8.910182187317222</v>
      </c>
      <c r="FU56" s="10">
        <f t="shared" si="143"/>
        <v>0.78781451700417526</v>
      </c>
      <c r="FV56" s="10">
        <f t="shared" si="144"/>
        <v>9.7337805685274912</v>
      </c>
      <c r="FW56" s="539">
        <f t="shared" si="145"/>
        <v>110.08905823004594</v>
      </c>
      <c r="FX56" s="19">
        <f t="shared" si="146"/>
        <v>9.6948454462533817</v>
      </c>
      <c r="FY56" s="10">
        <f t="shared" si="147"/>
        <v>0.85719234714884007</v>
      </c>
      <c r="FZ56" s="10">
        <f t="shared" si="148"/>
        <v>10.590972915676332</v>
      </c>
      <c r="GA56" s="539">
        <f t="shared" si="149"/>
        <v>119.78390367629932</v>
      </c>
      <c r="GB56" s="19">
        <f t="shared" si="150"/>
        <v>10.548609024013627</v>
      </c>
      <c r="GC56" s="10">
        <f t="shared" si="151"/>
        <v>0.93267984297202711</v>
      </c>
      <c r="GD56" s="10">
        <f t="shared" si="152"/>
        <v>11.523652758648359</v>
      </c>
      <c r="GE56" s="539">
        <f t="shared" si="153"/>
        <v>130.33251270031295</v>
      </c>
      <c r="GF56" s="19">
        <f t="shared" si="154"/>
        <v>11.477558147613765</v>
      </c>
      <c r="GG56" s="10">
        <f t="shared" si="155"/>
        <v>1.0148150439976804</v>
      </c>
      <c r="GH56" s="10">
        <f t="shared" si="156"/>
        <v>12.538467802646039</v>
      </c>
      <c r="GI56" s="539">
        <f t="shared" si="157"/>
        <v>141.81007084792671</v>
      </c>
      <c r="GJ56" s="19">
        <f t="shared" si="158"/>
        <v>12.488313931435455</v>
      </c>
      <c r="GK56" s="10">
        <f t="shared" si="159"/>
        <v>1.1041833714797042</v>
      </c>
      <c r="GL56" s="10">
        <f t="shared" si="160"/>
        <v>13.642651174125744</v>
      </c>
      <c r="GM56" s="539">
        <f t="shared" si="161"/>
        <v>154.29838477936218</v>
      </c>
      <c r="GN56" s="19">
        <f t="shared" si="162"/>
        <v>13.588080569429241</v>
      </c>
      <c r="GO56" s="10">
        <f t="shared" si="163"/>
        <v>1.2014218010105429</v>
      </c>
      <c r="GP56" s="10">
        <f t="shared" si="164"/>
        <v>14.844072975136287</v>
      </c>
      <c r="GQ56" s="539">
        <f t="shared" si="165"/>
        <v>167.8864653487914</v>
      </c>
      <c r="GR56" s="19">
        <f t="shared" si="166"/>
        <v>14.784696683235742</v>
      </c>
      <c r="GS56" s="10">
        <f t="shared" si="167"/>
        <v>1.3072234025849463</v>
      </c>
      <c r="GT56" s="10">
        <f t="shared" si="168"/>
        <v>16.151296377721234</v>
      </c>
      <c r="GU56" s="539">
        <f t="shared" si="169"/>
        <v>182.67116203202715</v>
      </c>
      <c r="GV56" s="19">
        <f t="shared" si="170"/>
        <v>16.086691192210349</v>
      </c>
      <c r="GW56" s="10">
        <f t="shared" si="171"/>
        <v>1.4223422804783685</v>
      </c>
      <c r="GX56" s="10">
        <f t="shared" si="172"/>
        <v>17.573638658199602</v>
      </c>
      <c r="GY56" s="539">
        <f t="shared" si="173"/>
        <v>198.75785322423752</v>
      </c>
      <c r="GZ56" s="19">
        <f t="shared" si="174"/>
        <v>17.503344103566803</v>
      </c>
      <c r="HA56" s="10">
        <f t="shared" si="175"/>
        <v>1.5475989481491426</v>
      </c>
      <c r="HB56" s="10">
        <f t="shared" si="176"/>
        <v>19.121237606348746</v>
      </c>
      <c r="HC56" s="539">
        <f t="shared" si="177"/>
        <v>216.26119732780433</v>
      </c>
      <c r="HD56" s="19">
        <f t="shared" si="178"/>
        <v>19.04475265592335</v>
      </c>
      <c r="HE56" s="10">
        <f t="shared" si="179"/>
        <v>1.683886176474213</v>
      </c>
      <c r="HF56" s="10">
        <f t="shared" si="180"/>
        <v>20.80512378282296</v>
      </c>
      <c r="HG56" s="539">
        <f t="shared" si="181"/>
        <v>235.30594998372769</v>
      </c>
      <c r="HH56" s="19">
        <f t="shared" si="182"/>
        <v>20.721903287691667</v>
      </c>
      <c r="HI56" s="10">
        <f t="shared" si="183"/>
        <v>1.8321753570019157</v>
      </c>
      <c r="HJ56" s="10">
        <f t="shared" si="184"/>
        <v>22.637299139824876</v>
      </c>
      <c r="HK56" s="539">
        <f t="shared" si="185"/>
        <v>256.02785327141936</v>
      </c>
      <c r="HL56" s="19">
        <f t="shared" si="186"/>
        <v>22.546749943265578</v>
      </c>
      <c r="HM56" s="10">
        <f t="shared" si="187"/>
        <v>1.9935234255760899</v>
      </c>
      <c r="HN56" s="10">
        <f t="shared" si="188"/>
        <v>24.630822565400965</v>
      </c>
      <c r="HO56" s="539">
        <f t="shared" si="189"/>
        <v>278.57460321468494</v>
      </c>
      <c r="HP56" s="19">
        <f t="shared" si="190"/>
        <v>24.532299275139362</v>
      </c>
      <c r="HQ56" s="10">
        <f t="shared" si="191"/>
        <v>2.169080395679873</v>
      </c>
      <c r="HR56" s="10">
        <f t="shared" si="192"/>
        <v>26.799902961080839</v>
      </c>
      <c r="HS56" s="539">
        <f t="shared" si="193"/>
        <v>303.10690248982428</v>
      </c>
      <c r="HT56" s="19">
        <f t="shared" si="194"/>
        <v>26.692703349236517</v>
      </c>
      <c r="HU56" s="10">
        <f t="shared" si="195"/>
        <v>2.3600975551933261</v>
      </c>
      <c r="HV56" s="10">
        <f t="shared" si="196"/>
        <v>29.160000516274167</v>
      </c>
      <c r="HW56" s="539">
        <f t="shared" si="197"/>
        <v>329.79960583906086</v>
      </c>
      <c r="HX56" s="19">
        <f t="shared" si="198"/>
        <v>29.04336051420907</v>
      </c>
      <c r="HY56" s="10">
        <f t="shared" si="199"/>
        <v>2.5679363849875392</v>
      </c>
      <c r="HZ56" s="10">
        <f t="shared" si="200"/>
        <v>31.727936901261707</v>
      </c>
      <c r="IA56" s="539">
        <f t="shared" si="201"/>
        <v>358.8429663532699</v>
      </c>
      <c r="IB56" s="19">
        <f t="shared" si="202"/>
        <v>31.601025153656661</v>
      </c>
      <c r="IP56" s="11">
        <v>15</v>
      </c>
      <c r="IQ56" s="19">
        <f t="shared" si="358"/>
        <v>27.95484119075671</v>
      </c>
      <c r="IR56" s="20">
        <f t="shared" si="351"/>
        <v>6.6921667224447532</v>
      </c>
    </row>
    <row r="57" spans="1:263">
      <c r="A57" s="241"/>
      <c r="B57" s="20"/>
      <c r="C57" s="1219" t="s">
        <v>2342</v>
      </c>
      <c r="D57" s="47" t="s">
        <v>374</v>
      </c>
      <c r="E57" s="396">
        <f t="shared" si="333"/>
        <v>11.5732</v>
      </c>
      <c r="F57" s="242">
        <v>4.5731999999999999</v>
      </c>
      <c r="G57" s="48">
        <f>'Update Stock Prices'!S57</f>
        <v>74716799.228729814</v>
      </c>
      <c r="H57" s="991">
        <f t="shared" si="27"/>
        <v>6.1207118709677414E-8</v>
      </c>
      <c r="I57" s="49">
        <f>'Update Stock Prices'!D57</f>
        <v>41.49</v>
      </c>
      <c r="J57" s="49">
        <f t="shared" si="1"/>
        <v>189.74206800000002</v>
      </c>
      <c r="K57" s="30">
        <v>147.05000000000001</v>
      </c>
      <c r="L57" s="49">
        <f t="shared" si="28"/>
        <v>42.692068000000006</v>
      </c>
      <c r="M57" s="50">
        <f t="shared" si="29"/>
        <v>0.29032348180890855</v>
      </c>
      <c r="N57" s="49">
        <f t="shared" si="30"/>
        <v>32.154727543077058</v>
      </c>
      <c r="O57" s="48">
        <f t="shared" si="334"/>
        <v>7</v>
      </c>
      <c r="P57" s="49">
        <f>IF(($B$11-$B$12)-(O57*I57)&lt;0,0,($B$11-$B$12)-(O57*I57))</f>
        <v>30.579999999999984</v>
      </c>
      <c r="Q57" s="30">
        <f>0.65*4</f>
        <v>2.6</v>
      </c>
      <c r="R57" s="49">
        <f t="shared" si="242"/>
        <v>3.2553921971252571E-2</v>
      </c>
      <c r="S57" s="49">
        <f t="shared" si="335"/>
        <v>11.890320000000001</v>
      </c>
      <c r="T57" s="49">
        <f t="shared" si="31"/>
        <v>0.99086000000000007</v>
      </c>
      <c r="U57" s="49" t="s">
        <v>54</v>
      </c>
      <c r="V57" s="50">
        <f t="shared" si="336"/>
        <v>6.2665702578934682E-2</v>
      </c>
      <c r="W57" s="50">
        <f t="shared" si="7"/>
        <v>8.0859027541652501E-2</v>
      </c>
      <c r="X57" s="49">
        <f t="shared" si="376"/>
        <v>18.2</v>
      </c>
      <c r="Y57" s="49">
        <f t="shared" si="32"/>
        <v>2.9725800000000002</v>
      </c>
      <c r="Z57" s="860">
        <f t="shared" si="337"/>
        <v>0</v>
      </c>
      <c r="AA57" s="860">
        <f t="shared" si="338"/>
        <v>59.257569230769235</v>
      </c>
      <c r="AB57" s="49">
        <f t="shared" si="339"/>
        <v>2458.5965473846159</v>
      </c>
      <c r="AC57" s="48">
        <v>1</v>
      </c>
      <c r="AD57" s="47" t="str">
        <f t="shared" si="340"/>
        <v>GEO</v>
      </c>
      <c r="AE57" s="49">
        <f t="shared" si="341"/>
        <v>189.74206800000002</v>
      </c>
      <c r="AF57" s="50" t="e">
        <f t="shared" si="310"/>
        <v>#REF!</v>
      </c>
      <c r="AG57" s="890" t="e">
        <f t="shared" si="332"/>
        <v>#REF!</v>
      </c>
      <c r="AH57" s="207" t="s">
        <v>373</v>
      </c>
      <c r="AI57" s="240">
        <f t="shared" si="312"/>
        <v>8.172888830926188E-2</v>
      </c>
      <c r="AJ57" s="11">
        <f t="shared" si="33"/>
        <v>3</v>
      </c>
      <c r="AK57" s="11"/>
      <c r="AL57" s="11"/>
      <c r="AM57" s="11">
        <v>1</v>
      </c>
      <c r="AN57" s="11"/>
      <c r="AO57" s="11"/>
      <c r="AP57" s="11">
        <v>1</v>
      </c>
      <c r="AQ57" s="11" t="str">
        <f>'Update Stock Prices'!Q57</f>
        <v>mid</v>
      </c>
      <c r="AR57" s="11"/>
      <c r="AS57" s="11"/>
      <c r="AT57" s="176"/>
      <c r="AV57" s="660"/>
      <c r="AW57" s="236"/>
      <c r="AX57" s="420">
        <f t="shared" si="314"/>
        <v>90</v>
      </c>
      <c r="AY57" s="19">
        <f t="shared" si="293"/>
        <v>4395.1041581792442</v>
      </c>
      <c r="AZ57" s="19">
        <f t="shared" si="291"/>
        <v>366.25867984827033</v>
      </c>
      <c r="BA57" s="19">
        <f t="shared" si="292"/>
        <v>12.033139378998616</v>
      </c>
      <c r="BB57" s="19">
        <f t="shared" si="294"/>
        <v>108646.97479019093</v>
      </c>
      <c r="BC57" s="974"/>
      <c r="BD57" s="708" t="s">
        <v>1855</v>
      </c>
      <c r="BE57" s="856"/>
      <c r="BF57" s="74"/>
      <c r="BS57" s="420" t="str">
        <f t="shared" si="37"/>
        <v>GEO</v>
      </c>
      <c r="BT57" s="425">
        <f t="shared" si="38"/>
        <v>4.5731999999999999</v>
      </c>
      <c r="BU57" s="19">
        <f t="shared" si="39"/>
        <v>41.49</v>
      </c>
      <c r="BV57" s="19">
        <f t="shared" si="40"/>
        <v>189.74206800000002</v>
      </c>
      <c r="BW57" s="539">
        <f t="shared" si="41"/>
        <v>2.6</v>
      </c>
      <c r="BX57" s="19">
        <f t="shared" si="42"/>
        <v>11.890320000000001</v>
      </c>
      <c r="BY57" s="10">
        <f t="shared" si="43"/>
        <v>0.2865827910339841</v>
      </c>
      <c r="BZ57" s="10">
        <f t="shared" si="44"/>
        <v>4.8597827910339841</v>
      </c>
      <c r="CA57" s="539">
        <f t="shared" si="45"/>
        <v>201.63238800000002</v>
      </c>
      <c r="CB57" s="19">
        <f t="shared" si="46"/>
        <v>12.635435256688359</v>
      </c>
      <c r="CC57" s="10">
        <f t="shared" si="47"/>
        <v>0.30454170298116073</v>
      </c>
      <c r="CD57" s="10">
        <f t="shared" si="48"/>
        <v>5.1643244940151449</v>
      </c>
      <c r="CE57" s="539">
        <f t="shared" si="49"/>
        <v>214.26782325668836</v>
      </c>
      <c r="CF57" s="19">
        <f t="shared" si="50"/>
        <v>13.427243684439377</v>
      </c>
      <c r="CG57" s="10">
        <f t="shared" si="51"/>
        <v>0.32362602276306041</v>
      </c>
      <c r="CH57" s="10">
        <f t="shared" si="52"/>
        <v>5.4879505167782057</v>
      </c>
      <c r="CI57" s="539">
        <f t="shared" si="53"/>
        <v>227.69506694112778</v>
      </c>
      <c r="CJ57" s="19">
        <f t="shared" si="54"/>
        <v>14.268671343623335</v>
      </c>
      <c r="CK57" s="10">
        <f t="shared" si="55"/>
        <v>0.34390627485233394</v>
      </c>
      <c r="CL57" s="10">
        <f t="shared" si="56"/>
        <v>5.8318567916305399</v>
      </c>
      <c r="CM57" s="539">
        <f t="shared" si="57"/>
        <v>241.96373828475112</v>
      </c>
      <c r="CN57" s="19">
        <f t="shared" si="58"/>
        <v>15.162827658239404</v>
      </c>
      <c r="CO57" s="10">
        <f t="shared" si="59"/>
        <v>0.36545740318725967</v>
      </c>
      <c r="CP57" s="10">
        <f t="shared" si="60"/>
        <v>6.1973141948177997</v>
      </c>
      <c r="CQ57" s="539">
        <f t="shared" si="61"/>
        <v>257.12656594299051</v>
      </c>
      <c r="CR57" s="19">
        <f t="shared" si="62"/>
        <v>16.11301690652628</v>
      </c>
      <c r="CS57" s="10">
        <f t="shared" si="63"/>
        <v>0.3883590481206623</v>
      </c>
      <c r="CT57" s="10">
        <f t="shared" si="64"/>
        <v>6.5856732429384621</v>
      </c>
      <c r="CU57" s="539">
        <f t="shared" si="65"/>
        <v>273.23958284951681</v>
      </c>
      <c r="CV57" s="19">
        <f t="shared" si="66"/>
        <v>17.122750431640004</v>
      </c>
      <c r="CW57" s="10">
        <f t="shared" si="67"/>
        <v>0.41269584072402993</v>
      </c>
      <c r="CX57" s="10">
        <f t="shared" si="68"/>
        <v>6.9983690836624923</v>
      </c>
      <c r="CY57" s="539">
        <f t="shared" si="69"/>
        <v>290.36233328115679</v>
      </c>
      <c r="CZ57" s="19">
        <f t="shared" si="70"/>
        <v>18.19575961752248</v>
      </c>
      <c r="DA57" s="10">
        <f t="shared" si="71"/>
        <v>0.43855771553440537</v>
      </c>
      <c r="DB57" s="10">
        <f t="shared" si="72"/>
        <v>7.4369267991968977</v>
      </c>
      <c r="DC57" s="539">
        <f t="shared" si="73"/>
        <v>308.55809289867932</v>
      </c>
      <c r="DD57" s="19">
        <f t="shared" si="74"/>
        <v>19.336009677911935</v>
      </c>
      <c r="DE57" s="10">
        <f t="shared" si="75"/>
        <v>0.46604024289978152</v>
      </c>
      <c r="DF57" s="10">
        <f t="shared" si="76"/>
        <v>7.9029670420966793</v>
      </c>
      <c r="DG57" s="539">
        <f t="shared" si="77"/>
        <v>327.89410257659125</v>
      </c>
      <c r="DH57" s="19">
        <f t="shared" si="78"/>
        <v>20.547714309451369</v>
      </c>
      <c r="DI57" s="10">
        <f t="shared" si="79"/>
        <v>0.4952449821511537</v>
      </c>
      <c r="DJ57" s="10">
        <f t="shared" si="80"/>
        <v>8.3982120242478331</v>
      </c>
      <c r="DK57" s="539">
        <f t="shared" si="81"/>
        <v>348.4418168860426</v>
      </c>
      <c r="DL57" s="19">
        <f t="shared" si="82"/>
        <v>21.835351263044366</v>
      </c>
      <c r="DM57" s="10">
        <f t="shared" si="83"/>
        <v>0.52627985690634771</v>
      </c>
      <c r="DN57" s="10">
        <f t="shared" si="84"/>
        <v>8.9244918811541805</v>
      </c>
      <c r="DO57" s="539">
        <f t="shared" si="85"/>
        <v>370.27716814908695</v>
      </c>
      <c r="DP57" s="19">
        <f t="shared" si="86"/>
        <v>23.20367889100087</v>
      </c>
      <c r="DQ57" s="10">
        <f t="shared" si="87"/>
        <v>0.55925955389252513</v>
      </c>
      <c r="DR57" s="10">
        <f t="shared" si="88"/>
        <v>9.483751435046706</v>
      </c>
      <c r="DS57" s="539">
        <f t="shared" si="89"/>
        <v>393.48084704008784</v>
      </c>
      <c r="DT57" s="19">
        <f t="shared" si="90"/>
        <v>24.657753731121435</v>
      </c>
      <c r="DU57" s="10">
        <f t="shared" si="91"/>
        <v>0.59430594676118187</v>
      </c>
      <c r="DV57" s="10">
        <f t="shared" si="92"/>
        <v>10.078057381807888</v>
      </c>
      <c r="DW57" s="539">
        <f t="shared" si="93"/>
        <v>418.13860077120927</v>
      </c>
      <c r="DX57" s="19">
        <f t="shared" si="94"/>
        <v>26.202949192700508</v>
      </c>
      <c r="DY57" s="10">
        <f t="shared" si="95"/>
        <v>0.63154854646181025</v>
      </c>
      <c r="DZ57" s="10">
        <f t="shared" si="96"/>
        <v>10.709605928269697</v>
      </c>
      <c r="EA57" s="539">
        <f t="shared" si="97"/>
        <v>444.34154996390976</v>
      </c>
      <c r="EB57" s="19">
        <f t="shared" si="98"/>
        <v>27.844975413501214</v>
      </c>
      <c r="EC57" s="10">
        <f t="shared" si="99"/>
        <v>0.67112497983854447</v>
      </c>
      <c r="ED57" s="10">
        <f t="shared" si="100"/>
        <v>11.380730908108243</v>
      </c>
      <c r="EE57" s="539">
        <f t="shared" si="101"/>
        <v>472.18652537741099</v>
      </c>
      <c r="EF57" s="19">
        <f t="shared" si="102"/>
        <v>29.589900361081433</v>
      </c>
      <c r="EG57" s="10">
        <f t="shared" si="103"/>
        <v>0.71318149821840038</v>
      </c>
      <c r="EH57" s="10">
        <f t="shared" si="104"/>
        <v>12.093912406326643</v>
      </c>
      <c r="EI57" s="539">
        <f t="shared" si="105"/>
        <v>501.77642573849243</v>
      </c>
      <c r="EJ57" s="19">
        <f t="shared" si="106"/>
        <v>31.444172256449274</v>
      </c>
      <c r="EK57" s="10">
        <f t="shared" si="107"/>
        <v>0.75787351787055368</v>
      </c>
      <c r="EL57" s="10">
        <f t="shared" si="108"/>
        <v>12.851785924197197</v>
      </c>
      <c r="EM57" s="539">
        <f t="shared" si="109"/>
        <v>533.22059799494173</v>
      </c>
      <c r="EN57" s="19">
        <f t="shared" si="110"/>
        <v>33.414643402912709</v>
      </c>
      <c r="EO57" s="10">
        <f t="shared" si="111"/>
        <v>0.80536619433388068</v>
      </c>
      <c r="EP57" s="10">
        <f t="shared" si="112"/>
        <v>13.657152118531076</v>
      </c>
      <c r="EQ57" s="539">
        <f t="shared" si="113"/>
        <v>566.63524139785443</v>
      </c>
      <c r="ER57" s="19">
        <f t="shared" si="114"/>
        <v>35.508595508180797</v>
      </c>
      <c r="ES57" s="10">
        <f t="shared" si="115"/>
        <v>0.85583503273513606</v>
      </c>
      <c r="ET57" s="10">
        <f t="shared" si="116"/>
        <v>14.512987151266213</v>
      </c>
      <c r="EU57" s="539">
        <f t="shared" si="117"/>
        <v>602.14383690603518</v>
      </c>
      <c r="EV57" s="19">
        <f t="shared" si="118"/>
        <v>37.733766593292152</v>
      </c>
      <c r="EW57" s="10">
        <f t="shared" si="119"/>
        <v>0.909466536353149</v>
      </c>
      <c r="EX57" s="10">
        <f t="shared" si="120"/>
        <v>15.422453687619361</v>
      </c>
      <c r="EY57" s="539">
        <f t="shared" si="121"/>
        <v>639.87760349932739</v>
      </c>
      <c r="EZ57" s="19">
        <f t="shared" si="122"/>
        <v>40.098379587810342</v>
      </c>
      <c r="FA57" s="10">
        <f t="shared" si="123"/>
        <v>0.9664588958257494</v>
      </c>
      <c r="FB57" s="10">
        <f t="shared" si="124"/>
        <v>16.388912583445112</v>
      </c>
      <c r="FC57" s="539">
        <f t="shared" si="125"/>
        <v>679.97598308713771</v>
      </c>
      <c r="FD57" s="19">
        <f t="shared" si="126"/>
        <v>42.611172716957292</v>
      </c>
      <c r="FE57" s="10">
        <f t="shared" si="127"/>
        <v>1.0270227215463315</v>
      </c>
      <c r="FF57" s="10">
        <f t="shared" si="128"/>
        <v>17.415935304991443</v>
      </c>
      <c r="FG57" s="539">
        <f t="shared" si="129"/>
        <v>722.587155804095</v>
      </c>
      <c r="FH57" s="19">
        <f t="shared" si="130"/>
        <v>45.281431792977756</v>
      </c>
      <c r="FI57" s="10">
        <f t="shared" si="131"/>
        <v>1.0913818219565619</v>
      </c>
      <c r="FJ57" s="10">
        <f t="shared" si="132"/>
        <v>18.507317126948006</v>
      </c>
      <c r="FK57" s="539">
        <f t="shared" si="133"/>
        <v>767.86858759707286</v>
      </c>
      <c r="FL57" s="19">
        <f t="shared" si="134"/>
        <v>48.11902453006482</v>
      </c>
      <c r="FM57" s="10">
        <f t="shared" si="135"/>
        <v>1.1597740306113478</v>
      </c>
      <c r="FN57" s="10">
        <f t="shared" si="136"/>
        <v>19.667091157559355</v>
      </c>
      <c r="FO57" s="539">
        <f t="shared" si="137"/>
        <v>815.98761212713771</v>
      </c>
      <c r="FP57" s="19">
        <f t="shared" si="138"/>
        <v>51.134437009654327</v>
      </c>
      <c r="FQ57" s="10">
        <f t="shared" si="139"/>
        <v>1.2324520850724108</v>
      </c>
      <c r="FR57" s="10">
        <f t="shared" si="140"/>
        <v>20.899543242631765</v>
      </c>
      <c r="FS57" s="539">
        <f t="shared" si="141"/>
        <v>867.12204913679193</v>
      </c>
      <c r="FT57" s="19">
        <f t="shared" si="142"/>
        <v>54.338812430842587</v>
      </c>
      <c r="FU57" s="10">
        <f t="shared" si="143"/>
        <v>1.3096845608783463</v>
      </c>
      <c r="FV57" s="10">
        <f t="shared" si="144"/>
        <v>22.20922780351011</v>
      </c>
      <c r="FW57" s="539">
        <f t="shared" si="145"/>
        <v>921.46086156763454</v>
      </c>
      <c r="FX57" s="19">
        <f t="shared" si="146"/>
        <v>57.74399228912629</v>
      </c>
      <c r="FY57" s="10">
        <f t="shared" si="147"/>
        <v>1.3917568640425715</v>
      </c>
      <c r="FZ57" s="10">
        <f t="shared" si="148"/>
        <v>23.60098466755268</v>
      </c>
      <c r="GA57" s="539">
        <f t="shared" si="149"/>
        <v>979.20485385676079</v>
      </c>
      <c r="GB57" s="19">
        <f t="shared" si="150"/>
        <v>61.362560135636969</v>
      </c>
      <c r="GC57" s="10">
        <f t="shared" si="151"/>
        <v>1.4789722857468539</v>
      </c>
      <c r="GD57" s="10">
        <f t="shared" si="152"/>
        <v>25.079956953299533</v>
      </c>
      <c r="GE57" s="539">
        <f t="shared" si="153"/>
        <v>1040.5674139923976</v>
      </c>
      <c r="GF57" s="19">
        <f t="shared" si="154"/>
        <v>65.20788807857879</v>
      </c>
      <c r="GG57" s="10">
        <f t="shared" si="155"/>
        <v>1.5716531231279534</v>
      </c>
      <c r="GH57" s="10">
        <f t="shared" si="156"/>
        <v>26.651610076427485</v>
      </c>
      <c r="GI57" s="539">
        <f t="shared" si="157"/>
        <v>1105.7753020709763</v>
      </c>
      <c r="GJ57" s="19">
        <f t="shared" si="158"/>
        <v>69.294186198711458</v>
      </c>
      <c r="GK57" s="10">
        <f t="shared" si="159"/>
        <v>1.6701418702991433</v>
      </c>
      <c r="GL57" s="10">
        <f t="shared" si="160"/>
        <v>28.321751946726629</v>
      </c>
      <c r="GM57" s="539">
        <f t="shared" si="161"/>
        <v>1175.0694882696878</v>
      </c>
      <c r="GN57" s="19">
        <f t="shared" si="162"/>
        <v>73.636555061489233</v>
      </c>
      <c r="GO57" s="10">
        <f t="shared" si="163"/>
        <v>1.7748024840079351</v>
      </c>
      <c r="GP57" s="10">
        <f t="shared" si="164"/>
        <v>30.096554430734564</v>
      </c>
      <c r="GQ57" s="539">
        <f t="shared" si="165"/>
        <v>1248.7060433311772</v>
      </c>
      <c r="GR57" s="19">
        <f t="shared" si="166"/>
        <v>78.251041519909862</v>
      </c>
      <c r="GS57" s="10">
        <f t="shared" si="167"/>
        <v>1.8860217286071308</v>
      </c>
      <c r="GT57" s="10">
        <f t="shared" si="168"/>
        <v>31.982576159341694</v>
      </c>
      <c r="GU57" s="539">
        <f t="shared" si="169"/>
        <v>1326.9570848510868</v>
      </c>
      <c r="GV57" s="19">
        <f t="shared" si="170"/>
        <v>83.1546980142884</v>
      </c>
      <c r="GW57" s="10">
        <f t="shared" si="171"/>
        <v>2.0042106053094333</v>
      </c>
      <c r="GX57" s="10">
        <f t="shared" si="172"/>
        <v>33.986786764651129</v>
      </c>
      <c r="GY57" s="539">
        <f t="shared" si="173"/>
        <v>1410.1117828653753</v>
      </c>
      <c r="GZ57" s="19">
        <f t="shared" si="174"/>
        <v>88.365645588092931</v>
      </c>
      <c r="HA57" s="10">
        <f t="shared" si="175"/>
        <v>2.1298058710073011</v>
      </c>
      <c r="HB57" s="10">
        <f t="shared" si="176"/>
        <v>36.116592635658428</v>
      </c>
      <c r="HC57" s="539">
        <f t="shared" si="177"/>
        <v>1498.4774284534683</v>
      </c>
      <c r="HD57" s="19">
        <f t="shared" si="178"/>
        <v>93.903140852711914</v>
      </c>
      <c r="HE57" s="10">
        <f t="shared" si="179"/>
        <v>2.2632716522707135</v>
      </c>
      <c r="HF57" s="10">
        <f t="shared" si="180"/>
        <v>38.379864287929138</v>
      </c>
      <c r="HG57" s="539">
        <f t="shared" si="181"/>
        <v>1592.38056930618</v>
      </c>
      <c r="HH57" s="19">
        <f t="shared" si="182"/>
        <v>99.787647148615761</v>
      </c>
      <c r="HI57" s="10">
        <f t="shared" si="183"/>
        <v>2.4051011604872441</v>
      </c>
      <c r="HJ57" s="10">
        <f t="shared" si="184"/>
        <v>40.784965448416379</v>
      </c>
      <c r="HK57" s="539">
        <f t="shared" si="185"/>
        <v>1692.1682164547956</v>
      </c>
      <c r="HL57" s="19">
        <f t="shared" si="186"/>
        <v>106.04091016588259</v>
      </c>
      <c r="HM57" s="10">
        <f t="shared" si="187"/>
        <v>2.5558185144825885</v>
      </c>
      <c r="HN57" s="10">
        <f t="shared" si="188"/>
        <v>43.340783962898968</v>
      </c>
      <c r="HO57" s="539">
        <f t="shared" si="189"/>
        <v>1798.2091266206783</v>
      </c>
      <c r="HP57" s="19">
        <f t="shared" si="190"/>
        <v>112.68603830353732</v>
      </c>
      <c r="HQ57" s="10">
        <f t="shared" si="191"/>
        <v>2.7159806773568889</v>
      </c>
      <c r="HR57" s="10">
        <f t="shared" si="192"/>
        <v>46.056764640255857</v>
      </c>
      <c r="HS57" s="539">
        <f t="shared" si="193"/>
        <v>1910.8951649242156</v>
      </c>
      <c r="HT57" s="19">
        <f t="shared" si="194"/>
        <v>119.74758806466524</v>
      </c>
      <c r="HU57" s="10">
        <f t="shared" si="195"/>
        <v>2.8861795146942693</v>
      </c>
      <c r="HV57" s="10">
        <f t="shared" si="196"/>
        <v>48.942944154950126</v>
      </c>
      <c r="HW57" s="539">
        <f t="shared" si="197"/>
        <v>2030.6427529888808</v>
      </c>
      <c r="HX57" s="19">
        <f t="shared" si="198"/>
        <v>127.25165480287033</v>
      </c>
      <c r="HY57" s="10">
        <f t="shared" si="199"/>
        <v>3.0670439817515143</v>
      </c>
      <c r="HZ57" s="10">
        <f t="shared" si="200"/>
        <v>52.009988136701644</v>
      </c>
      <c r="IA57" s="539">
        <f t="shared" si="201"/>
        <v>2157.8944077917513</v>
      </c>
      <c r="IB57" s="19">
        <f t="shared" si="202"/>
        <v>135.22596915542428</v>
      </c>
      <c r="IP57" s="11">
        <v>16</v>
      </c>
      <c r="IQ57" s="19">
        <f t="shared" si="358"/>
        <v>30.191228486017248</v>
      </c>
      <c r="IR57" s="20">
        <f t="shared" si="351"/>
        <v>6.5704909638548488</v>
      </c>
    </row>
    <row r="58" spans="1:263" ht="14.25" customHeight="1">
      <c r="A58" s="11"/>
      <c r="B58" s="195"/>
      <c r="C58" s="826" t="s">
        <v>2341</v>
      </c>
      <c r="D58" s="47" t="s">
        <v>79</v>
      </c>
      <c r="E58" s="396">
        <f t="shared" si="333"/>
        <v>26.154199999999999</v>
      </c>
      <c r="F58" s="242">
        <v>7.1542000000000003</v>
      </c>
      <c r="G58" s="48">
        <f>'Update Stock Prices'!S58</f>
        <v>847665847.66584766</v>
      </c>
      <c r="H58" s="991">
        <f t="shared" si="27"/>
        <v>8.4398823188405807E-9</v>
      </c>
      <c r="I58" s="49">
        <f>'Update Stock Prices'!D58</f>
        <v>16.28</v>
      </c>
      <c r="J58" s="49">
        <f t="shared" si="1"/>
        <v>116.47037600000002</v>
      </c>
      <c r="K58" s="30">
        <v>268.27999999999997</v>
      </c>
      <c r="L58" s="49">
        <f t="shared" si="28"/>
        <v>-151.80962399999996</v>
      </c>
      <c r="M58" s="50">
        <f t="shared" si="29"/>
        <v>-0.56586262114209029</v>
      </c>
      <c r="N58" s="49">
        <f t="shared" si="30"/>
        <v>37.49965055491878</v>
      </c>
      <c r="O58" s="48">
        <f t="shared" si="334"/>
        <v>19</v>
      </c>
      <c r="P58" s="49">
        <f>IF(($B$11-$B$12)-(O58*I58)&lt;0,0,($B$11-$B$12)-(O58*I58))</f>
        <v>11.689999999999941</v>
      </c>
      <c r="Q58" s="30">
        <f>0.02*4</f>
        <v>0.08</v>
      </c>
      <c r="R58" s="49">
        <f t="shared" si="242"/>
        <v>1.5669705681040384E-3</v>
      </c>
      <c r="S58" s="49">
        <f t="shared" si="335"/>
        <v>0.57233600000000007</v>
      </c>
      <c r="T58" s="49">
        <f t="shared" si="31"/>
        <v>4.769466666666667E-2</v>
      </c>
      <c r="U58" s="49" t="s">
        <v>54</v>
      </c>
      <c r="V58" s="50">
        <f t="shared" si="336"/>
        <v>4.9140049140049139E-3</v>
      </c>
      <c r="W58" s="50">
        <f t="shared" si="7"/>
        <v>2.1333532130609813E-3</v>
      </c>
      <c r="X58" s="49">
        <f t="shared" si="376"/>
        <v>1.52</v>
      </c>
      <c r="Y58" s="49">
        <f t="shared" si="32"/>
        <v>0.14308400000000002</v>
      </c>
      <c r="Z58" s="860">
        <f t="shared" si="337"/>
        <v>0</v>
      </c>
      <c r="AA58" s="860">
        <f t="shared" si="338"/>
        <v>806.84580000000005</v>
      </c>
      <c r="AB58" s="49">
        <f t="shared" si="339"/>
        <v>13135.449624000003</v>
      </c>
      <c r="AC58" s="48">
        <v>1</v>
      </c>
      <c r="AD58" s="47" t="str">
        <f t="shared" si="340"/>
        <v>GG</v>
      </c>
      <c r="AE58" s="49">
        <f t="shared" si="341"/>
        <v>116.47037600000002</v>
      </c>
      <c r="AF58" s="50" t="e">
        <f t="shared" si="310"/>
        <v>#REF!</v>
      </c>
      <c r="AG58" s="890" t="e">
        <f t="shared" si="332"/>
        <v>#REF!</v>
      </c>
      <c r="AH58" s="207" t="s">
        <v>1868</v>
      </c>
      <c r="AI58" s="240">
        <f t="shared" si="312"/>
        <v>3.0794934685765468E-2</v>
      </c>
      <c r="AJ58" s="11">
        <f t="shared" si="33"/>
        <v>2</v>
      </c>
      <c r="AK58" s="11"/>
      <c r="AL58" s="11"/>
      <c r="AM58" s="11"/>
      <c r="AN58" s="11"/>
      <c r="AO58" s="11"/>
      <c r="AP58" s="11"/>
      <c r="AQ58" s="11" t="str">
        <f>'Update Stock Prices'!Q58</f>
        <v>mid</v>
      </c>
      <c r="AR58" s="11"/>
      <c r="AS58" s="11">
        <v>1</v>
      </c>
      <c r="AT58" s="176"/>
      <c r="AV58" s="837" t="s">
        <v>1710</v>
      </c>
      <c r="AW58" s="234" t="s">
        <v>1710</v>
      </c>
      <c r="AX58" s="420">
        <f t="shared" si="314"/>
        <v>91</v>
      </c>
      <c r="AY58" s="19">
        <f t="shared" si="293"/>
        <v>4345.8789916076375</v>
      </c>
      <c r="AZ58" s="19">
        <f t="shared" si="291"/>
        <v>362.15658263396978</v>
      </c>
      <c r="BA58" s="19">
        <f t="shared" si="292"/>
        <v>11.898368217953832</v>
      </c>
      <c r="BB58" s="19">
        <f t="shared" si="294"/>
        <v>107430.1286725408</v>
      </c>
      <c r="BC58" s="1060" t="s">
        <v>272</v>
      </c>
      <c r="BD58" s="7" t="s">
        <v>1854</v>
      </c>
      <c r="BE58" s="984"/>
      <c r="BF58" s="74"/>
      <c r="BS58" s="420" t="str">
        <f t="shared" si="37"/>
        <v>GG</v>
      </c>
      <c r="BT58" s="425">
        <f t="shared" si="38"/>
        <v>7.1542000000000003</v>
      </c>
      <c r="BU58" s="19">
        <f t="shared" si="39"/>
        <v>16.28</v>
      </c>
      <c r="BV58" s="19">
        <f t="shared" si="40"/>
        <v>116.47037600000002</v>
      </c>
      <c r="BW58" s="539">
        <f t="shared" si="41"/>
        <v>0.08</v>
      </c>
      <c r="BX58" s="19">
        <f t="shared" si="42"/>
        <v>0.57233600000000007</v>
      </c>
      <c r="BY58" s="10">
        <f t="shared" si="43"/>
        <v>3.5155773955773954E-2</v>
      </c>
      <c r="BZ58" s="10">
        <f t="shared" si="44"/>
        <v>7.1893557739557741</v>
      </c>
      <c r="CA58" s="539">
        <f t="shared" si="45"/>
        <v>117.04271200000001</v>
      </c>
      <c r="CB58" s="19">
        <f t="shared" si="46"/>
        <v>0.57514846191646196</v>
      </c>
      <c r="CC58" s="10">
        <f t="shared" si="47"/>
        <v>3.5328529601748274E-2</v>
      </c>
      <c r="CD58" s="10">
        <f t="shared" si="48"/>
        <v>7.2246843035575221</v>
      </c>
      <c r="CE58" s="539">
        <f t="shared" si="49"/>
        <v>117.61786046191646</v>
      </c>
      <c r="CF58" s="19">
        <f t="shared" si="50"/>
        <v>0.57797474428460183</v>
      </c>
      <c r="CG58" s="10">
        <f t="shared" si="51"/>
        <v>3.5502134169815833E-2</v>
      </c>
      <c r="CH58" s="10">
        <f t="shared" si="52"/>
        <v>7.260186437727338</v>
      </c>
      <c r="CI58" s="539">
        <f t="shared" si="53"/>
        <v>118.19583520620107</v>
      </c>
      <c r="CJ58" s="19">
        <f t="shared" si="54"/>
        <v>0.58081491501818705</v>
      </c>
      <c r="CK58" s="10">
        <f t="shared" si="55"/>
        <v>3.5676591831583969E-2</v>
      </c>
      <c r="CL58" s="10">
        <f t="shared" si="56"/>
        <v>7.2958630295589222</v>
      </c>
      <c r="CM58" s="539">
        <f t="shared" si="57"/>
        <v>118.77665012121926</v>
      </c>
      <c r="CN58" s="19">
        <f t="shared" si="58"/>
        <v>0.58366904236471384</v>
      </c>
      <c r="CO58" s="10">
        <f t="shared" si="59"/>
        <v>3.5851906779159323E-2</v>
      </c>
      <c r="CP58" s="10">
        <f t="shared" si="60"/>
        <v>7.3317149363380816</v>
      </c>
      <c r="CQ58" s="539">
        <f t="shared" si="61"/>
        <v>119.36031916358398</v>
      </c>
      <c r="CR58" s="19">
        <f t="shared" si="62"/>
        <v>0.58653719490704659</v>
      </c>
      <c r="CS58" s="10">
        <f t="shared" si="63"/>
        <v>3.6028083225248558E-2</v>
      </c>
      <c r="CT58" s="10">
        <f t="shared" si="64"/>
        <v>7.3677430195633304</v>
      </c>
      <c r="CU58" s="539">
        <f t="shared" si="65"/>
        <v>119.94685635849103</v>
      </c>
      <c r="CV58" s="19">
        <f t="shared" si="66"/>
        <v>0.58941944156506643</v>
      </c>
      <c r="CW58" s="10">
        <f t="shared" si="67"/>
        <v>3.6205125403259604E-2</v>
      </c>
      <c r="CX58" s="10">
        <f t="shared" si="68"/>
        <v>7.4039481449665905</v>
      </c>
      <c r="CY58" s="539">
        <f t="shared" si="69"/>
        <v>120.5362758000561</v>
      </c>
      <c r="CZ58" s="19">
        <f t="shared" si="70"/>
        <v>0.59231585159732725</v>
      </c>
      <c r="DA58" s="10">
        <f t="shared" si="71"/>
        <v>3.6383037567403388E-2</v>
      </c>
      <c r="DB58" s="10">
        <f t="shared" si="72"/>
        <v>7.4403311825339937</v>
      </c>
      <c r="DC58" s="539">
        <f t="shared" si="73"/>
        <v>121.12859165165342</v>
      </c>
      <c r="DD58" s="19">
        <f t="shared" si="74"/>
        <v>0.59522649460271948</v>
      </c>
      <c r="DE58" s="10">
        <f t="shared" si="75"/>
        <v>3.6561823992796033E-2</v>
      </c>
      <c r="DF58" s="10">
        <f t="shared" si="76"/>
        <v>7.4768930065267893</v>
      </c>
      <c r="DG58" s="539">
        <f t="shared" si="77"/>
        <v>121.72381814625614</v>
      </c>
      <c r="DH58" s="19">
        <f t="shared" si="78"/>
        <v>0.5981514405221432</v>
      </c>
      <c r="DI58" s="10">
        <f t="shared" si="79"/>
        <v>3.674148897556162E-2</v>
      </c>
      <c r="DJ58" s="10">
        <f t="shared" si="80"/>
        <v>7.5136344955023509</v>
      </c>
      <c r="DK58" s="539">
        <f t="shared" si="81"/>
        <v>122.32196958677828</v>
      </c>
      <c r="DL58" s="19">
        <f t="shared" si="82"/>
        <v>0.6010907596401881</v>
      </c>
      <c r="DM58" s="10">
        <f t="shared" si="83"/>
        <v>3.6922036832935386E-2</v>
      </c>
      <c r="DN58" s="10">
        <f t="shared" si="84"/>
        <v>7.5505565323352863</v>
      </c>
      <c r="DO58" s="539">
        <f t="shared" si="85"/>
        <v>122.92306034641847</v>
      </c>
      <c r="DP58" s="19">
        <f t="shared" si="86"/>
        <v>0.60404452258682295</v>
      </c>
      <c r="DQ58" s="10">
        <f t="shared" si="87"/>
        <v>3.7103471903367498E-2</v>
      </c>
      <c r="DR58" s="10">
        <f t="shared" si="88"/>
        <v>7.5876600042386535</v>
      </c>
      <c r="DS58" s="539">
        <f t="shared" si="89"/>
        <v>123.52710486900529</v>
      </c>
      <c r="DT58" s="19">
        <f t="shared" si="90"/>
        <v>0.60701280033909233</v>
      </c>
      <c r="DU58" s="10">
        <f t="shared" si="91"/>
        <v>3.7285798546627287E-2</v>
      </c>
      <c r="DV58" s="10">
        <f t="shared" si="92"/>
        <v>7.6249458027852812</v>
      </c>
      <c r="DW58" s="539">
        <f t="shared" si="93"/>
        <v>124.13411766934439</v>
      </c>
      <c r="DX58" s="19">
        <f t="shared" si="94"/>
        <v>0.60999566422282248</v>
      </c>
      <c r="DY58" s="10">
        <f t="shared" si="95"/>
        <v>3.7469021143908009E-2</v>
      </c>
      <c r="DZ58" s="10">
        <f t="shared" si="96"/>
        <v>7.6624148239291889</v>
      </c>
      <c r="EA58" s="539">
        <f t="shared" si="97"/>
        <v>124.7441133335672</v>
      </c>
      <c r="EB58" s="19">
        <f t="shared" si="98"/>
        <v>0.61299318591433516</v>
      </c>
      <c r="EC58" s="10">
        <f t="shared" si="99"/>
        <v>3.7653144097932134E-2</v>
      </c>
      <c r="ED58" s="10">
        <f t="shared" si="100"/>
        <v>7.7000679680271213</v>
      </c>
      <c r="EE58" s="539">
        <f t="shared" si="101"/>
        <v>125.35710651948155</v>
      </c>
      <c r="EF58" s="19">
        <f t="shared" si="102"/>
        <v>0.61600543744216973</v>
      </c>
      <c r="EG58" s="10">
        <f t="shared" si="103"/>
        <v>3.7838171833057106E-2</v>
      </c>
      <c r="EH58" s="10">
        <f t="shared" si="104"/>
        <v>7.7379061398601783</v>
      </c>
      <c r="EI58" s="539">
        <f t="shared" si="105"/>
        <v>125.97311195692372</v>
      </c>
      <c r="EJ58" s="19">
        <f t="shared" si="106"/>
        <v>0.61903249118881432</v>
      </c>
      <c r="EK58" s="10">
        <f t="shared" si="107"/>
        <v>3.8024108795381713E-2</v>
      </c>
      <c r="EL58" s="10">
        <f t="shared" si="108"/>
        <v>7.7759302486555599</v>
      </c>
      <c r="EM58" s="539">
        <f t="shared" si="109"/>
        <v>126.59214444811252</v>
      </c>
      <c r="EN58" s="19">
        <f t="shared" si="110"/>
        <v>0.62207441989244483</v>
      </c>
      <c r="EO58" s="10">
        <f t="shared" si="111"/>
        <v>3.8210959452852876E-2</v>
      </c>
      <c r="EP58" s="10">
        <f t="shared" si="112"/>
        <v>7.8141412081084125</v>
      </c>
      <c r="EQ58" s="539">
        <f t="shared" si="113"/>
        <v>127.21421886800496</v>
      </c>
      <c r="ER58" s="19">
        <f t="shared" si="114"/>
        <v>0.62513129664867306</v>
      </c>
      <c r="ES58" s="10">
        <f t="shared" si="115"/>
        <v>3.8398728295373039E-2</v>
      </c>
      <c r="ET58" s="10">
        <f t="shared" si="116"/>
        <v>7.8525399364037858</v>
      </c>
      <c r="EU58" s="539">
        <f t="shared" si="117"/>
        <v>127.83935016465364</v>
      </c>
      <c r="EV58" s="19">
        <f t="shared" si="118"/>
        <v>0.62820319491230292</v>
      </c>
      <c r="EW58" s="10">
        <f t="shared" si="119"/>
        <v>3.8587419834908036E-2</v>
      </c>
      <c r="EX58" s="10">
        <f t="shared" si="120"/>
        <v>7.8911273562386937</v>
      </c>
      <c r="EY58" s="539">
        <f t="shared" si="121"/>
        <v>128.46755335956595</v>
      </c>
      <c r="EZ58" s="19">
        <f t="shared" si="122"/>
        <v>0.63129018849909546</v>
      </c>
      <c r="FA58" s="10">
        <f t="shared" si="123"/>
        <v>3.8777038605595539E-2</v>
      </c>
      <c r="FB58" s="10">
        <f t="shared" si="124"/>
        <v>7.9299043948442893</v>
      </c>
      <c r="FC58" s="539">
        <f t="shared" si="125"/>
        <v>129.09884354806505</v>
      </c>
      <c r="FD58" s="19">
        <f t="shared" si="126"/>
        <v>0.63439235158754315</v>
      </c>
      <c r="FE58" s="10">
        <f t="shared" si="127"/>
        <v>3.8967589163853997E-2</v>
      </c>
      <c r="FF58" s="10">
        <f t="shared" si="128"/>
        <v>7.9688719840081434</v>
      </c>
      <c r="FG58" s="539">
        <f t="shared" si="129"/>
        <v>129.73323589965258</v>
      </c>
      <c r="FH58" s="19">
        <f t="shared" si="130"/>
        <v>0.63750975872065152</v>
      </c>
      <c r="FI58" s="10">
        <f t="shared" si="131"/>
        <v>3.9159076088492104E-2</v>
      </c>
      <c r="FJ58" s="10">
        <f t="shared" si="132"/>
        <v>8.008031060096636</v>
      </c>
      <c r="FK58" s="539">
        <f t="shared" si="133"/>
        <v>130.37074565837324</v>
      </c>
      <c r="FL58" s="19">
        <f t="shared" si="134"/>
        <v>0.64064248480773089</v>
      </c>
      <c r="FM58" s="10">
        <f t="shared" si="135"/>
        <v>3.9351503980818846E-2</v>
      </c>
      <c r="FN58" s="10">
        <f t="shared" si="136"/>
        <v>8.0473825640774557</v>
      </c>
      <c r="FO58" s="539">
        <f t="shared" si="137"/>
        <v>131.01138814318099</v>
      </c>
      <c r="FP58" s="19">
        <f t="shared" si="138"/>
        <v>0.64379060512619646</v>
      </c>
      <c r="FQ58" s="10">
        <f t="shared" si="139"/>
        <v>3.9544877464754082E-2</v>
      </c>
      <c r="FR58" s="10">
        <f t="shared" si="140"/>
        <v>8.0869274415422101</v>
      </c>
      <c r="FS58" s="539">
        <f t="shared" si="141"/>
        <v>131.65517874830718</v>
      </c>
      <c r="FT58" s="19">
        <f t="shared" si="142"/>
        <v>0.64695419532337683</v>
      </c>
      <c r="FU58" s="10">
        <f t="shared" si="143"/>
        <v>3.9739201186939604E-2</v>
      </c>
      <c r="FV58" s="10">
        <f t="shared" si="144"/>
        <v>8.1266666427291501</v>
      </c>
      <c r="FW58" s="539">
        <f t="shared" si="145"/>
        <v>132.30213294363057</v>
      </c>
      <c r="FX58" s="19">
        <f t="shared" si="146"/>
        <v>0.65013333141833207</v>
      </c>
      <c r="FY58" s="10">
        <f t="shared" si="147"/>
        <v>3.993447981685086E-2</v>
      </c>
      <c r="FZ58" s="10">
        <f t="shared" si="148"/>
        <v>8.1666011225460018</v>
      </c>
      <c r="GA58" s="539">
        <f t="shared" si="149"/>
        <v>132.95226627504891</v>
      </c>
      <c r="GB58" s="19">
        <f t="shared" si="150"/>
        <v>0.65332808980368018</v>
      </c>
      <c r="GC58" s="10">
        <f t="shared" si="151"/>
        <v>4.0130718046909097E-2</v>
      </c>
      <c r="GD58" s="10">
        <f t="shared" si="152"/>
        <v>8.2067318405929104</v>
      </c>
      <c r="GE58" s="539">
        <f t="shared" si="153"/>
        <v>133.60559436485258</v>
      </c>
      <c r="GF58" s="19">
        <f t="shared" si="154"/>
        <v>0.65653854724743288</v>
      </c>
      <c r="GG58" s="10">
        <f t="shared" si="155"/>
        <v>4.0327920592594158E-2</v>
      </c>
      <c r="GH58" s="10">
        <f t="shared" si="156"/>
        <v>8.2470597611855041</v>
      </c>
      <c r="GI58" s="539">
        <f t="shared" si="157"/>
        <v>134.26213291210001</v>
      </c>
      <c r="GJ58" s="19">
        <f t="shared" si="158"/>
        <v>0.65976478089484036</v>
      </c>
      <c r="GK58" s="10">
        <f t="shared" si="159"/>
        <v>4.0526092192557761E-2</v>
      </c>
      <c r="GL58" s="10">
        <f t="shared" si="160"/>
        <v>8.2875858533780615</v>
      </c>
      <c r="GM58" s="539">
        <f t="shared" si="161"/>
        <v>134.92189769299486</v>
      </c>
      <c r="GN58" s="19">
        <f t="shared" si="162"/>
        <v>0.66300686827024491</v>
      </c>
      <c r="GO58" s="10">
        <f t="shared" si="163"/>
        <v>4.0725237608737398E-2</v>
      </c>
      <c r="GP58" s="10">
        <f t="shared" si="164"/>
        <v>8.3283110909867997</v>
      </c>
      <c r="GQ58" s="539">
        <f t="shared" si="165"/>
        <v>135.58490456126512</v>
      </c>
      <c r="GR58" s="19">
        <f t="shared" si="166"/>
        <v>0.66626488727894395</v>
      </c>
      <c r="GS58" s="10">
        <f t="shared" si="167"/>
        <v>4.0925361626470758E-2</v>
      </c>
      <c r="GT58" s="10">
        <f t="shared" si="168"/>
        <v>8.3692364526132703</v>
      </c>
      <c r="GU58" s="539">
        <f t="shared" si="169"/>
        <v>136.25116944854406</v>
      </c>
      <c r="GV58" s="19">
        <f t="shared" si="170"/>
        <v>0.66953891620906159</v>
      </c>
      <c r="GW58" s="10">
        <f t="shared" si="171"/>
        <v>4.1126469054610662E-2</v>
      </c>
      <c r="GX58" s="10">
        <f t="shared" si="172"/>
        <v>8.4103629216678808</v>
      </c>
      <c r="GY58" s="539">
        <f t="shared" si="173"/>
        <v>136.9207083647531</v>
      </c>
      <c r="GZ58" s="19">
        <f t="shared" si="174"/>
        <v>0.6728290337334305</v>
      </c>
      <c r="HA58" s="10">
        <f t="shared" si="175"/>
        <v>4.1328564725640692E-2</v>
      </c>
      <c r="HB58" s="10">
        <f t="shared" si="176"/>
        <v>8.4516914863935213</v>
      </c>
      <c r="HC58" s="539">
        <f t="shared" si="177"/>
        <v>137.59353739848655</v>
      </c>
      <c r="HD58" s="19">
        <f t="shared" si="178"/>
        <v>0.67613531891148171</v>
      </c>
      <c r="HE58" s="10">
        <f t="shared" si="179"/>
        <v>4.1531653495791257E-2</v>
      </c>
      <c r="HF58" s="10">
        <f t="shared" si="180"/>
        <v>8.493223139889313</v>
      </c>
      <c r="HG58" s="539">
        <f t="shared" si="181"/>
        <v>138.26967271739804</v>
      </c>
      <c r="HH58" s="19">
        <f t="shared" si="182"/>
        <v>0.6794578511911451</v>
      </c>
      <c r="HI58" s="10">
        <f t="shared" si="183"/>
        <v>4.1735740245156333E-2</v>
      </c>
      <c r="HJ58" s="10">
        <f t="shared" si="184"/>
        <v>8.5349588801344698</v>
      </c>
      <c r="HK58" s="539">
        <f t="shared" si="185"/>
        <v>138.94913056858917</v>
      </c>
      <c r="HL58" s="19">
        <f t="shared" si="186"/>
        <v>0.68279671041075762</v>
      </c>
      <c r="HM58" s="10">
        <f t="shared" si="187"/>
        <v>4.1940829877810663E-2</v>
      </c>
      <c r="HN58" s="10">
        <f t="shared" si="188"/>
        <v>8.576899710012281</v>
      </c>
      <c r="HO58" s="539">
        <f t="shared" si="189"/>
        <v>139.63192727899994</v>
      </c>
      <c r="HP58" s="19">
        <f t="shared" si="190"/>
        <v>0.6861519768009825</v>
      </c>
      <c r="HQ58" s="10">
        <f t="shared" si="191"/>
        <v>4.2146927321927666E-2</v>
      </c>
      <c r="HR58" s="10">
        <f t="shared" si="192"/>
        <v>8.6190466373342094</v>
      </c>
      <c r="HS58" s="539">
        <f t="shared" si="193"/>
        <v>140.31807925580094</v>
      </c>
      <c r="HT58" s="19">
        <f t="shared" si="194"/>
        <v>0.6895237309867368</v>
      </c>
      <c r="HU58" s="10">
        <f t="shared" si="195"/>
        <v>4.2354037529897838E-2</v>
      </c>
      <c r="HV58" s="10">
        <f t="shared" si="196"/>
        <v>8.6614006748641064</v>
      </c>
      <c r="HW58" s="539">
        <f t="shared" si="197"/>
        <v>141.00760298678767</v>
      </c>
      <c r="HX58" s="19">
        <f t="shared" si="198"/>
        <v>0.69291205398912847</v>
      </c>
      <c r="HY58" s="10">
        <f t="shared" si="199"/>
        <v>4.256216547844769E-2</v>
      </c>
      <c r="HZ58" s="10">
        <f t="shared" si="200"/>
        <v>8.7039628403425535</v>
      </c>
      <c r="IA58" s="539">
        <f t="shared" si="201"/>
        <v>141.70051504077679</v>
      </c>
      <c r="IB58" s="19">
        <f t="shared" si="202"/>
        <v>0.69631702722740429</v>
      </c>
      <c r="IP58" s="11">
        <v>17</v>
      </c>
      <c r="IQ58" s="19">
        <f t="shared" si="358"/>
        <v>32.606526764898632</v>
      </c>
      <c r="IR58" s="20">
        <f t="shared" si="351"/>
        <v>6.4510274917847612</v>
      </c>
    </row>
    <row r="59" spans="1:263">
      <c r="A59" s="11"/>
      <c r="B59" s="20"/>
      <c r="C59" s="826" t="s">
        <v>2342</v>
      </c>
      <c r="D59" s="47" t="s">
        <v>332</v>
      </c>
      <c r="E59" s="396">
        <f t="shared" si="333"/>
        <v>41.0809</v>
      </c>
      <c r="F59" s="242">
        <v>9.0808999999999997</v>
      </c>
      <c r="G59" s="48">
        <f>'Update Stock Prices'!S59</f>
        <v>25941777.323799796</v>
      </c>
      <c r="H59" s="991">
        <f t="shared" si="27"/>
        <v>3.5004926172382561E-7</v>
      </c>
      <c r="I59" s="49">
        <f>'Update Stock Prices'!D59</f>
        <v>9.7899999999999991</v>
      </c>
      <c r="J59" s="49">
        <f t="shared" si="1"/>
        <v>88.902010999999987</v>
      </c>
      <c r="K59" s="30">
        <v>74.37</v>
      </c>
      <c r="L59" s="49">
        <f t="shared" si="28"/>
        <v>14.532010999999983</v>
      </c>
      <c r="M59" s="50">
        <f t="shared" si="29"/>
        <v>0.19540151942987741</v>
      </c>
      <c r="N59" s="49">
        <f t="shared" si="30"/>
        <v>8.1897168782829901</v>
      </c>
      <c r="O59" s="48">
        <f t="shared" si="334"/>
        <v>32</v>
      </c>
      <c r="P59" s="49">
        <f>IF(($B$11-$B$12)-(O59*I59)&lt;0,0,($B$11-$B$12)-(O59*I59))</f>
        <v>7.7300000000000182</v>
      </c>
      <c r="Q59" s="30">
        <f>0.07*12</f>
        <v>0.84000000000000008</v>
      </c>
      <c r="R59" s="49">
        <f t="shared" si="242"/>
        <v>2.0884205338809036E-2</v>
      </c>
      <c r="S59" s="49">
        <f t="shared" si="335"/>
        <v>7.6279560000000002</v>
      </c>
      <c r="T59" s="49">
        <f t="shared" ref="T59:T140" si="399">S59/12</f>
        <v>0.63566299999999998</v>
      </c>
      <c r="U59" s="49" t="s">
        <v>56</v>
      </c>
      <c r="V59" s="50">
        <f t="shared" si="336"/>
        <v>8.5801838610827394E-2</v>
      </c>
      <c r="W59" s="50">
        <f t="shared" si="7"/>
        <v>0.10256764824526018</v>
      </c>
      <c r="X59" s="49">
        <f t="shared" si="376"/>
        <v>26.879999999999995</v>
      </c>
      <c r="Y59" s="49">
        <f t="shared" si="32"/>
        <v>0.63566299999999998</v>
      </c>
      <c r="Z59" s="860">
        <f t="shared" si="337"/>
        <v>0</v>
      </c>
      <c r="AA59" s="860">
        <f t="shared" si="338"/>
        <v>130.77624285714285</v>
      </c>
      <c r="AB59" s="49">
        <f t="shared" si="339"/>
        <v>1280.2994175714284</v>
      </c>
      <c r="AC59" s="48">
        <v>1</v>
      </c>
      <c r="AD59" s="47" t="str">
        <f t="shared" si="340"/>
        <v>GLAD</v>
      </c>
      <c r="AE59" s="49">
        <f t="shared" si="341"/>
        <v>88.902010999999987</v>
      </c>
      <c r="AF59" s="50" t="e">
        <f t="shared" si="310"/>
        <v>#REF!</v>
      </c>
      <c r="AG59" s="890" t="e">
        <f t="shared" si="332"/>
        <v>#REF!</v>
      </c>
      <c r="AH59" s="207" t="s">
        <v>320</v>
      </c>
      <c r="AI59" s="240">
        <f t="shared" si="312"/>
        <v>1.7942026852360897E-2</v>
      </c>
      <c r="AJ59" s="11">
        <f t="shared" si="33"/>
        <v>4</v>
      </c>
      <c r="AK59" s="11"/>
      <c r="AL59" s="11"/>
      <c r="AM59" s="11"/>
      <c r="AN59" s="11"/>
      <c r="AO59" s="11"/>
      <c r="AP59" s="11"/>
      <c r="AQ59" s="11" t="str">
        <f>'Update Stock Prices'!Q59</f>
        <v>micro</v>
      </c>
      <c r="AR59" s="11"/>
      <c r="AS59" s="11"/>
      <c r="AT59" s="176"/>
      <c r="AV59" s="839">
        <f>AV84/AV53</f>
        <v>2.3935607834646041E-2</v>
      </c>
      <c r="AW59" s="834">
        <f>AV84/AW53</f>
        <v>4.7871215669292082E-2</v>
      </c>
      <c r="AX59" s="420">
        <f t="shared" si="314"/>
        <v>92</v>
      </c>
      <c r="AY59" s="19">
        <f t="shared" si="293"/>
        <v>4297.2051469016324</v>
      </c>
      <c r="AZ59" s="19">
        <f t="shared" si="291"/>
        <v>358.10042890846938</v>
      </c>
      <c r="BA59" s="19">
        <f t="shared" si="292"/>
        <v>11.765106493912752</v>
      </c>
      <c r="BB59" s="19">
        <f t="shared" si="294"/>
        <v>106226.91123140835</v>
      </c>
      <c r="BC59" s="976">
        <v>2005</v>
      </c>
      <c r="BD59" s="19">
        <f>SUM(5.86,47.92,60.14)</f>
        <v>113.92</v>
      </c>
      <c r="BE59" s="984"/>
      <c r="BF59" s="74"/>
      <c r="BS59" s="420" t="str">
        <f t="shared" si="37"/>
        <v>GLAD</v>
      </c>
      <c r="BT59" s="425">
        <f t="shared" si="38"/>
        <v>9.0808999999999997</v>
      </c>
      <c r="BU59" s="19">
        <f t="shared" si="39"/>
        <v>9.7899999999999991</v>
      </c>
      <c r="BV59" s="19">
        <f t="shared" si="40"/>
        <v>88.902010999999987</v>
      </c>
      <c r="BW59" s="539">
        <f t="shared" si="41"/>
        <v>0.84000000000000008</v>
      </c>
      <c r="BX59" s="19">
        <f t="shared" si="42"/>
        <v>7.6279560000000002</v>
      </c>
      <c r="BY59" s="10">
        <f t="shared" si="43"/>
        <v>0.77915791624106234</v>
      </c>
      <c r="BZ59" s="10">
        <f t="shared" si="44"/>
        <v>9.8600579162410629</v>
      </c>
      <c r="CA59" s="539">
        <f t="shared" si="45"/>
        <v>96.529966999999999</v>
      </c>
      <c r="CB59" s="19">
        <f t="shared" si="46"/>
        <v>8.2824486496424932</v>
      </c>
      <c r="CC59" s="10">
        <f t="shared" si="47"/>
        <v>0.84601109802272667</v>
      </c>
      <c r="CD59" s="10">
        <f t="shared" si="48"/>
        <v>10.70606901426379</v>
      </c>
      <c r="CE59" s="539">
        <f t="shared" si="49"/>
        <v>104.81241564964249</v>
      </c>
      <c r="CF59" s="19">
        <f t="shared" si="50"/>
        <v>8.9930979719815838</v>
      </c>
      <c r="CG59" s="10">
        <f t="shared" si="51"/>
        <v>0.91860040571824153</v>
      </c>
      <c r="CH59" s="10">
        <f t="shared" si="52"/>
        <v>11.62466941998203</v>
      </c>
      <c r="CI59" s="539">
        <f t="shared" si="53"/>
        <v>113.80551362162407</v>
      </c>
      <c r="CJ59" s="19">
        <f t="shared" si="54"/>
        <v>9.7647223127849063</v>
      </c>
      <c r="CK59" s="10">
        <f t="shared" si="55"/>
        <v>0.99741800947751857</v>
      </c>
      <c r="CL59" s="10">
        <f t="shared" si="56"/>
        <v>12.622087429459549</v>
      </c>
      <c r="CM59" s="539">
        <f t="shared" si="57"/>
        <v>123.57023593440897</v>
      </c>
      <c r="CN59" s="19">
        <f t="shared" si="58"/>
        <v>10.602553440746023</v>
      </c>
      <c r="CO59" s="10">
        <f t="shared" si="59"/>
        <v>1.0829983085542414</v>
      </c>
      <c r="CP59" s="10">
        <f t="shared" si="60"/>
        <v>13.705085738013791</v>
      </c>
      <c r="CQ59" s="539">
        <f t="shared" si="61"/>
        <v>134.17278937515499</v>
      </c>
      <c r="CR59" s="19">
        <f t="shared" si="62"/>
        <v>11.512272019931585</v>
      </c>
      <c r="CS59" s="10">
        <f t="shared" si="63"/>
        <v>1.1759215546406114</v>
      </c>
      <c r="CT59" s="10">
        <f t="shared" si="64"/>
        <v>14.881007292654402</v>
      </c>
      <c r="CU59" s="539">
        <f t="shared" si="65"/>
        <v>145.68506139508659</v>
      </c>
      <c r="CV59" s="19">
        <f t="shared" si="66"/>
        <v>12.5000461258297</v>
      </c>
      <c r="CW59" s="10">
        <f t="shared" si="67"/>
        <v>1.2768177860908785</v>
      </c>
      <c r="CX59" s="10">
        <f t="shared" si="68"/>
        <v>16.15782507874528</v>
      </c>
      <c r="CY59" s="539">
        <f t="shared" si="69"/>
        <v>158.18510752091626</v>
      </c>
      <c r="CZ59" s="19">
        <f t="shared" si="70"/>
        <v>13.572573066146036</v>
      </c>
      <c r="DA59" s="10">
        <f t="shared" si="71"/>
        <v>1.3863710997084819</v>
      </c>
      <c r="DB59" s="10">
        <f t="shared" si="72"/>
        <v>17.54419617845376</v>
      </c>
      <c r="DC59" s="539">
        <f t="shared" si="73"/>
        <v>171.75768058706228</v>
      </c>
      <c r="DD59" s="19">
        <f t="shared" si="74"/>
        <v>14.737124789901159</v>
      </c>
      <c r="DE59" s="10">
        <f t="shared" si="75"/>
        <v>1.5053242890603842</v>
      </c>
      <c r="DF59" s="10">
        <f t="shared" si="76"/>
        <v>19.049520467514142</v>
      </c>
      <c r="DG59" s="539">
        <f t="shared" si="77"/>
        <v>186.49480537696343</v>
      </c>
      <c r="DH59" s="19">
        <f t="shared" si="78"/>
        <v>16.001597192711881</v>
      </c>
      <c r="DI59" s="10">
        <f t="shared" si="79"/>
        <v>1.6344838807673014</v>
      </c>
      <c r="DJ59" s="10">
        <f t="shared" si="80"/>
        <v>20.684004348281444</v>
      </c>
      <c r="DK59" s="539">
        <f t="shared" si="81"/>
        <v>202.49640256967533</v>
      </c>
      <c r="DL59" s="19">
        <f t="shared" si="82"/>
        <v>17.374563652556414</v>
      </c>
      <c r="DM59" s="10">
        <f t="shared" si="83"/>
        <v>1.7747256029168965</v>
      </c>
      <c r="DN59" s="10">
        <f t="shared" si="84"/>
        <v>22.45872995119834</v>
      </c>
      <c r="DO59" s="539">
        <f t="shared" si="85"/>
        <v>219.87096622223171</v>
      </c>
      <c r="DP59" s="19">
        <f t="shared" si="86"/>
        <v>18.865333159006607</v>
      </c>
      <c r="DQ59" s="10">
        <f t="shared" si="87"/>
        <v>1.9270003226768753</v>
      </c>
      <c r="DR59" s="10">
        <f t="shared" si="88"/>
        <v>24.385730273875215</v>
      </c>
      <c r="DS59" s="539">
        <f t="shared" si="89"/>
        <v>238.73629938123833</v>
      </c>
      <c r="DT59" s="19">
        <f t="shared" si="90"/>
        <v>20.484013430055182</v>
      </c>
      <c r="DU59" s="10">
        <f t="shared" si="91"/>
        <v>2.0923404933662089</v>
      </c>
      <c r="DV59" s="10">
        <f t="shared" si="92"/>
        <v>26.478070767241423</v>
      </c>
      <c r="DW59" s="539">
        <f t="shared" si="93"/>
        <v>259.22031281129352</v>
      </c>
      <c r="DX59" s="19">
        <f t="shared" si="94"/>
        <v>22.241579444482799</v>
      </c>
      <c r="DY59" s="10">
        <f t="shared" si="95"/>
        <v>2.2718671546969151</v>
      </c>
      <c r="DZ59" s="10">
        <f t="shared" si="96"/>
        <v>28.74993792193834</v>
      </c>
      <c r="EA59" s="539">
        <f t="shared" si="97"/>
        <v>281.46189225577632</v>
      </c>
      <c r="EB59" s="19">
        <f t="shared" si="98"/>
        <v>24.149947854428209</v>
      </c>
      <c r="EC59" s="10">
        <f t="shared" si="99"/>
        <v>2.4667975336494599</v>
      </c>
      <c r="ED59" s="10">
        <f t="shared" si="100"/>
        <v>31.216735455587798</v>
      </c>
      <c r="EE59" s="539">
        <f t="shared" si="101"/>
        <v>305.61184011020453</v>
      </c>
      <c r="EF59" s="19">
        <f t="shared" si="102"/>
        <v>26.222057782693753</v>
      </c>
      <c r="EG59" s="10">
        <f t="shared" si="103"/>
        <v>2.6784532975172377</v>
      </c>
      <c r="EH59" s="10">
        <f t="shared" si="104"/>
        <v>33.895188753105039</v>
      </c>
      <c r="EI59" s="539">
        <f t="shared" si="105"/>
        <v>331.83389789289828</v>
      </c>
      <c r="EJ59" s="19">
        <f t="shared" si="106"/>
        <v>28.471958552608235</v>
      </c>
      <c r="EK59" s="10">
        <f t="shared" si="107"/>
        <v>2.9082695150774502</v>
      </c>
      <c r="EL59" s="10">
        <f t="shared" si="108"/>
        <v>36.803458268182489</v>
      </c>
      <c r="EM59" s="539">
        <f t="shared" si="109"/>
        <v>360.30585644550655</v>
      </c>
      <c r="EN59" s="19">
        <f t="shared" si="110"/>
        <v>30.914904945273292</v>
      </c>
      <c r="EO59" s="10">
        <f t="shared" si="111"/>
        <v>3.1578043866469145</v>
      </c>
      <c r="EP59" s="10">
        <f t="shared" si="112"/>
        <v>39.961262654829405</v>
      </c>
      <c r="EQ59" s="539">
        <f t="shared" si="113"/>
        <v>391.22076139077984</v>
      </c>
      <c r="ER59" s="19">
        <f t="shared" si="114"/>
        <v>33.567460630056701</v>
      </c>
      <c r="ES59" s="10">
        <f t="shared" si="115"/>
        <v>3.4287498089945561</v>
      </c>
      <c r="ET59" s="10">
        <f t="shared" si="116"/>
        <v>43.390012463823957</v>
      </c>
      <c r="EU59" s="539">
        <f t="shared" si="117"/>
        <v>424.78822202083649</v>
      </c>
      <c r="EV59" s="19">
        <f t="shared" si="118"/>
        <v>36.44761046961213</v>
      </c>
      <c r="EW59" s="10">
        <f t="shared" si="119"/>
        <v>3.7229428467428125</v>
      </c>
      <c r="EX59" s="10">
        <f t="shared" si="120"/>
        <v>47.112955310566768</v>
      </c>
      <c r="EY59" s="539">
        <f t="shared" si="121"/>
        <v>461.23583249044862</v>
      </c>
      <c r="EZ59" s="19">
        <f t="shared" si="122"/>
        <v>39.57488246087609</v>
      </c>
      <c r="FA59" s="10">
        <f t="shared" si="123"/>
        <v>4.0423781880363734</v>
      </c>
      <c r="FB59" s="10">
        <f t="shared" si="124"/>
        <v>51.155333498603142</v>
      </c>
      <c r="FC59" s="539">
        <f t="shared" si="125"/>
        <v>500.81071495132471</v>
      </c>
      <c r="FD59" s="19">
        <f t="shared" si="126"/>
        <v>42.970480138826645</v>
      </c>
      <c r="FE59" s="10">
        <f t="shared" si="127"/>
        <v>4.3892216689301993</v>
      </c>
      <c r="FF59" s="10">
        <f t="shared" si="128"/>
        <v>55.544555167533339</v>
      </c>
      <c r="FG59" s="539">
        <f t="shared" si="129"/>
        <v>543.7811950901513</v>
      </c>
      <c r="FH59" s="19">
        <f t="shared" si="130"/>
        <v>46.657426340728009</v>
      </c>
      <c r="FI59" s="10">
        <f t="shared" si="131"/>
        <v>4.7658249581948944</v>
      </c>
      <c r="FJ59" s="10">
        <f t="shared" si="132"/>
        <v>60.31038012572823</v>
      </c>
      <c r="FK59" s="539">
        <f t="shared" si="133"/>
        <v>590.43862143087927</v>
      </c>
      <c r="FL59" s="19">
        <f t="shared" si="134"/>
        <v>50.660719305611721</v>
      </c>
      <c r="FM59" s="10">
        <f t="shared" si="135"/>
        <v>5.1747415021053857</v>
      </c>
      <c r="FN59" s="10">
        <f t="shared" si="136"/>
        <v>65.485121627833621</v>
      </c>
      <c r="FO59" s="539">
        <f t="shared" si="137"/>
        <v>641.09934073649106</v>
      </c>
      <c r="FP59" s="19">
        <f t="shared" si="138"/>
        <v>55.007502167380245</v>
      </c>
      <c r="FQ59" s="10">
        <f t="shared" si="139"/>
        <v>5.6187438373217828</v>
      </c>
      <c r="FR59" s="10">
        <f t="shared" si="140"/>
        <v>71.103865465155408</v>
      </c>
      <c r="FS59" s="539">
        <f t="shared" si="141"/>
        <v>696.10684290387144</v>
      </c>
      <c r="FT59" s="19">
        <f t="shared" si="142"/>
        <v>59.727246990730549</v>
      </c>
      <c r="FU59" s="10">
        <f t="shared" si="143"/>
        <v>6.1008423892472479</v>
      </c>
      <c r="FV59" s="10">
        <f t="shared" si="144"/>
        <v>77.204707854402656</v>
      </c>
      <c r="FW59" s="539">
        <f t="shared" si="145"/>
        <v>755.8340898946019</v>
      </c>
      <c r="FX59" s="19">
        <f t="shared" si="146"/>
        <v>64.851954597698239</v>
      </c>
      <c r="FY59" s="10">
        <f t="shared" si="147"/>
        <v>6.6243058833195345</v>
      </c>
      <c r="FZ59" s="10">
        <f t="shared" si="148"/>
        <v>83.829013737722192</v>
      </c>
      <c r="GA59" s="539">
        <f t="shared" si="149"/>
        <v>820.6860444923002</v>
      </c>
      <c r="GB59" s="19">
        <f t="shared" si="150"/>
        <v>70.416371539686651</v>
      </c>
      <c r="GC59" s="10">
        <f t="shared" si="151"/>
        <v>7.192683507628872</v>
      </c>
      <c r="GD59" s="10">
        <f t="shared" si="152"/>
        <v>91.021697245351064</v>
      </c>
      <c r="GE59" s="539">
        <f t="shared" si="153"/>
        <v>891.10241603198688</v>
      </c>
      <c r="GF59" s="19">
        <f t="shared" si="154"/>
        <v>76.458225686094906</v>
      </c>
      <c r="GG59" s="10">
        <f t="shared" si="155"/>
        <v>7.8098289771292047</v>
      </c>
      <c r="GH59" s="10">
        <f t="shared" si="156"/>
        <v>98.831526222480264</v>
      </c>
      <c r="GI59" s="539">
        <f t="shared" si="157"/>
        <v>967.56064171808168</v>
      </c>
      <c r="GJ59" s="19">
        <f t="shared" si="158"/>
        <v>83.018482026883433</v>
      </c>
      <c r="GK59" s="10">
        <f t="shared" si="159"/>
        <v>8.4799266626030079</v>
      </c>
      <c r="GL59" s="10">
        <f t="shared" si="160"/>
        <v>107.31145288508327</v>
      </c>
      <c r="GM59" s="539">
        <f t="shared" si="161"/>
        <v>1050.579123744965</v>
      </c>
      <c r="GN59" s="19">
        <f t="shared" si="162"/>
        <v>90.141620423469959</v>
      </c>
      <c r="GO59" s="10">
        <f t="shared" si="163"/>
        <v>9.2075199615393224</v>
      </c>
      <c r="GP59" s="10">
        <f t="shared" si="164"/>
        <v>116.51897284662259</v>
      </c>
      <c r="GQ59" s="539">
        <f t="shared" si="165"/>
        <v>1140.720744168435</v>
      </c>
      <c r="GR59" s="19">
        <f t="shared" si="166"/>
        <v>97.87593719116299</v>
      </c>
      <c r="GS59" s="10">
        <f t="shared" si="167"/>
        <v>9.9975421032852907</v>
      </c>
      <c r="GT59" s="10">
        <f t="shared" si="168"/>
        <v>126.51651494990787</v>
      </c>
      <c r="GU59" s="539">
        <f t="shared" si="169"/>
        <v>1238.5966813595981</v>
      </c>
      <c r="GV59" s="19">
        <f t="shared" si="170"/>
        <v>106.27387255792263</v>
      </c>
      <c r="GW59" s="10">
        <f t="shared" si="171"/>
        <v>10.855349597336327</v>
      </c>
      <c r="GX59" s="10">
        <f t="shared" si="172"/>
        <v>137.3718645472442</v>
      </c>
      <c r="GY59" s="539">
        <f t="shared" si="173"/>
        <v>1344.8705539175205</v>
      </c>
      <c r="GZ59" s="19">
        <f t="shared" si="174"/>
        <v>115.39236621968514</v>
      </c>
      <c r="HA59" s="10">
        <f t="shared" si="175"/>
        <v>11.786758551551088</v>
      </c>
      <c r="HB59" s="10">
        <f t="shared" si="176"/>
        <v>149.15862309879529</v>
      </c>
      <c r="HC59" s="539">
        <f t="shared" si="177"/>
        <v>1460.2629201372058</v>
      </c>
      <c r="HD59" s="19">
        <f t="shared" si="178"/>
        <v>125.29324340298805</v>
      </c>
      <c r="HE59" s="10">
        <f t="shared" si="179"/>
        <v>12.798084106536065</v>
      </c>
      <c r="HF59" s="10">
        <f t="shared" si="180"/>
        <v>161.95670720533136</v>
      </c>
      <c r="HG59" s="539">
        <f t="shared" si="181"/>
        <v>1585.5561635401939</v>
      </c>
      <c r="HH59" s="19">
        <f t="shared" si="182"/>
        <v>136.04363405247835</v>
      </c>
      <c r="HI59" s="10">
        <f t="shared" si="183"/>
        <v>13.896183253572866</v>
      </c>
      <c r="HJ59" s="10">
        <f t="shared" si="184"/>
        <v>175.85289045890423</v>
      </c>
      <c r="HK59" s="539">
        <f t="shared" si="185"/>
        <v>1721.5997975926723</v>
      </c>
      <c r="HL59" s="19">
        <f t="shared" si="186"/>
        <v>147.71642798547956</v>
      </c>
      <c r="HM59" s="10">
        <f t="shared" si="187"/>
        <v>15.088501326402408</v>
      </c>
      <c r="HN59" s="10">
        <f t="shared" si="188"/>
        <v>190.94139178530662</v>
      </c>
      <c r="HO59" s="539">
        <f t="shared" si="189"/>
        <v>1869.3162255781517</v>
      </c>
      <c r="HP59" s="19">
        <f t="shared" si="190"/>
        <v>160.39076909965758</v>
      </c>
      <c r="HQ59" s="10">
        <f t="shared" si="191"/>
        <v>16.383122482089643</v>
      </c>
      <c r="HR59" s="10">
        <f t="shared" si="192"/>
        <v>207.32451426739627</v>
      </c>
      <c r="HS59" s="539">
        <f t="shared" si="193"/>
        <v>2029.7069946778092</v>
      </c>
      <c r="HT59" s="19">
        <f t="shared" si="194"/>
        <v>174.15259198461288</v>
      </c>
      <c r="HU59" s="10">
        <f t="shared" si="195"/>
        <v>17.788824513239316</v>
      </c>
      <c r="HV59" s="10">
        <f t="shared" si="196"/>
        <v>225.11333878063559</v>
      </c>
      <c r="HW59" s="539">
        <f t="shared" si="197"/>
        <v>2203.8595866624223</v>
      </c>
      <c r="HX59" s="19">
        <f t="shared" si="198"/>
        <v>189.0952045757339</v>
      </c>
      <c r="HY59" s="10">
        <f t="shared" si="199"/>
        <v>19.315138363200603</v>
      </c>
      <c r="HZ59" s="10">
        <f t="shared" si="200"/>
        <v>244.42847714383618</v>
      </c>
      <c r="IA59" s="539">
        <f t="shared" si="201"/>
        <v>2392.9547912381558</v>
      </c>
      <c r="IB59" s="19">
        <f t="shared" si="202"/>
        <v>205.31992080082242</v>
      </c>
      <c r="IP59" s="11">
        <v>18</v>
      </c>
      <c r="IQ59" s="19">
        <f t="shared" si="358"/>
        <v>35.215048906090523</v>
      </c>
      <c r="IR59" s="20">
        <f t="shared" si="351"/>
        <v>6.3337360828432194</v>
      </c>
    </row>
    <row r="60" spans="1:263">
      <c r="A60" s="11"/>
      <c r="B60" s="233"/>
      <c r="C60" s="1221" t="s">
        <v>2347</v>
      </c>
      <c r="D60" s="47" t="s">
        <v>612</v>
      </c>
      <c r="E60" s="396">
        <f t="shared" si="333"/>
        <v>13.0192</v>
      </c>
      <c r="F60" s="242">
        <v>1.0192000000000001</v>
      </c>
      <c r="G60" s="48">
        <f>'Update Stock Prices'!S60</f>
        <v>963711185.93340814</v>
      </c>
      <c r="H60" s="991">
        <f t="shared" si="27"/>
        <v>1.0575782608695654E-9</v>
      </c>
      <c r="I60" s="49">
        <f>'Update Stock Prices'!D60</f>
        <v>26.73</v>
      </c>
      <c r="J60" s="49">
        <f t="shared" si="1"/>
        <v>27.243216000000004</v>
      </c>
      <c r="K60" s="30">
        <v>22.35</v>
      </c>
      <c r="L60" s="49">
        <f t="shared" si="28"/>
        <v>4.8932160000000025</v>
      </c>
      <c r="M60" s="50">
        <f t="shared" si="29"/>
        <v>0.2189358389261746</v>
      </c>
      <c r="N60" s="49">
        <f t="shared" si="30"/>
        <v>21.928963893249605</v>
      </c>
      <c r="O60" s="48">
        <f t="shared" si="334"/>
        <v>12</v>
      </c>
      <c r="P60" s="49">
        <f t="shared" si="342"/>
        <v>0.25</v>
      </c>
      <c r="Q60" s="30">
        <f>0.14*4</f>
        <v>0.56000000000000005</v>
      </c>
      <c r="R60" s="49">
        <f>S60/365.25</f>
        <v>1.5626338124572214E-3</v>
      </c>
      <c r="S60" s="49">
        <f t="shared" si="335"/>
        <v>0.57075200000000015</v>
      </c>
      <c r="T60" s="49">
        <f>S60/12</f>
        <v>4.7562666666666677E-2</v>
      </c>
      <c r="U60" s="49" t="s">
        <v>54</v>
      </c>
      <c r="V60" s="50">
        <f t="shared" si="336"/>
        <v>2.0950243172465396E-2</v>
      </c>
      <c r="W60" s="50">
        <f t="shared" si="7"/>
        <v>2.553700223713647E-2</v>
      </c>
      <c r="X60" s="49">
        <f t="shared" si="345"/>
        <v>6.7200000000000006</v>
      </c>
      <c r="Y60" s="49">
        <f t="shared" si="32"/>
        <v>0.14268800000000004</v>
      </c>
      <c r="Z60" s="860">
        <f t="shared" si="337"/>
        <v>0</v>
      </c>
      <c r="AA60" s="860">
        <f t="shared" si="338"/>
        <v>189.9093714285714</v>
      </c>
      <c r="AB60" s="49">
        <f t="shared" si="339"/>
        <v>5076.2774982857136</v>
      </c>
      <c r="AC60" s="48">
        <v>1</v>
      </c>
      <c r="AD60" s="47" t="str">
        <f t="shared" si="340"/>
        <v>GLW</v>
      </c>
      <c r="AE60" s="49">
        <f t="shared" si="341"/>
        <v>27.243216000000004</v>
      </c>
      <c r="AF60" s="50" t="e">
        <f t="shared" si="310"/>
        <v>#REF!</v>
      </c>
      <c r="AG60" s="890" t="e">
        <f t="shared" si="332"/>
        <v>#REF!</v>
      </c>
      <c r="AH60" s="207" t="s">
        <v>613</v>
      </c>
      <c r="AI60" s="240">
        <f t="shared" si="312"/>
        <v>1.6848648878829274E-3</v>
      </c>
      <c r="AJ60" s="11">
        <f t="shared" si="33"/>
        <v>3</v>
      </c>
      <c r="AK60" s="11"/>
      <c r="AL60" s="11"/>
      <c r="AM60" s="11"/>
      <c r="AN60" s="11"/>
      <c r="AO60" s="11"/>
      <c r="AP60" s="11"/>
      <c r="AQ60" s="11" t="str">
        <f>'Update Stock Prices'!Q60</f>
        <v>big</v>
      </c>
      <c r="AR60" s="11"/>
      <c r="AS60" s="11"/>
      <c r="AT60" s="176"/>
      <c r="AV60" s="660"/>
      <c r="AW60" s="236"/>
      <c r="AX60" s="420">
        <f t="shared" si="314"/>
        <v>93</v>
      </c>
      <c r="AY60" s="19">
        <f t="shared" si="293"/>
        <v>4249.0764492563339</v>
      </c>
      <c r="AZ60" s="19">
        <f t="shared" si="291"/>
        <v>354.08970410469448</v>
      </c>
      <c r="BA60" s="19">
        <f t="shared" si="292"/>
        <v>11.633337301180928</v>
      </c>
      <c r="BB60" s="19">
        <f t="shared" si="294"/>
        <v>105037.16982561658</v>
      </c>
      <c r="BC60" s="976">
        <v>2006</v>
      </c>
      <c r="BD60" s="19">
        <f>SUM(172.83,-31.99,250.74,561.13)</f>
        <v>952.71</v>
      </c>
      <c r="BE60" s="984"/>
      <c r="BF60" s="74"/>
      <c r="BS60" s="420" t="str">
        <f t="shared" si="37"/>
        <v>GLW</v>
      </c>
      <c r="BT60" s="425">
        <f t="shared" si="38"/>
        <v>1.0192000000000001</v>
      </c>
      <c r="BU60" s="19">
        <f t="shared" si="39"/>
        <v>26.73</v>
      </c>
      <c r="BV60" s="19">
        <f t="shared" si="40"/>
        <v>27.243216000000004</v>
      </c>
      <c r="BW60" s="539">
        <f t="shared" si="41"/>
        <v>0.56000000000000005</v>
      </c>
      <c r="BX60" s="19">
        <f t="shared" si="42"/>
        <v>0.57075200000000015</v>
      </c>
      <c r="BY60" s="10">
        <f t="shared" si="43"/>
        <v>2.1352487841376736E-2</v>
      </c>
      <c r="BZ60" s="10">
        <f t="shared" si="44"/>
        <v>1.0405524878413768</v>
      </c>
      <c r="CA60" s="539">
        <f t="shared" si="45"/>
        <v>27.813968000000003</v>
      </c>
      <c r="CB60" s="19">
        <f t="shared" si="46"/>
        <v>0.5827093931911711</v>
      </c>
      <c r="CC60" s="10">
        <f t="shared" si="47"/>
        <v>2.1799827653990689E-2</v>
      </c>
      <c r="CD60" s="10">
        <f t="shared" si="48"/>
        <v>1.0623523154953673</v>
      </c>
      <c r="CE60" s="539">
        <f t="shared" si="49"/>
        <v>28.396677393191169</v>
      </c>
      <c r="CF60" s="19">
        <f t="shared" si="50"/>
        <v>0.59491729667740578</v>
      </c>
      <c r="CG60" s="10">
        <f t="shared" si="51"/>
        <v>2.2256539344459626E-2</v>
      </c>
      <c r="CH60" s="10">
        <f t="shared" si="52"/>
        <v>1.0846088548398269</v>
      </c>
      <c r="CI60" s="539">
        <f t="shared" si="53"/>
        <v>28.991594689868574</v>
      </c>
      <c r="CJ60" s="19">
        <f t="shared" si="54"/>
        <v>0.60738095871030318</v>
      </c>
      <c r="CK60" s="10">
        <f t="shared" si="55"/>
        <v>2.2722819255903599E-2</v>
      </c>
      <c r="CL60" s="10">
        <f t="shared" si="56"/>
        <v>1.1073316740957306</v>
      </c>
      <c r="CM60" s="539">
        <f t="shared" si="57"/>
        <v>29.598975648578879</v>
      </c>
      <c r="CN60" s="19">
        <f t="shared" si="58"/>
        <v>0.6201057374936092</v>
      </c>
      <c r="CO60" s="10">
        <f t="shared" si="59"/>
        <v>2.3198867844878759E-2</v>
      </c>
      <c r="CP60" s="10">
        <f t="shared" si="60"/>
        <v>1.1305305419406093</v>
      </c>
      <c r="CQ60" s="539">
        <f t="shared" si="61"/>
        <v>30.219081386072489</v>
      </c>
      <c r="CR60" s="19">
        <f t="shared" si="62"/>
        <v>0.63309710348674131</v>
      </c>
      <c r="CS60" s="10">
        <f t="shared" si="63"/>
        <v>2.3684889767554857E-2</v>
      </c>
      <c r="CT60" s="10">
        <f t="shared" si="64"/>
        <v>1.1542154317081641</v>
      </c>
      <c r="CU60" s="539">
        <f t="shared" si="65"/>
        <v>30.852178489559225</v>
      </c>
      <c r="CV60" s="19">
        <f t="shared" si="66"/>
        <v>0.64636064175657193</v>
      </c>
      <c r="CW60" s="10">
        <f t="shared" si="67"/>
        <v>2.4181093967698165E-2</v>
      </c>
      <c r="CX60" s="10">
        <f t="shared" si="68"/>
        <v>1.1783965256758622</v>
      </c>
      <c r="CY60" s="539">
        <f t="shared" si="69"/>
        <v>31.498539131315795</v>
      </c>
      <c r="CZ60" s="19">
        <f t="shared" si="70"/>
        <v>0.65990205437848293</v>
      </c>
      <c r="DA60" s="10">
        <f t="shared" si="71"/>
        <v>2.4687693766497678E-2</v>
      </c>
      <c r="DB60" s="10">
        <f t="shared" si="72"/>
        <v>1.2030842194423599</v>
      </c>
      <c r="DC60" s="539">
        <f t="shared" si="73"/>
        <v>32.158441185694279</v>
      </c>
      <c r="DD60" s="19">
        <f t="shared" si="74"/>
        <v>0.67372716288772161</v>
      </c>
      <c r="DE60" s="10">
        <f t="shared" si="75"/>
        <v>2.520490695427316E-2</v>
      </c>
      <c r="DF60" s="10">
        <f t="shared" si="76"/>
        <v>1.2282891263966331</v>
      </c>
      <c r="DG60" s="539">
        <f t="shared" si="77"/>
        <v>32.832168348582002</v>
      </c>
      <c r="DH60" s="19">
        <f t="shared" si="78"/>
        <v>0.68784191078211465</v>
      </c>
      <c r="DI60" s="10">
        <f t="shared" si="79"/>
        <v>2.5732955884104552E-2</v>
      </c>
      <c r="DJ60" s="10">
        <f t="shared" si="80"/>
        <v>1.2540220822807377</v>
      </c>
      <c r="DK60" s="539">
        <f t="shared" si="81"/>
        <v>33.52001025936412</v>
      </c>
      <c r="DL60" s="19">
        <f t="shared" si="82"/>
        <v>0.7022523660772132</v>
      </c>
      <c r="DM60" s="10">
        <f t="shared" si="83"/>
        <v>2.6272067567422865E-2</v>
      </c>
      <c r="DN60" s="10">
        <f t="shared" si="84"/>
        <v>1.2802941498481606</v>
      </c>
      <c r="DO60" s="539">
        <f t="shared" si="85"/>
        <v>34.222262625441331</v>
      </c>
      <c r="DP60" s="19">
        <f t="shared" si="86"/>
        <v>0.71696472391497001</v>
      </c>
      <c r="DQ60" s="10">
        <f t="shared" si="87"/>
        <v>2.6822473771603815E-2</v>
      </c>
      <c r="DR60" s="10">
        <f t="shared" si="88"/>
        <v>1.3071166236197644</v>
      </c>
      <c r="DS60" s="539">
        <f t="shared" si="89"/>
        <v>34.939227349356301</v>
      </c>
      <c r="DT60" s="19">
        <f t="shared" si="90"/>
        <v>0.73198530922706817</v>
      </c>
      <c r="DU60" s="10">
        <f t="shared" si="91"/>
        <v>2.7384411119605993E-2</v>
      </c>
      <c r="DV60" s="10">
        <f t="shared" si="92"/>
        <v>1.3345010347393704</v>
      </c>
      <c r="DW60" s="539">
        <f t="shared" si="93"/>
        <v>35.671212658583372</v>
      </c>
      <c r="DX60" s="19">
        <f t="shared" si="94"/>
        <v>0.74732057945404751</v>
      </c>
      <c r="DY60" s="10">
        <f t="shared" si="95"/>
        <v>2.7958121191696501E-2</v>
      </c>
      <c r="DZ60" s="10">
        <f t="shared" si="96"/>
        <v>1.362459155931067</v>
      </c>
      <c r="EA60" s="539">
        <f t="shared" si="97"/>
        <v>36.418533238037419</v>
      </c>
      <c r="EB60" s="19">
        <f t="shared" si="98"/>
        <v>0.76297712732139766</v>
      </c>
      <c r="EC60" s="10">
        <f t="shared" si="99"/>
        <v>2.8543850629307806E-2</v>
      </c>
      <c r="ED60" s="10">
        <f t="shared" si="100"/>
        <v>1.3910030065603749</v>
      </c>
      <c r="EE60" s="539">
        <f t="shared" si="101"/>
        <v>37.181510365358818</v>
      </c>
      <c r="EF60" s="19">
        <f t="shared" si="102"/>
        <v>0.77896168367381002</v>
      </c>
      <c r="EG60" s="10">
        <f t="shared" si="103"/>
        <v>2.9141851241070334E-2</v>
      </c>
      <c r="EH60" s="10">
        <f t="shared" si="104"/>
        <v>1.4201448578014453</v>
      </c>
      <c r="EI60" s="539">
        <f t="shared" si="105"/>
        <v>37.960472049032632</v>
      </c>
      <c r="EJ60" s="19">
        <f t="shared" si="106"/>
        <v>0.79528112036880938</v>
      </c>
      <c r="EK60" s="10">
        <f t="shared" si="107"/>
        <v>2.9752380111066568E-2</v>
      </c>
      <c r="EL60" s="10">
        <f t="shared" si="108"/>
        <v>1.4498972379125119</v>
      </c>
      <c r="EM60" s="539">
        <f t="shared" si="109"/>
        <v>38.755753169401444</v>
      </c>
      <c r="EN60" s="19">
        <f t="shared" si="110"/>
        <v>0.81194245323100678</v>
      </c>
      <c r="EO60" s="10">
        <f t="shared" si="111"/>
        <v>3.0375699709353041E-2</v>
      </c>
      <c r="EP60" s="10">
        <f t="shared" si="112"/>
        <v>1.4802729376218648</v>
      </c>
      <c r="EQ60" s="539">
        <f t="shared" si="113"/>
        <v>39.567695622632449</v>
      </c>
      <c r="ER60" s="19">
        <f t="shared" si="114"/>
        <v>0.8289528450682444</v>
      </c>
      <c r="ES60" s="10">
        <f t="shared" si="115"/>
        <v>3.1012078004797768E-2</v>
      </c>
      <c r="ET60" s="10">
        <f t="shared" si="116"/>
        <v>1.5112850156266626</v>
      </c>
      <c r="EU60" s="539">
        <f t="shared" si="117"/>
        <v>40.396648467700693</v>
      </c>
      <c r="EV60" s="19">
        <f t="shared" si="118"/>
        <v>0.84631960875093115</v>
      </c>
      <c r="EW60" s="10">
        <f t="shared" si="119"/>
        <v>3.1661788580281749E-2</v>
      </c>
      <c r="EX60" s="10">
        <f t="shared" si="120"/>
        <v>1.5429468042069443</v>
      </c>
      <c r="EY60" s="539">
        <f t="shared" si="121"/>
        <v>41.242968076451625</v>
      </c>
      <c r="EZ60" s="19">
        <f t="shared" si="122"/>
        <v>0.86405021035588891</v>
      </c>
      <c r="FA60" s="10">
        <f t="shared" si="123"/>
        <v>3.2325110750313836E-2</v>
      </c>
      <c r="FB60" s="10">
        <f t="shared" si="124"/>
        <v>1.575271914957258</v>
      </c>
      <c r="FC60" s="539">
        <f t="shared" si="125"/>
        <v>42.107018286807509</v>
      </c>
      <c r="FD60" s="19">
        <f t="shared" si="126"/>
        <v>0.88215227237606464</v>
      </c>
      <c r="FE60" s="10">
        <f t="shared" si="127"/>
        <v>3.300232968110979E-2</v>
      </c>
      <c r="FF60" s="10">
        <f t="shared" si="128"/>
        <v>1.6082742446383678</v>
      </c>
      <c r="FG60" s="539">
        <f t="shared" si="129"/>
        <v>42.98917055918357</v>
      </c>
      <c r="FH60" s="19">
        <f t="shared" si="130"/>
        <v>0.90063357699748603</v>
      </c>
      <c r="FI60" s="10">
        <f t="shared" si="131"/>
        <v>3.3693736513186905E-2</v>
      </c>
      <c r="FJ60" s="10">
        <f t="shared" si="132"/>
        <v>1.6419679811515546</v>
      </c>
      <c r="FK60" s="539">
        <f t="shared" si="133"/>
        <v>43.889804136181056</v>
      </c>
      <c r="FL60" s="19">
        <f t="shared" si="134"/>
        <v>0.91950206944487067</v>
      </c>
      <c r="FM60" s="10">
        <f t="shared" si="135"/>
        <v>3.4399628486527146E-2</v>
      </c>
      <c r="FN60" s="10">
        <f t="shared" si="136"/>
        <v>1.6763676096380817</v>
      </c>
      <c r="FO60" s="539">
        <f t="shared" si="137"/>
        <v>44.809306205625923</v>
      </c>
      <c r="FP60" s="19">
        <f t="shared" si="138"/>
        <v>0.93876586139732587</v>
      </c>
      <c r="FQ60" s="10">
        <f t="shared" si="139"/>
        <v>3.512030906836236E-2</v>
      </c>
      <c r="FR60" s="10">
        <f t="shared" si="140"/>
        <v>1.711487918706444</v>
      </c>
      <c r="FS60" s="539">
        <f t="shared" si="141"/>
        <v>45.748072067023251</v>
      </c>
      <c r="FT60" s="19">
        <f t="shared" si="142"/>
        <v>0.95843323447560869</v>
      </c>
      <c r="FU60" s="10">
        <f t="shared" si="143"/>
        <v>3.5856088083636689E-2</v>
      </c>
      <c r="FV60" s="10">
        <f t="shared" si="144"/>
        <v>1.7473440067900807</v>
      </c>
      <c r="FW60" s="539">
        <f t="shared" si="145"/>
        <v>46.706505301498858</v>
      </c>
      <c r="FX60" s="19">
        <f t="shared" si="146"/>
        <v>0.97851264380244529</v>
      </c>
      <c r="FY60" s="10">
        <f t="shared" si="147"/>
        <v>3.6607281848202215E-2</v>
      </c>
      <c r="FZ60" s="10">
        <f t="shared" si="148"/>
        <v>1.7839512886382829</v>
      </c>
      <c r="GA60" s="539">
        <f t="shared" si="149"/>
        <v>47.685017945301304</v>
      </c>
      <c r="GB60" s="19">
        <f t="shared" si="150"/>
        <v>0.99901272163743848</v>
      </c>
      <c r="GC60" s="10">
        <f t="shared" si="151"/>
        <v>3.7374213304805032E-2</v>
      </c>
      <c r="GD60" s="10">
        <f t="shared" si="152"/>
        <v>1.8213255019430878</v>
      </c>
      <c r="GE60" s="539">
        <f t="shared" si="153"/>
        <v>48.684030666938739</v>
      </c>
      <c r="GF60" s="19">
        <f t="shared" si="154"/>
        <v>1.0199422810881293</v>
      </c>
      <c r="GG60" s="10">
        <f t="shared" si="155"/>
        <v>3.8157212161920293E-2</v>
      </c>
      <c r="GH60" s="10">
        <f t="shared" si="156"/>
        <v>1.8594827141050081</v>
      </c>
      <c r="GI60" s="539">
        <f t="shared" si="157"/>
        <v>49.703972948026866</v>
      </c>
      <c r="GJ60" s="19">
        <f t="shared" si="158"/>
        <v>1.0413103198988047</v>
      </c>
      <c r="GK60" s="10">
        <f t="shared" si="159"/>
        <v>3.8956615035495877E-2</v>
      </c>
      <c r="GL60" s="10">
        <f t="shared" si="160"/>
        <v>1.898439329140504</v>
      </c>
      <c r="GM60" s="539">
        <f t="shared" si="161"/>
        <v>50.745283267925672</v>
      </c>
      <c r="GN60" s="19">
        <f t="shared" si="162"/>
        <v>1.0631260243186824</v>
      </c>
      <c r="GO60" s="10">
        <f t="shared" si="163"/>
        <v>3.9772765593665632E-2</v>
      </c>
      <c r="GP60" s="10">
        <f t="shared" si="164"/>
        <v>1.9382120947341697</v>
      </c>
      <c r="GQ60" s="539">
        <f t="shared" si="165"/>
        <v>51.808409292244356</v>
      </c>
      <c r="GR60" s="19">
        <f t="shared" si="166"/>
        <v>1.0853987730511352</v>
      </c>
      <c r="GS60" s="10">
        <f t="shared" si="167"/>
        <v>4.0606014704494396E-2</v>
      </c>
      <c r="GT60" s="10">
        <f t="shared" si="168"/>
        <v>1.9788181094386641</v>
      </c>
      <c r="GU60" s="539">
        <f t="shared" si="169"/>
        <v>52.893808065295495</v>
      </c>
      <c r="GV60" s="19">
        <f t="shared" si="170"/>
        <v>1.1081381412856519</v>
      </c>
      <c r="GW60" s="10">
        <f t="shared" si="171"/>
        <v>4.1456720586818249E-2</v>
      </c>
      <c r="GX60" s="10">
        <f t="shared" si="172"/>
        <v>2.0202748300254822</v>
      </c>
      <c r="GY60" s="539">
        <f t="shared" si="173"/>
        <v>54.001946206581138</v>
      </c>
      <c r="GZ60" s="19">
        <f t="shared" si="174"/>
        <v>1.1313539048142702</v>
      </c>
      <c r="HA60" s="10">
        <f t="shared" si="175"/>
        <v>4.2325248964245048E-2</v>
      </c>
      <c r="HB60" s="10">
        <f t="shared" si="176"/>
        <v>2.0626000789897274</v>
      </c>
      <c r="HC60" s="539">
        <f t="shared" si="177"/>
        <v>55.133300111395414</v>
      </c>
      <c r="HD60" s="19">
        <f t="shared" si="178"/>
        <v>1.1550560442342475</v>
      </c>
      <c r="HE60" s="10">
        <f t="shared" si="179"/>
        <v>4.3211973222381121E-2</v>
      </c>
      <c r="HF60" s="10">
        <f t="shared" si="180"/>
        <v>2.1058120522121087</v>
      </c>
      <c r="HG60" s="539">
        <f t="shared" si="181"/>
        <v>56.288356155629664</v>
      </c>
      <c r="HH60" s="19">
        <f t="shared" si="182"/>
        <v>1.179254749238781</v>
      </c>
      <c r="HI60" s="10">
        <f t="shared" si="183"/>
        <v>4.4117274569352077E-2</v>
      </c>
      <c r="HJ60" s="10">
        <f t="shared" si="184"/>
        <v>2.1499293267814608</v>
      </c>
      <c r="HK60" s="539">
        <f t="shared" si="185"/>
        <v>57.467610904868444</v>
      </c>
      <c r="HL60" s="19">
        <f t="shared" si="186"/>
        <v>1.2039604229976182</v>
      </c>
      <c r="HM60" s="10">
        <f t="shared" si="187"/>
        <v>4.5041542199686424E-2</v>
      </c>
      <c r="HN60" s="10">
        <f t="shared" si="188"/>
        <v>2.1949708689811471</v>
      </c>
      <c r="HO60" s="539">
        <f t="shared" si="189"/>
        <v>58.671571327866062</v>
      </c>
      <c r="HP60" s="19">
        <f t="shared" si="190"/>
        <v>1.2291836866294426</v>
      </c>
      <c r="HQ60" s="10">
        <f t="shared" si="191"/>
        <v>4.5985173461632715E-2</v>
      </c>
      <c r="HR60" s="10">
        <f t="shared" si="192"/>
        <v>2.2409560424427797</v>
      </c>
      <c r="HS60" s="539">
        <f t="shared" si="193"/>
        <v>59.900755014495502</v>
      </c>
      <c r="HT60" s="19">
        <f t="shared" si="194"/>
        <v>1.2549353837679567</v>
      </c>
      <c r="HU60" s="10">
        <f t="shared" si="195"/>
        <v>4.6948574027981915E-2</v>
      </c>
      <c r="HV60" s="10">
        <f t="shared" si="196"/>
        <v>2.2879046164707617</v>
      </c>
      <c r="HW60" s="539">
        <f t="shared" si="197"/>
        <v>61.155690398263459</v>
      </c>
      <c r="HX60" s="19">
        <f t="shared" si="198"/>
        <v>1.2812265852236266</v>
      </c>
      <c r="HY60" s="10">
        <f t="shared" si="199"/>
        <v>4.7932158070468633E-2</v>
      </c>
      <c r="HZ60" s="10">
        <f t="shared" si="200"/>
        <v>2.3358367745412303</v>
      </c>
      <c r="IA60" s="539">
        <f t="shared" si="201"/>
        <v>62.436916983487087</v>
      </c>
      <c r="IB60" s="19">
        <f t="shared" si="202"/>
        <v>1.3080685937430891</v>
      </c>
      <c r="IP60" s="11">
        <v>19</v>
      </c>
      <c r="IQ60" s="19">
        <f t="shared" si="358"/>
        <v>38.032252818577767</v>
      </c>
      <c r="IR60" s="20">
        <f t="shared" si="351"/>
        <v>6.2185772449733419</v>
      </c>
    </row>
    <row r="61" spans="1:263">
      <c r="A61" s="11"/>
      <c r="B61" s="233"/>
      <c r="C61" s="826" t="s">
        <v>2342</v>
      </c>
      <c r="D61" s="47" t="s">
        <v>331</v>
      </c>
      <c r="E61" s="396">
        <f t="shared" si="333"/>
        <v>17.116399999999999</v>
      </c>
      <c r="F61" s="242">
        <v>1.1164000000000001</v>
      </c>
      <c r="G61" s="48">
        <f>'Update Stock Prices'!S61</f>
        <v>24826727.642276425</v>
      </c>
      <c r="H61" s="991">
        <f t="shared" si="27"/>
        <v>4.4967666141345502E-8</v>
      </c>
      <c r="I61" s="49">
        <f>'Update Stock Prices'!D61</f>
        <v>19.68</v>
      </c>
      <c r="J61" s="49">
        <f t="shared" si="1"/>
        <v>21.970752000000001</v>
      </c>
      <c r="K61" s="30">
        <v>16.97</v>
      </c>
      <c r="L61" s="49">
        <f t="shared" si="28"/>
        <v>5.0007520000000021</v>
      </c>
      <c r="M61" s="50">
        <f t="shared" si="29"/>
        <v>0.29468190925162063</v>
      </c>
      <c r="N61" s="49">
        <f t="shared" si="30"/>
        <v>15.200644930132567</v>
      </c>
      <c r="O61" s="48">
        <f t="shared" si="334"/>
        <v>16</v>
      </c>
      <c r="P61" s="49">
        <f>IF(($B$11-$B$12)-(O61*I61)&lt;0,0,($B$11-$B$12)-(O61*I61))</f>
        <v>6.1299999999999955</v>
      </c>
      <c r="Q61" s="30">
        <f>0.125*12</f>
        <v>1.5</v>
      </c>
      <c r="R61" s="49">
        <f t="shared" si="242"/>
        <v>4.5848049281314168E-3</v>
      </c>
      <c r="S61" s="49">
        <f t="shared" si="335"/>
        <v>1.6746000000000001</v>
      </c>
      <c r="T61" s="49">
        <f t="shared" si="399"/>
        <v>0.13955000000000001</v>
      </c>
      <c r="U61" s="49" t="s">
        <v>56</v>
      </c>
      <c r="V61" s="50">
        <f t="shared" si="336"/>
        <v>7.621951219512195E-2</v>
      </c>
      <c r="W61" s="50">
        <f t="shared" si="7"/>
        <v>9.8680023571007677E-2</v>
      </c>
      <c r="X61" s="49">
        <f>12*((E61*Q61)/12-T61)</f>
        <v>23.999999999999996</v>
      </c>
      <c r="Y61" s="49">
        <f t="shared" si="32"/>
        <v>0.13955000000000001</v>
      </c>
      <c r="Z61" s="860">
        <f t="shared" si="337"/>
        <v>0</v>
      </c>
      <c r="AA61" s="860">
        <f t="shared" si="338"/>
        <v>156.3236</v>
      </c>
      <c r="AB61" s="49">
        <f t="shared" si="339"/>
        <v>3076.4484480000001</v>
      </c>
      <c r="AC61" s="48">
        <v>1</v>
      </c>
      <c r="AD61" s="47" t="str">
        <f t="shared" si="340"/>
        <v>GOOD</v>
      </c>
      <c r="AE61" s="49">
        <f t="shared" si="341"/>
        <v>21.970752000000001</v>
      </c>
      <c r="AF61" s="50" t="e">
        <f t="shared" si="310"/>
        <v>#REF!</v>
      </c>
      <c r="AG61" s="890" t="e">
        <f t="shared" si="332"/>
        <v>#REF!</v>
      </c>
      <c r="AH61" s="207" t="s">
        <v>321</v>
      </c>
      <c r="AI61" s="240">
        <f t="shared" si="312"/>
        <v>1.0958173596581583E-3</v>
      </c>
      <c r="AJ61" s="11">
        <f t="shared" si="33"/>
        <v>4</v>
      </c>
      <c r="AK61" s="11"/>
      <c r="AL61" s="11"/>
      <c r="AM61" s="11"/>
      <c r="AN61" s="11"/>
      <c r="AO61" s="11"/>
      <c r="AP61" s="11"/>
      <c r="AQ61" s="11" t="str">
        <f>'Update Stock Prices'!Q61</f>
        <v>small</v>
      </c>
      <c r="AR61" s="11"/>
      <c r="AS61" s="11"/>
      <c r="AT61" s="176"/>
      <c r="AV61" s="660" t="s">
        <v>1719</v>
      </c>
      <c r="AW61" s="236"/>
      <c r="AX61" s="420">
        <f t="shared" si="314"/>
        <v>94</v>
      </c>
      <c r="AY61" s="19">
        <f t="shared" si="293"/>
        <v>4201.4867930246637</v>
      </c>
      <c r="AZ61" s="19">
        <f t="shared" si="291"/>
        <v>350.12389941872198</v>
      </c>
      <c r="BA61" s="19">
        <f t="shared" si="292"/>
        <v>11.503043923407704</v>
      </c>
      <c r="BB61" s="19">
        <f t="shared" si="294"/>
        <v>103860.75352356967</v>
      </c>
      <c r="BC61" s="976">
        <v>2007</v>
      </c>
      <c r="BD61" s="19">
        <v>728.02</v>
      </c>
      <c r="BE61" s="984"/>
      <c r="BF61" s="74"/>
      <c r="BS61" s="420" t="str">
        <f t="shared" si="37"/>
        <v>GOOD</v>
      </c>
      <c r="BT61" s="425">
        <f t="shared" si="38"/>
        <v>1.1164000000000001</v>
      </c>
      <c r="BU61" s="19">
        <f t="shared" si="39"/>
        <v>19.68</v>
      </c>
      <c r="BV61" s="19">
        <f t="shared" si="40"/>
        <v>21.970752000000001</v>
      </c>
      <c r="BW61" s="539">
        <f t="shared" si="41"/>
        <v>1.5</v>
      </c>
      <c r="BX61" s="19">
        <f t="shared" si="42"/>
        <v>1.6746000000000001</v>
      </c>
      <c r="BY61" s="10">
        <f t="shared" si="43"/>
        <v>8.5091463414634153E-2</v>
      </c>
      <c r="BZ61" s="10">
        <f t="shared" si="44"/>
        <v>1.2014914634146343</v>
      </c>
      <c r="CA61" s="539">
        <f t="shared" si="45"/>
        <v>23.645352000000003</v>
      </c>
      <c r="CB61" s="19">
        <f t="shared" si="46"/>
        <v>1.8022371951219514</v>
      </c>
      <c r="CC61" s="10">
        <f t="shared" si="47"/>
        <v>9.1577093248066635E-2</v>
      </c>
      <c r="CD61" s="10">
        <f t="shared" si="48"/>
        <v>1.2930685566627009</v>
      </c>
      <c r="CE61" s="539">
        <f t="shared" si="49"/>
        <v>25.447589195121953</v>
      </c>
      <c r="CF61" s="19">
        <f t="shared" si="50"/>
        <v>1.9396028349940515</v>
      </c>
      <c r="CG61" s="10">
        <f t="shared" si="51"/>
        <v>9.8557054623681487E-2</v>
      </c>
      <c r="CH61" s="10">
        <f t="shared" si="52"/>
        <v>1.3916256112863825</v>
      </c>
      <c r="CI61" s="539">
        <f t="shared" si="53"/>
        <v>27.387192030116008</v>
      </c>
      <c r="CJ61" s="19">
        <f t="shared" si="54"/>
        <v>2.0874384169295737</v>
      </c>
      <c r="CK61" s="10">
        <f t="shared" si="55"/>
        <v>0.10606902525048646</v>
      </c>
      <c r="CL61" s="10">
        <f t="shared" si="56"/>
        <v>1.4976946365368691</v>
      </c>
      <c r="CM61" s="539">
        <f t="shared" si="57"/>
        <v>29.474630447045584</v>
      </c>
      <c r="CN61" s="19">
        <f t="shared" si="58"/>
        <v>2.2465419548053038</v>
      </c>
      <c r="CO61" s="10">
        <f t="shared" si="59"/>
        <v>0.11415355461409064</v>
      </c>
      <c r="CP61" s="10">
        <f t="shared" si="60"/>
        <v>1.6118481911509597</v>
      </c>
      <c r="CQ61" s="539">
        <f t="shared" si="61"/>
        <v>31.721172401850886</v>
      </c>
      <c r="CR61" s="19">
        <f t="shared" si="62"/>
        <v>2.4177722867264393</v>
      </c>
      <c r="CS61" s="10">
        <f t="shared" si="63"/>
        <v>0.12285428286211582</v>
      </c>
      <c r="CT61" s="10">
        <f t="shared" si="64"/>
        <v>1.7347024740130754</v>
      </c>
      <c r="CU61" s="539">
        <f t="shared" si="65"/>
        <v>34.138944688577325</v>
      </c>
      <c r="CV61" s="19">
        <f t="shared" si="66"/>
        <v>2.6020537110196131</v>
      </c>
      <c r="CW61" s="10">
        <f t="shared" si="67"/>
        <v>0.13221817637294783</v>
      </c>
      <c r="CX61" s="10">
        <f t="shared" si="68"/>
        <v>1.8669206503860232</v>
      </c>
      <c r="CY61" s="539">
        <f t="shared" si="69"/>
        <v>36.740998399596933</v>
      </c>
      <c r="CZ61" s="19">
        <f t="shared" si="70"/>
        <v>2.800380975579035</v>
      </c>
      <c r="DA61" s="10">
        <f t="shared" si="71"/>
        <v>0.14229578127942252</v>
      </c>
      <c r="DB61" s="10">
        <f t="shared" si="72"/>
        <v>2.0092164316654455</v>
      </c>
      <c r="DC61" s="539">
        <f t="shared" si="73"/>
        <v>39.541379375175964</v>
      </c>
      <c r="DD61" s="19">
        <f t="shared" si="74"/>
        <v>3.0138246474981685</v>
      </c>
      <c r="DE61" s="10">
        <f t="shared" si="75"/>
        <v>0.15314149631596385</v>
      </c>
      <c r="DF61" s="10">
        <f t="shared" si="76"/>
        <v>2.1623579279814091</v>
      </c>
      <c r="DG61" s="539">
        <f t="shared" si="77"/>
        <v>42.555204022674133</v>
      </c>
      <c r="DH61" s="19">
        <f t="shared" si="78"/>
        <v>3.2435368919721137</v>
      </c>
      <c r="DI61" s="10">
        <f t="shared" si="79"/>
        <v>0.16481386646199764</v>
      </c>
      <c r="DJ61" s="10">
        <f t="shared" si="80"/>
        <v>2.3271717944434069</v>
      </c>
      <c r="DK61" s="539">
        <f t="shared" si="81"/>
        <v>45.798740914646245</v>
      </c>
      <c r="DL61" s="19">
        <f t="shared" si="82"/>
        <v>3.4907576916651104</v>
      </c>
      <c r="DM61" s="10">
        <f t="shared" si="83"/>
        <v>0.17737589896672309</v>
      </c>
      <c r="DN61" s="10">
        <f t="shared" si="84"/>
        <v>2.5045476934101298</v>
      </c>
      <c r="DO61" s="539">
        <f t="shared" si="85"/>
        <v>49.289498606311355</v>
      </c>
      <c r="DP61" s="19">
        <f t="shared" si="86"/>
        <v>3.7568215401151948</v>
      </c>
      <c r="DQ61" s="10">
        <f t="shared" si="87"/>
        <v>0.19089540346113795</v>
      </c>
      <c r="DR61" s="10">
        <f t="shared" si="88"/>
        <v>2.6954430968712679</v>
      </c>
      <c r="DS61" s="539">
        <f t="shared" si="89"/>
        <v>53.046320146426552</v>
      </c>
      <c r="DT61" s="19">
        <f t="shared" si="90"/>
        <v>4.0431646453069021</v>
      </c>
      <c r="DU61" s="10">
        <f t="shared" si="91"/>
        <v>0.2054453579932369</v>
      </c>
      <c r="DV61" s="10">
        <f t="shared" si="92"/>
        <v>2.9008884548645049</v>
      </c>
      <c r="DW61" s="539">
        <f t="shared" si="93"/>
        <v>57.089484791733454</v>
      </c>
      <c r="DX61" s="19">
        <f t="shared" si="94"/>
        <v>4.3513326822967571</v>
      </c>
      <c r="DY61" s="10">
        <f t="shared" si="95"/>
        <v>0.2211043029622336</v>
      </c>
      <c r="DZ61" s="10">
        <f t="shared" si="96"/>
        <v>3.1219927578267384</v>
      </c>
      <c r="EA61" s="539">
        <f t="shared" si="97"/>
        <v>61.440817474030212</v>
      </c>
      <c r="EB61" s="19">
        <f t="shared" si="98"/>
        <v>4.6829891367401073</v>
      </c>
      <c r="EC61" s="10">
        <f t="shared" si="99"/>
        <v>0.2379567650782575</v>
      </c>
      <c r="ED61" s="10">
        <f t="shared" si="100"/>
        <v>3.359949522904996</v>
      </c>
      <c r="EE61" s="539">
        <f t="shared" si="101"/>
        <v>66.123806610770316</v>
      </c>
      <c r="EF61" s="19">
        <f t="shared" si="102"/>
        <v>5.0399242843574941</v>
      </c>
      <c r="EG61" s="10">
        <f t="shared" si="103"/>
        <v>0.25609371363605155</v>
      </c>
      <c r="EH61" s="10">
        <f t="shared" si="104"/>
        <v>3.6160432365410475</v>
      </c>
      <c r="EI61" s="539">
        <f t="shared" si="105"/>
        <v>71.163730895127813</v>
      </c>
      <c r="EJ61" s="19">
        <f t="shared" si="106"/>
        <v>5.4240648548115713</v>
      </c>
      <c r="EK61" s="10">
        <f t="shared" si="107"/>
        <v>0.27561305156562865</v>
      </c>
      <c r="EL61" s="10">
        <f t="shared" si="108"/>
        <v>3.8916562881066761</v>
      </c>
      <c r="EM61" s="539">
        <f t="shared" si="109"/>
        <v>76.587795749939389</v>
      </c>
      <c r="EN61" s="19">
        <f t="shared" si="110"/>
        <v>5.8374844321600143</v>
      </c>
      <c r="EO61" s="10">
        <f t="shared" si="111"/>
        <v>0.29662014391056984</v>
      </c>
      <c r="EP61" s="10">
        <f t="shared" si="112"/>
        <v>4.1882764320172461</v>
      </c>
      <c r="EQ61" s="539">
        <f t="shared" si="113"/>
        <v>82.425280182099399</v>
      </c>
      <c r="ER61" s="19">
        <f t="shared" si="114"/>
        <v>6.2824146480258687</v>
      </c>
      <c r="ES61" s="10">
        <f t="shared" si="115"/>
        <v>0.31922838658668035</v>
      </c>
      <c r="ET61" s="10">
        <f t="shared" si="116"/>
        <v>4.5075048186039268</v>
      </c>
      <c r="EU61" s="539">
        <f t="shared" si="117"/>
        <v>88.707694830125277</v>
      </c>
      <c r="EV61" s="19">
        <f t="shared" si="118"/>
        <v>6.7612572279058902</v>
      </c>
      <c r="EW61" s="10">
        <f t="shared" si="119"/>
        <v>0.34355981849115297</v>
      </c>
      <c r="EX61" s="10">
        <f t="shared" si="120"/>
        <v>4.8510646370950798</v>
      </c>
      <c r="EY61" s="539">
        <f t="shared" si="121"/>
        <v>95.468952058031164</v>
      </c>
      <c r="EZ61" s="19">
        <f t="shared" si="122"/>
        <v>7.2765969556426198</v>
      </c>
      <c r="FA61" s="10">
        <f t="shared" si="123"/>
        <v>0.36974578026639326</v>
      </c>
      <c r="FB61" s="10">
        <f t="shared" si="124"/>
        <v>5.2208104173614736</v>
      </c>
      <c r="FC61" s="539">
        <f t="shared" si="125"/>
        <v>102.7455490136738</v>
      </c>
      <c r="FD61" s="19">
        <f t="shared" si="126"/>
        <v>7.8312156260422103</v>
      </c>
      <c r="FE61" s="10">
        <f t="shared" si="127"/>
        <v>0.39792762327450254</v>
      </c>
      <c r="FF61" s="10">
        <f t="shared" si="128"/>
        <v>5.6187380406359759</v>
      </c>
      <c r="FG61" s="539">
        <f t="shared" si="129"/>
        <v>110.576764639716</v>
      </c>
      <c r="FH61" s="19">
        <f t="shared" si="130"/>
        <v>8.4281070609539643</v>
      </c>
      <c r="FI61" s="10">
        <f t="shared" si="131"/>
        <v>0.42825747260944941</v>
      </c>
      <c r="FJ61" s="10">
        <f t="shared" si="132"/>
        <v>6.0469955132454256</v>
      </c>
      <c r="FK61" s="539">
        <f t="shared" si="133"/>
        <v>119.00487170066998</v>
      </c>
      <c r="FL61" s="19">
        <f t="shared" si="134"/>
        <v>9.0704932698681375</v>
      </c>
      <c r="FM61" s="10">
        <f t="shared" si="135"/>
        <v>0.46089904826565742</v>
      </c>
      <c r="FN61" s="10">
        <f t="shared" si="136"/>
        <v>6.5078945615110833</v>
      </c>
      <c r="FO61" s="539">
        <f t="shared" si="137"/>
        <v>128.07536497053812</v>
      </c>
      <c r="FP61" s="19">
        <f t="shared" si="138"/>
        <v>9.7618418422666249</v>
      </c>
      <c r="FQ61" s="10">
        <f t="shared" si="139"/>
        <v>0.49602854889566184</v>
      </c>
      <c r="FR61" s="10">
        <f t="shared" si="140"/>
        <v>7.0039231104067454</v>
      </c>
      <c r="FS61" s="539">
        <f t="shared" si="141"/>
        <v>137.83720681280474</v>
      </c>
      <c r="FT61" s="19">
        <f t="shared" si="142"/>
        <v>10.505884665610118</v>
      </c>
      <c r="FU61" s="10">
        <f t="shared" si="143"/>
        <v>0.53383560292734344</v>
      </c>
      <c r="FV61" s="10">
        <f t="shared" si="144"/>
        <v>7.5377587133340889</v>
      </c>
      <c r="FW61" s="539">
        <f t="shared" si="145"/>
        <v>148.34309147841486</v>
      </c>
      <c r="FX61" s="19">
        <f t="shared" si="146"/>
        <v>11.306638070001133</v>
      </c>
      <c r="FY61" s="10">
        <f t="shared" si="147"/>
        <v>0.57452429217485435</v>
      </c>
      <c r="FZ61" s="10">
        <f t="shared" si="148"/>
        <v>8.1122830055089423</v>
      </c>
      <c r="GA61" s="539">
        <f t="shared" si="149"/>
        <v>159.64972954841599</v>
      </c>
      <c r="GB61" s="19">
        <f t="shared" si="150"/>
        <v>12.168424508263413</v>
      </c>
      <c r="GC61" s="10">
        <f t="shared" si="151"/>
        <v>0.61831425346866942</v>
      </c>
      <c r="GD61" s="10">
        <f t="shared" si="152"/>
        <v>8.7305972589776122</v>
      </c>
      <c r="GE61" s="539">
        <f t="shared" si="153"/>
        <v>171.81815405667942</v>
      </c>
      <c r="GF61" s="19">
        <f t="shared" si="154"/>
        <v>13.095895888466419</v>
      </c>
      <c r="GG61" s="10">
        <f t="shared" si="155"/>
        <v>0.66544186425134244</v>
      </c>
      <c r="GH61" s="10">
        <f t="shared" si="156"/>
        <v>9.3960391232289542</v>
      </c>
      <c r="GI61" s="539">
        <f t="shared" si="157"/>
        <v>184.91404994514582</v>
      </c>
      <c r="GJ61" s="19">
        <f t="shared" si="158"/>
        <v>14.094058684843432</v>
      </c>
      <c r="GK61" s="10">
        <f t="shared" si="159"/>
        <v>0.71616151853879229</v>
      </c>
      <c r="GL61" s="10">
        <f t="shared" si="160"/>
        <v>10.112200641767746</v>
      </c>
      <c r="GM61" s="539">
        <f t="shared" si="161"/>
        <v>199.00810862998924</v>
      </c>
      <c r="GN61" s="19">
        <f t="shared" si="162"/>
        <v>15.168300962651619</v>
      </c>
      <c r="GO61" s="10">
        <f t="shared" si="163"/>
        <v>0.77074700013473674</v>
      </c>
      <c r="GP61" s="10">
        <f t="shared" si="164"/>
        <v>10.882947641902483</v>
      </c>
      <c r="GQ61" s="539">
        <f t="shared" si="165"/>
        <v>214.17640959264085</v>
      </c>
      <c r="GR61" s="19">
        <f t="shared" si="166"/>
        <v>16.324421462853724</v>
      </c>
      <c r="GS61" s="10">
        <f t="shared" si="167"/>
        <v>0.82949296051085997</v>
      </c>
      <c r="GT61" s="10">
        <f t="shared" si="168"/>
        <v>11.712440602413343</v>
      </c>
      <c r="GU61" s="539">
        <f t="shared" si="169"/>
        <v>230.50083105549459</v>
      </c>
      <c r="GV61" s="19">
        <f t="shared" si="170"/>
        <v>17.568660903620014</v>
      </c>
      <c r="GW61" s="10">
        <f t="shared" si="171"/>
        <v>0.89271650933028524</v>
      </c>
      <c r="GX61" s="10">
        <f t="shared" si="172"/>
        <v>12.605157111743628</v>
      </c>
      <c r="GY61" s="539">
        <f t="shared" si="173"/>
        <v>248.0694919591146</v>
      </c>
      <c r="GZ61" s="19">
        <f t="shared" si="174"/>
        <v>18.907735667615441</v>
      </c>
      <c r="HA61" s="10">
        <f t="shared" si="175"/>
        <v>0.96075892619997161</v>
      </c>
      <c r="HB61" s="10">
        <f t="shared" si="176"/>
        <v>13.5659160379436</v>
      </c>
      <c r="HC61" s="539">
        <f t="shared" si="177"/>
        <v>266.97722762673004</v>
      </c>
      <c r="HD61" s="19">
        <f t="shared" si="178"/>
        <v>20.348874056915399</v>
      </c>
      <c r="HE61" s="10">
        <f t="shared" si="179"/>
        <v>1.0339875028920427</v>
      </c>
      <c r="HF61" s="10">
        <f t="shared" si="180"/>
        <v>14.599903540835642</v>
      </c>
      <c r="HG61" s="539">
        <f t="shared" si="181"/>
        <v>287.32610168364545</v>
      </c>
      <c r="HH61" s="19">
        <f t="shared" si="182"/>
        <v>21.899855311253464</v>
      </c>
      <c r="HI61" s="10">
        <f t="shared" si="183"/>
        <v>1.1127975259783265</v>
      </c>
      <c r="HJ61" s="10">
        <f t="shared" si="184"/>
        <v>15.712701066813969</v>
      </c>
      <c r="HK61" s="539">
        <f t="shared" si="185"/>
        <v>309.22595699489892</v>
      </c>
      <c r="HL61" s="19">
        <f t="shared" si="186"/>
        <v>23.569051600220952</v>
      </c>
      <c r="HM61" s="10">
        <f t="shared" si="187"/>
        <v>1.197614410580333</v>
      </c>
      <c r="HN61" s="10">
        <f t="shared" si="188"/>
        <v>16.910315477394303</v>
      </c>
      <c r="HO61" s="539">
        <f t="shared" si="189"/>
        <v>332.7950085951199</v>
      </c>
      <c r="HP61" s="19">
        <f t="shared" si="190"/>
        <v>25.365473216091452</v>
      </c>
      <c r="HQ61" s="10">
        <f t="shared" si="191"/>
        <v>1.2888959967526143</v>
      </c>
      <c r="HR61" s="10">
        <f t="shared" si="192"/>
        <v>18.199211474146917</v>
      </c>
      <c r="HS61" s="539">
        <f t="shared" si="193"/>
        <v>358.16048181121135</v>
      </c>
      <c r="HT61" s="19">
        <f t="shared" si="194"/>
        <v>27.298817211220374</v>
      </c>
      <c r="HU61" s="10">
        <f t="shared" si="195"/>
        <v>1.3871350208953441</v>
      </c>
      <c r="HV61" s="10">
        <f t="shared" si="196"/>
        <v>19.58634649504226</v>
      </c>
      <c r="HW61" s="539">
        <f t="shared" si="197"/>
        <v>385.45929902243165</v>
      </c>
      <c r="HX61" s="19">
        <f t="shared" si="198"/>
        <v>29.379519742563389</v>
      </c>
      <c r="HY61" s="10">
        <f t="shared" si="199"/>
        <v>1.4928617755367575</v>
      </c>
      <c r="HZ61" s="10">
        <f t="shared" si="200"/>
        <v>21.079208270579016</v>
      </c>
      <c r="IA61" s="539">
        <f t="shared" si="201"/>
        <v>414.83881876499504</v>
      </c>
      <c r="IB61" s="19">
        <f t="shared" si="202"/>
        <v>31.618812405868525</v>
      </c>
      <c r="IP61" s="11">
        <v>20</v>
      </c>
      <c r="IQ61" s="19">
        <f t="shared" si="358"/>
        <v>41.074833044063993</v>
      </c>
      <c r="IR61" s="20">
        <f t="shared" si="351"/>
        <v>6.1055122041556453</v>
      </c>
    </row>
    <row r="62" spans="1:263">
      <c r="A62" s="20"/>
      <c r="B62" s="13"/>
      <c r="C62" s="1222" t="s">
        <v>2341</v>
      </c>
      <c r="D62" s="47" t="s">
        <v>605</v>
      </c>
      <c r="E62" s="396">
        <f t="shared" si="333"/>
        <v>324.50990000000002</v>
      </c>
      <c r="F62" s="242">
        <f>209+58.5099</f>
        <v>267.50990000000002</v>
      </c>
      <c r="G62" s="48">
        <f>'Update Stock Prices'!S62</f>
        <v>58023297.491039425</v>
      </c>
      <c r="H62" s="991">
        <f t="shared" si="27"/>
        <v>4.6103877505636722E-6</v>
      </c>
      <c r="I62" s="49">
        <f>'Update Stock Prices'!D62</f>
        <v>5.58</v>
      </c>
      <c r="J62" s="49">
        <f t="shared" si="1"/>
        <v>1492.705242</v>
      </c>
      <c r="K62" s="30">
        <f>199.05+1058.07</f>
        <v>1257.1199999999999</v>
      </c>
      <c r="L62" s="49">
        <f t="shared" si="28"/>
        <v>235.58524200000011</v>
      </c>
      <c r="M62" s="50">
        <f t="shared" si="29"/>
        <v>0.18740075887743424</v>
      </c>
      <c r="N62" s="49">
        <f t="shared" si="30"/>
        <v>4.6993400991888521</v>
      </c>
      <c r="O62" s="48">
        <f t="shared" si="334"/>
        <v>57</v>
      </c>
      <c r="P62" s="49">
        <f t="shared" si="342"/>
        <v>2.9499999999999886</v>
      </c>
      <c r="Q62" s="30">
        <f>0.001667*12</f>
        <v>2.0004000000000001E-2</v>
      </c>
      <c r="R62" s="49">
        <f>S62/365.25</f>
        <v>1.4650973414373719E-2</v>
      </c>
      <c r="S62" s="49">
        <f t="shared" si="335"/>
        <v>5.3512680396000007</v>
      </c>
      <c r="T62" s="49">
        <f>S62/12</f>
        <v>0.44593900330000008</v>
      </c>
      <c r="U62" s="49" t="s">
        <v>56</v>
      </c>
      <c r="V62" s="50">
        <f t="shared" si="336"/>
        <v>3.5849462365591398E-3</v>
      </c>
      <c r="W62" s="50">
        <f t="shared" si="7"/>
        <v>4.2567678818251249E-3</v>
      </c>
      <c r="X62" s="49">
        <f t="shared" si="345"/>
        <v>1.1402279999999989</v>
      </c>
      <c r="Y62" s="49">
        <f t="shared" si="32"/>
        <v>0.44593900330000008</v>
      </c>
      <c r="Z62" s="860">
        <f t="shared" si="337"/>
        <v>0</v>
      </c>
      <c r="AA62" s="860">
        <f t="shared" si="338"/>
        <v>3079.8206338932209</v>
      </c>
      <c r="AB62" s="49">
        <f t="shared" si="339"/>
        <v>17185.399137124172</v>
      </c>
      <c r="AC62" s="48">
        <v>1</v>
      </c>
      <c r="AD62" s="47" t="str">
        <f t="shared" si="340"/>
        <v>GORO</v>
      </c>
      <c r="AE62" s="49">
        <f t="shared" si="341"/>
        <v>1492.705242</v>
      </c>
      <c r="AF62" s="50" t="e">
        <f t="shared" si="310"/>
        <v>#REF!</v>
      </c>
      <c r="AG62" s="890" t="e">
        <f t="shared" si="332"/>
        <v>#REF!</v>
      </c>
      <c r="AH62" s="207" t="s">
        <v>806</v>
      </c>
      <c r="AI62" s="240">
        <f t="shared" si="312"/>
        <v>5.0582052524127894</v>
      </c>
      <c r="AJ62" s="11">
        <f t="shared" si="33"/>
        <v>4</v>
      </c>
      <c r="AK62" s="11"/>
      <c r="AL62" s="11"/>
      <c r="AM62" s="11"/>
      <c r="AN62" s="11"/>
      <c r="AO62" s="11"/>
      <c r="AP62" s="11"/>
      <c r="AQ62" s="11" t="str">
        <f>'Update Stock Prices'!Q62</f>
        <v>small</v>
      </c>
      <c r="AR62" s="11"/>
      <c r="AS62" s="11">
        <v>1</v>
      </c>
      <c r="AT62" s="176"/>
      <c r="AV62" s="840">
        <v>0.03</v>
      </c>
      <c r="AW62" s="236"/>
      <c r="AX62" s="420">
        <f t="shared" si="314"/>
        <v>95</v>
      </c>
      <c r="AY62" s="19">
        <f t="shared" si="293"/>
        <v>4154.4301409427871</v>
      </c>
      <c r="AZ62" s="19">
        <f t="shared" si="291"/>
        <v>346.20251174523224</v>
      </c>
      <c r="BA62" s="19">
        <f t="shared" si="292"/>
        <v>11.374209831465537</v>
      </c>
      <c r="BB62" s="19">
        <f t="shared" si="294"/>
        <v>102697.5130841057</v>
      </c>
      <c r="BC62" s="976">
        <v>2008</v>
      </c>
      <c r="BD62" s="19">
        <v>-7181.81</v>
      </c>
      <c r="BE62" s="984"/>
      <c r="BF62" s="74"/>
      <c r="BS62" s="420" t="str">
        <f t="shared" si="37"/>
        <v>GORO</v>
      </c>
      <c r="BT62" s="425">
        <f t="shared" si="38"/>
        <v>267.50990000000002</v>
      </c>
      <c r="BU62" s="19">
        <f t="shared" si="39"/>
        <v>5.58</v>
      </c>
      <c r="BV62" s="19">
        <f t="shared" si="40"/>
        <v>1492.705242</v>
      </c>
      <c r="BW62" s="539">
        <f t="shared" si="41"/>
        <v>2.0004000000000001E-2</v>
      </c>
      <c r="BX62" s="19">
        <f t="shared" si="42"/>
        <v>5.3512680396000007</v>
      </c>
      <c r="BY62" s="10">
        <f t="shared" si="43"/>
        <v>0.95900860924731191</v>
      </c>
      <c r="BZ62" s="10">
        <f t="shared" si="44"/>
        <v>268.46890860924731</v>
      </c>
      <c r="CA62" s="539">
        <f t="shared" si="45"/>
        <v>1498.0565100396</v>
      </c>
      <c r="CB62" s="19">
        <f t="shared" si="46"/>
        <v>5.3704520478193833</v>
      </c>
      <c r="CC62" s="10">
        <f t="shared" si="47"/>
        <v>0.96244660355186085</v>
      </c>
      <c r="CD62" s="10">
        <f t="shared" si="48"/>
        <v>269.43135521279919</v>
      </c>
      <c r="CE62" s="539">
        <f t="shared" si="49"/>
        <v>1503.4269620874195</v>
      </c>
      <c r="CF62" s="19">
        <f t="shared" si="50"/>
        <v>5.3897048296768348</v>
      </c>
      <c r="CG62" s="10">
        <f t="shared" si="51"/>
        <v>0.96589692288115314</v>
      </c>
      <c r="CH62" s="10">
        <f t="shared" si="52"/>
        <v>270.39725213568033</v>
      </c>
      <c r="CI62" s="539">
        <f t="shared" si="53"/>
        <v>1508.8166669170962</v>
      </c>
      <c r="CJ62" s="19">
        <f t="shared" si="54"/>
        <v>5.40902663172215</v>
      </c>
      <c r="CK62" s="10">
        <f t="shared" si="55"/>
        <v>0.96935961141974014</v>
      </c>
      <c r="CL62" s="10">
        <f t="shared" si="56"/>
        <v>271.36661174710008</v>
      </c>
      <c r="CM62" s="539">
        <f t="shared" si="57"/>
        <v>1514.2256935488185</v>
      </c>
      <c r="CN62" s="19">
        <f t="shared" si="58"/>
        <v>5.42841770138899</v>
      </c>
      <c r="CO62" s="10">
        <f t="shared" si="59"/>
        <v>0.97283471351057171</v>
      </c>
      <c r="CP62" s="10">
        <f t="shared" si="60"/>
        <v>272.33944646061065</v>
      </c>
      <c r="CQ62" s="539">
        <f t="shared" si="61"/>
        <v>1519.6541112502075</v>
      </c>
      <c r="CR62" s="19">
        <f t="shared" si="62"/>
        <v>5.4478782869980558</v>
      </c>
      <c r="CS62" s="10">
        <f t="shared" si="63"/>
        <v>0.97632227365556556</v>
      </c>
      <c r="CT62" s="10">
        <f t="shared" si="64"/>
        <v>273.31576873426621</v>
      </c>
      <c r="CU62" s="539">
        <f t="shared" si="65"/>
        <v>1525.1019895372056</v>
      </c>
      <c r="CV62" s="19">
        <f t="shared" si="66"/>
        <v>5.4674086377602613</v>
      </c>
      <c r="CW62" s="10">
        <f t="shared" si="67"/>
        <v>0.9798223365161759</v>
      </c>
      <c r="CX62" s="10">
        <f t="shared" si="68"/>
        <v>274.29559107078239</v>
      </c>
      <c r="CY62" s="539">
        <f t="shared" si="69"/>
        <v>1530.5693981749657</v>
      </c>
      <c r="CZ62" s="19">
        <f t="shared" si="70"/>
        <v>5.4870090037799315</v>
      </c>
      <c r="DA62" s="10">
        <f t="shared" si="71"/>
        <v>0.98333494691396617</v>
      </c>
      <c r="DB62" s="10">
        <f t="shared" si="72"/>
        <v>275.27892601769634</v>
      </c>
      <c r="DC62" s="539">
        <f t="shared" si="73"/>
        <v>1536.0564071787455</v>
      </c>
      <c r="DD62" s="19">
        <f t="shared" si="74"/>
        <v>5.5066796360579975</v>
      </c>
      <c r="DE62" s="10">
        <f t="shared" si="75"/>
        <v>0.98686014983118231</v>
      </c>
      <c r="DF62" s="10">
        <f t="shared" si="76"/>
        <v>276.26578616752749</v>
      </c>
      <c r="DG62" s="539">
        <f t="shared" si="77"/>
        <v>1541.5630868148035</v>
      </c>
      <c r="DH62" s="19">
        <f t="shared" si="78"/>
        <v>5.52642078649522</v>
      </c>
      <c r="DI62" s="10">
        <f t="shared" si="79"/>
        <v>0.9903979904113297</v>
      </c>
      <c r="DJ62" s="10">
        <f t="shared" si="80"/>
        <v>277.25618415793883</v>
      </c>
      <c r="DK62" s="539">
        <f t="shared" si="81"/>
        <v>1547.0895076012987</v>
      </c>
      <c r="DL62" s="19">
        <f t="shared" si="82"/>
        <v>5.5462327078954088</v>
      </c>
      <c r="DM62" s="10">
        <f t="shared" si="83"/>
        <v>0.9939485139597507</v>
      </c>
      <c r="DN62" s="10">
        <f t="shared" si="84"/>
        <v>278.2501326718986</v>
      </c>
      <c r="DO62" s="539">
        <f t="shared" si="85"/>
        <v>1552.6357403091943</v>
      </c>
      <c r="DP62" s="19">
        <f t="shared" si="86"/>
        <v>5.5661156539686596</v>
      </c>
      <c r="DQ62" s="10">
        <f t="shared" si="87"/>
        <v>0.99751176594420421</v>
      </c>
      <c r="DR62" s="10">
        <f t="shared" si="88"/>
        <v>279.24764443784278</v>
      </c>
      <c r="DS62" s="539">
        <f t="shared" si="89"/>
        <v>1558.2018559631626</v>
      </c>
      <c r="DT62" s="19">
        <f t="shared" si="90"/>
        <v>5.5860698793346071</v>
      </c>
      <c r="DU62" s="10">
        <f t="shared" si="91"/>
        <v>1.0010877919954493</v>
      </c>
      <c r="DV62" s="10">
        <f t="shared" si="92"/>
        <v>280.24873222983825</v>
      </c>
      <c r="DW62" s="539">
        <f t="shared" si="93"/>
        <v>1563.7879258424975</v>
      </c>
      <c r="DX62" s="19">
        <f t="shared" si="94"/>
        <v>5.6060956395256847</v>
      </c>
      <c r="DY62" s="10">
        <f t="shared" si="95"/>
        <v>1.0046766379078287</v>
      </c>
      <c r="DZ62" s="10">
        <f t="shared" si="96"/>
        <v>281.25340886774609</v>
      </c>
      <c r="EA62" s="539">
        <f t="shared" si="97"/>
        <v>1569.3940214820232</v>
      </c>
      <c r="EB62" s="19">
        <f t="shared" si="98"/>
        <v>5.6261931909903931</v>
      </c>
      <c r="EC62" s="10">
        <f t="shared" si="99"/>
        <v>1.0082783496398553</v>
      </c>
      <c r="ED62" s="10">
        <f t="shared" si="100"/>
        <v>282.26168721738594</v>
      </c>
      <c r="EE62" s="539">
        <f t="shared" si="101"/>
        <v>1575.0202146730135</v>
      </c>
      <c r="EF62" s="19">
        <f t="shared" si="102"/>
        <v>5.646362791096589</v>
      </c>
      <c r="EG62" s="10">
        <f t="shared" si="103"/>
        <v>1.011892973314801</v>
      </c>
      <c r="EH62" s="10">
        <f t="shared" si="104"/>
        <v>283.27358019070073</v>
      </c>
      <c r="EI62" s="539">
        <f t="shared" si="105"/>
        <v>1580.6665774641101</v>
      </c>
      <c r="EJ62" s="19">
        <f t="shared" si="106"/>
        <v>5.666604698134778</v>
      </c>
      <c r="EK62" s="10">
        <f t="shared" si="107"/>
        <v>1.0155205552212863</v>
      </c>
      <c r="EL62" s="10">
        <f t="shared" si="108"/>
        <v>284.28910074592204</v>
      </c>
      <c r="EM62" s="539">
        <f t="shared" si="109"/>
        <v>1586.3331821622451</v>
      </c>
      <c r="EN62" s="19">
        <f t="shared" si="110"/>
        <v>5.6869191713214251</v>
      </c>
      <c r="EO62" s="10">
        <f t="shared" si="111"/>
        <v>1.0191611418138755</v>
      </c>
      <c r="EP62" s="10">
        <f t="shared" si="112"/>
        <v>285.30826188773591</v>
      </c>
      <c r="EQ62" s="539">
        <f t="shared" si="113"/>
        <v>1592.0201013335663</v>
      </c>
      <c r="ER62" s="19">
        <f t="shared" si="114"/>
        <v>5.7073064708022692</v>
      </c>
      <c r="ES62" s="10">
        <f t="shared" si="115"/>
        <v>1.0228147797136682</v>
      </c>
      <c r="ET62" s="10">
        <f t="shared" si="116"/>
        <v>286.33107666744957</v>
      </c>
      <c r="EU62" s="539">
        <f t="shared" si="117"/>
        <v>1597.7274078043686</v>
      </c>
      <c r="EV62" s="19">
        <f t="shared" si="118"/>
        <v>5.7277668576556611</v>
      </c>
      <c r="EW62" s="10">
        <f t="shared" si="119"/>
        <v>1.0264815157088998</v>
      </c>
      <c r="EX62" s="10">
        <f t="shared" si="120"/>
        <v>287.35755818315846</v>
      </c>
      <c r="EY62" s="539">
        <f t="shared" si="121"/>
        <v>1603.4551746620243</v>
      </c>
      <c r="EZ62" s="19">
        <f t="shared" si="122"/>
        <v>5.7483005938959018</v>
      </c>
      <c r="FA62" s="10">
        <f t="shared" si="123"/>
        <v>1.0301613967555379</v>
      </c>
      <c r="FB62" s="10">
        <f t="shared" si="124"/>
        <v>288.38771957991401</v>
      </c>
      <c r="FC62" s="539">
        <f t="shared" si="125"/>
        <v>1609.2034752559202</v>
      </c>
      <c r="FD62" s="19">
        <f t="shared" si="126"/>
        <v>5.7689079424766003</v>
      </c>
      <c r="FE62" s="10">
        <f t="shared" si="127"/>
        <v>1.0338544699778853</v>
      </c>
      <c r="FF62" s="10">
        <f t="shared" si="128"/>
        <v>289.42157404989189</v>
      </c>
      <c r="FG62" s="539">
        <f t="shared" si="129"/>
        <v>1614.9723831983968</v>
      </c>
      <c r="FH62" s="19">
        <f t="shared" si="130"/>
        <v>5.7895891672940376</v>
      </c>
      <c r="FI62" s="10">
        <f t="shared" si="131"/>
        <v>1.0375607826691824</v>
      </c>
      <c r="FJ62" s="10">
        <f t="shared" si="132"/>
        <v>290.45913483256106</v>
      </c>
      <c r="FK62" s="539">
        <f t="shared" si="133"/>
        <v>1620.7619723656908</v>
      </c>
      <c r="FL62" s="19">
        <f t="shared" si="134"/>
        <v>5.8103445331905519</v>
      </c>
      <c r="FM62" s="10">
        <f t="shared" si="135"/>
        <v>1.0412803822922136</v>
      </c>
      <c r="FN62" s="10">
        <f t="shared" si="136"/>
        <v>291.50041521485326</v>
      </c>
      <c r="FO62" s="539">
        <f t="shared" si="137"/>
        <v>1626.5723168988811</v>
      </c>
      <c r="FP62" s="19">
        <f t="shared" si="138"/>
        <v>5.8311743059579246</v>
      </c>
      <c r="FQ62" s="10">
        <f t="shared" si="139"/>
        <v>1.0450133164799147</v>
      </c>
      <c r="FR62" s="10">
        <f t="shared" si="140"/>
        <v>292.54542853133319</v>
      </c>
      <c r="FS62" s="539">
        <f t="shared" si="141"/>
        <v>1632.4034912048392</v>
      </c>
      <c r="FT62" s="19">
        <f t="shared" si="142"/>
        <v>5.8520787523407893</v>
      </c>
      <c r="FU62" s="10">
        <f t="shared" si="143"/>
        <v>1.0487596330359836</v>
      </c>
      <c r="FV62" s="10">
        <f t="shared" si="144"/>
        <v>293.59418816436914</v>
      </c>
      <c r="FW62" s="539">
        <f t="shared" si="145"/>
        <v>1638.2555699571799</v>
      </c>
      <c r="FX62" s="19">
        <f t="shared" si="146"/>
        <v>5.8730581400400403</v>
      </c>
      <c r="FY62" s="10">
        <f t="shared" si="147"/>
        <v>1.0525193799354911</v>
      </c>
      <c r="FZ62" s="10">
        <f t="shared" si="148"/>
        <v>294.64670754430466</v>
      </c>
      <c r="GA62" s="539">
        <f t="shared" si="149"/>
        <v>1644.1286280972199</v>
      </c>
      <c r="GB62" s="19">
        <f t="shared" si="150"/>
        <v>5.894112737716271</v>
      </c>
      <c r="GC62" s="10">
        <f t="shared" si="151"/>
        <v>1.0562926053254966</v>
      </c>
      <c r="GD62" s="10">
        <f t="shared" si="152"/>
        <v>295.70300014963016</v>
      </c>
      <c r="GE62" s="539">
        <f t="shared" si="153"/>
        <v>1650.0227408349363</v>
      </c>
      <c r="GF62" s="19">
        <f t="shared" si="154"/>
        <v>5.9152428149932019</v>
      </c>
      <c r="GG62" s="10">
        <f t="shared" si="155"/>
        <v>1.0600793575256635</v>
      </c>
      <c r="GH62" s="10">
        <f t="shared" si="156"/>
        <v>296.76307950715579</v>
      </c>
      <c r="GI62" s="539">
        <f t="shared" si="157"/>
        <v>1655.9379836499293</v>
      </c>
      <c r="GJ62" s="19">
        <f t="shared" si="158"/>
        <v>5.9364486424611451</v>
      </c>
      <c r="GK62" s="10">
        <f t="shared" si="159"/>
        <v>1.063879685028879</v>
      </c>
      <c r="GL62" s="10">
        <f t="shared" si="160"/>
        <v>297.82695919218469</v>
      </c>
      <c r="GM62" s="539">
        <f t="shared" si="161"/>
        <v>1661.8744322923906</v>
      </c>
      <c r="GN62" s="19">
        <f t="shared" si="162"/>
        <v>5.9577304916804632</v>
      </c>
      <c r="GO62" s="10">
        <f t="shared" si="163"/>
        <v>1.0676936365018752</v>
      </c>
      <c r="GP62" s="10">
        <f t="shared" si="164"/>
        <v>298.89465282868656</v>
      </c>
      <c r="GQ62" s="539">
        <f t="shared" si="165"/>
        <v>1667.832162784071</v>
      </c>
      <c r="GR62" s="19">
        <f t="shared" si="166"/>
        <v>5.9790886351850459</v>
      </c>
      <c r="GS62" s="10">
        <f t="shared" si="167"/>
        <v>1.0715212607858504</v>
      </c>
      <c r="GT62" s="10">
        <f t="shared" si="168"/>
        <v>299.96617408947242</v>
      </c>
      <c r="GU62" s="539">
        <f t="shared" si="169"/>
        <v>1673.8112514192562</v>
      </c>
      <c r="GV62" s="19">
        <f t="shared" si="170"/>
        <v>6.0005233464858065</v>
      </c>
      <c r="GW62" s="10">
        <f t="shared" si="171"/>
        <v>1.0753626068970978</v>
      </c>
      <c r="GX62" s="10">
        <f t="shared" si="172"/>
        <v>301.04153669636952</v>
      </c>
      <c r="GY62" s="539">
        <f t="shared" si="173"/>
        <v>1679.811774765742</v>
      </c>
      <c r="GZ62" s="19">
        <f t="shared" si="174"/>
        <v>6.0220349000741757</v>
      </c>
      <c r="HA62" s="10">
        <f t="shared" si="175"/>
        <v>1.0792177240276299</v>
      </c>
      <c r="HB62" s="10">
        <f t="shared" si="176"/>
        <v>302.12075442039713</v>
      </c>
      <c r="HC62" s="539">
        <f t="shared" si="177"/>
        <v>1685.833809665816</v>
      </c>
      <c r="HD62" s="19">
        <f t="shared" si="178"/>
        <v>6.0436235714256243</v>
      </c>
      <c r="HE62" s="10">
        <f t="shared" si="179"/>
        <v>1.0830866615458108</v>
      </c>
      <c r="HF62" s="10">
        <f t="shared" si="180"/>
        <v>303.20384108194293</v>
      </c>
      <c r="HG62" s="539">
        <f t="shared" si="181"/>
        <v>1691.8774332372416</v>
      </c>
      <c r="HH62" s="19">
        <f t="shared" si="182"/>
        <v>6.065289637003187</v>
      </c>
      <c r="HI62" s="10">
        <f t="shared" si="183"/>
        <v>1.0869694689969869</v>
      </c>
      <c r="HJ62" s="10">
        <f t="shared" si="184"/>
        <v>304.29081055093991</v>
      </c>
      <c r="HK62" s="539">
        <f t="shared" si="185"/>
        <v>1697.9427228742447</v>
      </c>
      <c r="HL62" s="19">
        <f t="shared" si="186"/>
        <v>6.0870333742610025</v>
      </c>
      <c r="HM62" s="10">
        <f t="shared" si="187"/>
        <v>1.0908661961041224</v>
      </c>
      <c r="HN62" s="10">
        <f t="shared" si="188"/>
        <v>305.38167674704403</v>
      </c>
      <c r="HO62" s="539">
        <f t="shared" si="189"/>
        <v>1704.0297562485057</v>
      </c>
      <c r="HP62" s="19">
        <f t="shared" si="190"/>
        <v>6.1088550616478692</v>
      </c>
      <c r="HQ62" s="10">
        <f t="shared" si="191"/>
        <v>1.0947768927684354</v>
      </c>
      <c r="HR62" s="10">
        <f t="shared" si="192"/>
        <v>306.47645363981246</v>
      </c>
      <c r="HS62" s="539">
        <f t="shared" si="193"/>
        <v>1710.1386113101535</v>
      </c>
      <c r="HT62" s="19">
        <f t="shared" si="194"/>
        <v>6.1307549786108089</v>
      </c>
      <c r="HU62" s="10">
        <f t="shared" si="195"/>
        <v>1.0987016090700374</v>
      </c>
      <c r="HV62" s="10">
        <f t="shared" si="196"/>
        <v>307.57515524888248</v>
      </c>
      <c r="HW62" s="539">
        <f t="shared" si="197"/>
        <v>1716.2693662887643</v>
      </c>
      <c r="HX62" s="19">
        <f t="shared" si="198"/>
        <v>6.1527334055986458</v>
      </c>
      <c r="HY62" s="10">
        <f t="shared" si="199"/>
        <v>1.1026403952685746</v>
      </c>
      <c r="HZ62" s="10">
        <f t="shared" si="200"/>
        <v>308.67779564415105</v>
      </c>
      <c r="IA62" s="539">
        <f t="shared" si="201"/>
        <v>1722.4220996943629</v>
      </c>
      <c r="IB62" s="19">
        <f t="shared" si="202"/>
        <v>6.1747906240655981</v>
      </c>
      <c r="IK62" s="19"/>
      <c r="IL62" s="19"/>
      <c r="IP62" s="11">
        <v>21</v>
      </c>
      <c r="IQ62" s="19">
        <f t="shared" si="358"/>
        <v>44.360819687589114</v>
      </c>
      <c r="IR62" s="20">
        <f t="shared" si="351"/>
        <v>5.9945028913528153</v>
      </c>
    </row>
    <row r="63" spans="1:263">
      <c r="A63" s="11"/>
      <c r="B63" s="13"/>
      <c r="C63" s="1222" t="s">
        <v>2342</v>
      </c>
      <c r="D63" s="47" t="s">
        <v>468</v>
      </c>
      <c r="E63" s="396">
        <f t="shared" si="333"/>
        <v>18.293099999999999</v>
      </c>
      <c r="F63" s="242">
        <v>2.2930999999999999</v>
      </c>
      <c r="G63" s="48">
        <f>'Update Stock Prices'!S63</f>
        <v>71975497.702909648</v>
      </c>
      <c r="H63" s="991">
        <f t="shared" si="27"/>
        <v>3.1859453191489363E-8</v>
      </c>
      <c r="I63" s="49">
        <f>'Update Stock Prices'!D63</f>
        <v>19.59</v>
      </c>
      <c r="J63" s="49">
        <f t="shared" si="1"/>
        <v>44.921828999999995</v>
      </c>
      <c r="K63" s="30">
        <v>51.41</v>
      </c>
      <c r="L63" s="49">
        <f t="shared" si="28"/>
        <v>-6.4881710000000012</v>
      </c>
      <c r="M63" s="50">
        <f t="shared" si="29"/>
        <v>-0.1262044543863062</v>
      </c>
      <c r="N63" s="49">
        <f t="shared" si="30"/>
        <v>22.419432209672497</v>
      </c>
      <c r="O63" s="48">
        <f t="shared" si="334"/>
        <v>16</v>
      </c>
      <c r="P63" s="49">
        <f>IF(($B$11-$B$12)-(O63*I63)&lt;0,0,($B$11-$B$12)-(O63*I63))</f>
        <v>7.5699999999999932</v>
      </c>
      <c r="Q63" s="30">
        <f>0.43*4</f>
        <v>1.72</v>
      </c>
      <c r="R63" s="49">
        <f>S63/365.25</f>
        <v>1.0798444900752909E-2</v>
      </c>
      <c r="S63" s="49">
        <f t="shared" si="335"/>
        <v>3.9441319999999997</v>
      </c>
      <c r="T63" s="49">
        <f>S63/12</f>
        <v>0.32867766666666665</v>
      </c>
      <c r="U63" s="49" t="s">
        <v>54</v>
      </c>
      <c r="V63" s="50">
        <f t="shared" si="336"/>
        <v>8.7799897907095456E-2</v>
      </c>
      <c r="W63" s="50">
        <f t="shared" si="7"/>
        <v>7.6719159696557085E-2</v>
      </c>
      <c r="X63" s="49">
        <f>12*((E63*Q63)/12-T63)</f>
        <v>27.520000000000003</v>
      </c>
      <c r="Y63" s="49">
        <f t="shared" si="32"/>
        <v>0.98603299999999994</v>
      </c>
      <c r="Z63" s="860">
        <f t="shared" si="337"/>
        <v>0</v>
      </c>
      <c r="AA63" s="860">
        <f t="shared" si="338"/>
        <v>43.265039534883719</v>
      </c>
      <c r="AB63" s="49">
        <f t="shared" si="339"/>
        <v>847.56212448837209</v>
      </c>
      <c r="AC63" s="48">
        <v>1</v>
      </c>
      <c r="AD63" s="47" t="str">
        <f t="shared" si="340"/>
        <v>GOV</v>
      </c>
      <c r="AE63" s="49">
        <f t="shared" si="341"/>
        <v>44.921828999999995</v>
      </c>
      <c r="AF63" s="50" t="e">
        <f t="shared" si="310"/>
        <v>#REF!</v>
      </c>
      <c r="AG63" s="890" t="e">
        <f t="shared" si="332"/>
        <v>#REF!</v>
      </c>
      <c r="AH63" s="207" t="s">
        <v>469</v>
      </c>
      <c r="AI63" s="240">
        <f t="shared" si="312"/>
        <v>4.5810306021962571E-3</v>
      </c>
      <c r="AJ63" s="11">
        <f t="shared" si="33"/>
        <v>3</v>
      </c>
      <c r="AK63" s="11"/>
      <c r="AL63" s="11"/>
      <c r="AM63" s="11"/>
      <c r="AN63" s="11"/>
      <c r="AO63" s="11"/>
      <c r="AP63" s="11">
        <v>1</v>
      </c>
      <c r="AQ63" s="11" t="str">
        <f>'Update Stock Prices'!Q63</f>
        <v>small</v>
      </c>
      <c r="AR63" s="11"/>
      <c r="AS63" s="11"/>
      <c r="AT63" s="176"/>
      <c r="AV63" s="660"/>
      <c r="AW63" s="236"/>
      <c r="AY63" s="19"/>
      <c r="AZ63" s="19"/>
      <c r="BA63" s="19"/>
      <c r="BB63" s="19"/>
      <c r="BC63" s="976">
        <v>2009</v>
      </c>
      <c r="BD63" s="19">
        <v>5284.24</v>
      </c>
      <c r="BE63" s="984"/>
      <c r="BF63" s="74"/>
      <c r="BS63" s="420" t="str">
        <f t="shared" si="37"/>
        <v>GOV</v>
      </c>
      <c r="BT63" s="425">
        <f t="shared" si="38"/>
        <v>2.2930999999999999</v>
      </c>
      <c r="BU63" s="19">
        <f t="shared" si="39"/>
        <v>19.59</v>
      </c>
      <c r="BV63" s="19">
        <f t="shared" si="40"/>
        <v>44.921828999999995</v>
      </c>
      <c r="BW63" s="539">
        <f t="shared" si="41"/>
        <v>1.72</v>
      </c>
      <c r="BX63" s="19">
        <f t="shared" si="42"/>
        <v>3.9441319999999997</v>
      </c>
      <c r="BY63" s="10">
        <f t="shared" si="43"/>
        <v>0.20133394589076059</v>
      </c>
      <c r="BZ63" s="10">
        <f t="shared" si="44"/>
        <v>2.4944339458907603</v>
      </c>
      <c r="CA63" s="539">
        <f t="shared" si="45"/>
        <v>48.865960999999992</v>
      </c>
      <c r="CB63" s="19">
        <f t="shared" si="46"/>
        <v>4.2904263869321078</v>
      </c>
      <c r="CC63" s="10">
        <f t="shared" si="47"/>
        <v>0.21901104578520203</v>
      </c>
      <c r="CD63" s="10">
        <f t="shared" si="48"/>
        <v>2.7134449916759622</v>
      </c>
      <c r="CE63" s="539">
        <f t="shared" si="49"/>
        <v>53.156387386932096</v>
      </c>
      <c r="CF63" s="19">
        <f t="shared" si="50"/>
        <v>4.6671253856826551</v>
      </c>
      <c r="CG63" s="10">
        <f t="shared" si="51"/>
        <v>0.23824019324566897</v>
      </c>
      <c r="CH63" s="10">
        <f t="shared" si="52"/>
        <v>2.9516851849216312</v>
      </c>
      <c r="CI63" s="539">
        <f t="shared" si="53"/>
        <v>57.823512772614755</v>
      </c>
      <c r="CJ63" s="19">
        <f t="shared" si="54"/>
        <v>5.0768985180652058</v>
      </c>
      <c r="CK63" s="10">
        <f t="shared" si="55"/>
        <v>0.25915765789000539</v>
      </c>
      <c r="CL63" s="10">
        <f t="shared" si="56"/>
        <v>3.2108428428116365</v>
      </c>
      <c r="CM63" s="539">
        <f t="shared" si="57"/>
        <v>62.900411290679955</v>
      </c>
      <c r="CN63" s="19">
        <f t="shared" si="58"/>
        <v>5.5226496896360144</v>
      </c>
      <c r="CO63" s="10">
        <f t="shared" si="59"/>
        <v>0.28191167379458981</v>
      </c>
      <c r="CP63" s="10">
        <f t="shared" si="60"/>
        <v>3.4927545166062264</v>
      </c>
      <c r="CQ63" s="539">
        <f t="shared" si="61"/>
        <v>68.423060980315981</v>
      </c>
      <c r="CR63" s="19">
        <f t="shared" si="62"/>
        <v>6.0075377685627096</v>
      </c>
      <c r="CS63" s="10">
        <f t="shared" si="63"/>
        <v>0.30666348997257326</v>
      </c>
      <c r="CT63" s="10">
        <f t="shared" si="64"/>
        <v>3.7994180065787995</v>
      </c>
      <c r="CU63" s="539">
        <f t="shared" si="65"/>
        <v>74.43059874887868</v>
      </c>
      <c r="CV63" s="19">
        <f t="shared" si="66"/>
        <v>6.5349989713155354</v>
      </c>
      <c r="CW63" s="10">
        <f t="shared" si="67"/>
        <v>0.33358851308399873</v>
      </c>
      <c r="CX63" s="10">
        <f t="shared" si="68"/>
        <v>4.1330065196627981</v>
      </c>
      <c r="CY63" s="539">
        <f t="shared" si="69"/>
        <v>80.965597720194211</v>
      </c>
      <c r="CZ63" s="19">
        <f t="shared" si="70"/>
        <v>7.1087712138200123</v>
      </c>
      <c r="DA63" s="10">
        <f t="shared" si="71"/>
        <v>0.36287755047575354</v>
      </c>
      <c r="DB63" s="10">
        <f t="shared" si="72"/>
        <v>4.4958840701385512</v>
      </c>
      <c r="DC63" s="539">
        <f t="shared" si="73"/>
        <v>88.074368934014217</v>
      </c>
      <c r="DD63" s="19">
        <f t="shared" si="74"/>
        <v>7.732920600638308</v>
      </c>
      <c r="DE63" s="10">
        <f t="shared" si="75"/>
        <v>0.39473816236030157</v>
      </c>
      <c r="DF63" s="10">
        <f t="shared" si="76"/>
        <v>4.8906222324988526</v>
      </c>
      <c r="DG63" s="539">
        <f t="shared" si="77"/>
        <v>95.807289534652526</v>
      </c>
      <c r="DH63" s="19">
        <f t="shared" si="78"/>
        <v>8.4118702398980272</v>
      </c>
      <c r="DI63" s="10">
        <f t="shared" si="79"/>
        <v>0.42939613271557053</v>
      </c>
      <c r="DJ63" s="10">
        <f t="shared" si="80"/>
        <v>5.3200183652144233</v>
      </c>
      <c r="DK63" s="539">
        <f t="shared" si="81"/>
        <v>104.21915977455055</v>
      </c>
      <c r="DL63" s="19">
        <f t="shared" si="82"/>
        <v>9.1504315881688072</v>
      </c>
      <c r="DM63" s="10">
        <f t="shared" si="83"/>
        <v>0.46709706932969919</v>
      </c>
      <c r="DN63" s="10">
        <f t="shared" si="84"/>
        <v>5.7871154345441225</v>
      </c>
      <c r="DO63" s="539">
        <f t="shared" si="85"/>
        <v>113.36959136271936</v>
      </c>
      <c r="DP63" s="19">
        <f t="shared" si="86"/>
        <v>9.9538385474158897</v>
      </c>
      <c r="DQ63" s="10">
        <f t="shared" si="87"/>
        <v>0.50810814432955032</v>
      </c>
      <c r="DR63" s="10">
        <f t="shared" si="88"/>
        <v>6.2952235788736726</v>
      </c>
      <c r="DS63" s="539">
        <f t="shared" si="89"/>
        <v>123.32342991013525</v>
      </c>
      <c r="DT63" s="19">
        <f t="shared" si="90"/>
        <v>10.827784555662717</v>
      </c>
      <c r="DU63" s="10">
        <f t="shared" si="91"/>
        <v>0.55271998752744855</v>
      </c>
      <c r="DV63" s="10">
        <f t="shared" si="92"/>
        <v>6.8479435664011215</v>
      </c>
      <c r="DW63" s="539">
        <f t="shared" si="93"/>
        <v>134.15121446579798</v>
      </c>
      <c r="DX63" s="19">
        <f t="shared" si="94"/>
        <v>11.778462934209928</v>
      </c>
      <c r="DY63" s="10">
        <f t="shared" si="95"/>
        <v>0.60124874600356959</v>
      </c>
      <c r="DZ63" s="10">
        <f t="shared" si="96"/>
        <v>7.4491923124046906</v>
      </c>
      <c r="EA63" s="539">
        <f t="shared" si="97"/>
        <v>145.92967740000788</v>
      </c>
      <c r="EB63" s="19">
        <f t="shared" si="98"/>
        <v>12.812610777336067</v>
      </c>
      <c r="EC63" s="10">
        <f t="shared" si="99"/>
        <v>0.6540383245194521</v>
      </c>
      <c r="ED63" s="10">
        <f t="shared" si="100"/>
        <v>8.1032306369241418</v>
      </c>
      <c r="EE63" s="539">
        <f t="shared" si="101"/>
        <v>158.74228817734394</v>
      </c>
      <c r="EF63" s="19">
        <f t="shared" si="102"/>
        <v>13.937556695509524</v>
      </c>
      <c r="EG63" s="10">
        <f t="shared" si="103"/>
        <v>0.71146282263958782</v>
      </c>
      <c r="EH63" s="10">
        <f t="shared" si="104"/>
        <v>8.8146934595637294</v>
      </c>
      <c r="EI63" s="539">
        <f t="shared" si="105"/>
        <v>172.67984487285347</v>
      </c>
      <c r="EJ63" s="19">
        <f t="shared" si="106"/>
        <v>15.161272750449614</v>
      </c>
      <c r="EK63" s="10">
        <f t="shared" si="107"/>
        <v>0.77392918583203751</v>
      </c>
      <c r="EL63" s="10">
        <f t="shared" si="108"/>
        <v>9.5886226453957661</v>
      </c>
      <c r="EM63" s="539">
        <f t="shared" si="109"/>
        <v>187.84111762330306</v>
      </c>
      <c r="EN63" s="19">
        <f t="shared" si="110"/>
        <v>16.492430950080717</v>
      </c>
      <c r="EO63" s="10">
        <f t="shared" si="111"/>
        <v>0.84188008933541181</v>
      </c>
      <c r="EP63" s="10">
        <f t="shared" si="112"/>
        <v>10.430502734731178</v>
      </c>
      <c r="EQ63" s="539">
        <f t="shared" si="113"/>
        <v>204.33354857338378</v>
      </c>
      <c r="ER63" s="19">
        <f t="shared" si="114"/>
        <v>17.940464703737625</v>
      </c>
      <c r="ES63" s="10">
        <f t="shared" si="115"/>
        <v>0.91579707522907738</v>
      </c>
      <c r="ET63" s="10">
        <f t="shared" si="116"/>
        <v>11.346299809960255</v>
      </c>
      <c r="EU63" s="539">
        <f t="shared" si="117"/>
        <v>222.27401327712141</v>
      </c>
      <c r="EV63" s="19">
        <f t="shared" si="118"/>
        <v>19.515635673131641</v>
      </c>
      <c r="EW63" s="10">
        <f t="shared" si="119"/>
        <v>0.99620396493780705</v>
      </c>
      <c r="EX63" s="10">
        <f t="shared" si="120"/>
        <v>12.342503774898063</v>
      </c>
      <c r="EY63" s="539">
        <f t="shared" si="121"/>
        <v>241.78964895025305</v>
      </c>
      <c r="EZ63" s="19">
        <f t="shared" si="122"/>
        <v>21.229106492824666</v>
      </c>
      <c r="FA63" s="10">
        <f t="shared" si="123"/>
        <v>1.08367057135399</v>
      </c>
      <c r="FB63" s="10">
        <f t="shared" si="124"/>
        <v>13.426174346252052</v>
      </c>
      <c r="FC63" s="539">
        <f t="shared" si="125"/>
        <v>263.01875544307768</v>
      </c>
      <c r="FD63" s="19">
        <f t="shared" si="126"/>
        <v>23.09301987555353</v>
      </c>
      <c r="FE63" s="10">
        <f t="shared" si="127"/>
        <v>1.1788167368837943</v>
      </c>
      <c r="FF63" s="10">
        <f t="shared" si="128"/>
        <v>14.604991083135847</v>
      </c>
      <c r="FG63" s="539">
        <f t="shared" si="129"/>
        <v>286.11177531863126</v>
      </c>
      <c r="FH63" s="19">
        <f t="shared" si="130"/>
        <v>25.120584662993657</v>
      </c>
      <c r="FI63" s="10">
        <f t="shared" si="131"/>
        <v>1.282316726033367</v>
      </c>
      <c r="FJ63" s="10">
        <f t="shared" si="132"/>
        <v>15.887307809169213</v>
      </c>
      <c r="FK63" s="539">
        <f t="shared" si="133"/>
        <v>311.23235998162488</v>
      </c>
      <c r="FL63" s="19">
        <f t="shared" si="134"/>
        <v>27.326169431771046</v>
      </c>
      <c r="FM63" s="10">
        <f t="shared" si="135"/>
        <v>1.3949040036636573</v>
      </c>
      <c r="FN63" s="10">
        <f t="shared" si="136"/>
        <v>17.28221181283287</v>
      </c>
      <c r="FO63" s="539">
        <f t="shared" si="137"/>
        <v>338.55852941339589</v>
      </c>
      <c r="FP63" s="19">
        <f t="shared" si="138"/>
        <v>29.725404318072535</v>
      </c>
      <c r="FQ63" s="10">
        <f t="shared" si="139"/>
        <v>1.517376432775525</v>
      </c>
      <c r="FR63" s="10">
        <f t="shared" si="140"/>
        <v>18.799588245608394</v>
      </c>
      <c r="FS63" s="539">
        <f t="shared" si="141"/>
        <v>368.28393373146844</v>
      </c>
      <c r="FT63" s="19">
        <f t="shared" si="142"/>
        <v>32.33529178244644</v>
      </c>
      <c r="FU63" s="10">
        <f t="shared" si="143"/>
        <v>1.650601928659849</v>
      </c>
      <c r="FV63" s="10">
        <f t="shared" si="144"/>
        <v>20.450190174268243</v>
      </c>
      <c r="FW63" s="539">
        <f t="shared" si="145"/>
        <v>400.6192255139149</v>
      </c>
      <c r="FX63" s="19">
        <f t="shared" si="146"/>
        <v>35.174327099741376</v>
      </c>
      <c r="FY63" s="10">
        <f t="shared" si="147"/>
        <v>1.7955246094814383</v>
      </c>
      <c r="FZ63" s="10">
        <f t="shared" si="148"/>
        <v>22.245714783749683</v>
      </c>
      <c r="GA63" s="539">
        <f t="shared" si="149"/>
        <v>435.79355261365629</v>
      </c>
      <c r="GB63" s="19">
        <f t="shared" si="150"/>
        <v>38.262629428049458</v>
      </c>
      <c r="GC63" s="10">
        <f t="shared" si="151"/>
        <v>1.9531714868835863</v>
      </c>
      <c r="GD63" s="10">
        <f t="shared" si="152"/>
        <v>24.19888627063327</v>
      </c>
      <c r="GE63" s="539">
        <f t="shared" si="153"/>
        <v>474.05618204170577</v>
      </c>
      <c r="GF63" s="19">
        <f t="shared" si="154"/>
        <v>41.622084385489224</v>
      </c>
      <c r="GG63" s="10">
        <f t="shared" si="155"/>
        <v>2.124659744027015</v>
      </c>
      <c r="GH63" s="10">
        <f t="shared" si="156"/>
        <v>26.323546014660284</v>
      </c>
      <c r="GI63" s="539">
        <f t="shared" si="157"/>
        <v>515.67826642719501</v>
      </c>
      <c r="GJ63" s="19">
        <f t="shared" si="158"/>
        <v>45.276499145215688</v>
      </c>
      <c r="GK63" s="10">
        <f t="shared" si="159"/>
        <v>2.3112046526399026</v>
      </c>
      <c r="GL63" s="10">
        <f t="shared" si="160"/>
        <v>28.634750667300185</v>
      </c>
      <c r="GM63" s="539">
        <f t="shared" si="161"/>
        <v>560.95476557241068</v>
      </c>
      <c r="GN63" s="19">
        <f t="shared" si="162"/>
        <v>49.251771147756315</v>
      </c>
      <c r="GO63" s="10">
        <f t="shared" si="163"/>
        <v>2.5141281851840898</v>
      </c>
      <c r="GP63" s="10">
        <f t="shared" si="164"/>
        <v>31.148878852484273</v>
      </c>
      <c r="GQ63" s="539">
        <f t="shared" si="165"/>
        <v>610.20653672016692</v>
      </c>
      <c r="GR63" s="19">
        <f t="shared" si="166"/>
        <v>53.576071626272949</v>
      </c>
      <c r="GS63" s="10">
        <f t="shared" si="167"/>
        <v>2.734868383168604</v>
      </c>
      <c r="GT63" s="10">
        <f t="shared" si="168"/>
        <v>33.883747235652876</v>
      </c>
      <c r="GU63" s="539">
        <f t="shared" si="169"/>
        <v>663.78260834643982</v>
      </c>
      <c r="GV63" s="19">
        <f t="shared" si="170"/>
        <v>58.280045245322945</v>
      </c>
      <c r="GW63" s="10">
        <f t="shared" si="171"/>
        <v>2.9749895480001505</v>
      </c>
      <c r="GX63" s="10">
        <f t="shared" si="172"/>
        <v>36.858736783653029</v>
      </c>
      <c r="GY63" s="539">
        <f t="shared" si="173"/>
        <v>722.0626535917628</v>
      </c>
      <c r="GZ63" s="19">
        <f t="shared" si="174"/>
        <v>63.39702726788321</v>
      </c>
      <c r="HA63" s="10">
        <f t="shared" si="175"/>
        <v>3.2361933265892397</v>
      </c>
      <c r="HB63" s="10">
        <f t="shared" si="176"/>
        <v>40.094930110242267</v>
      </c>
      <c r="HC63" s="539">
        <f t="shared" si="177"/>
        <v>785.45968085964603</v>
      </c>
      <c r="HD63" s="19">
        <f t="shared" si="178"/>
        <v>68.963279789616692</v>
      </c>
      <c r="HE63" s="10">
        <f t="shared" si="179"/>
        <v>3.5203307702713982</v>
      </c>
      <c r="HF63" s="10">
        <f t="shared" si="180"/>
        <v>43.615260880513667</v>
      </c>
      <c r="HG63" s="539">
        <f t="shared" si="181"/>
        <v>854.42296064926268</v>
      </c>
      <c r="HH63" s="19">
        <f t="shared" si="182"/>
        <v>75.018248714483505</v>
      </c>
      <c r="HI63" s="10">
        <f t="shared" si="183"/>
        <v>3.829415452500434</v>
      </c>
      <c r="HJ63" s="10">
        <f t="shared" si="184"/>
        <v>47.444676333014101</v>
      </c>
      <c r="HK63" s="539">
        <f t="shared" si="185"/>
        <v>929.44120936374622</v>
      </c>
      <c r="HL63" s="19">
        <f t="shared" si="186"/>
        <v>81.604843292784253</v>
      </c>
      <c r="HM63" s="10">
        <f t="shared" si="187"/>
        <v>4.1656377382738263</v>
      </c>
      <c r="HN63" s="10">
        <f t="shared" si="188"/>
        <v>51.610314071287931</v>
      </c>
      <c r="HO63" s="539">
        <f t="shared" si="189"/>
        <v>1011.0460526565306</v>
      </c>
      <c r="HP63" s="19">
        <f t="shared" si="190"/>
        <v>88.769740202615239</v>
      </c>
      <c r="HQ63" s="10">
        <f t="shared" si="191"/>
        <v>4.5313803064122125</v>
      </c>
      <c r="HR63" s="10">
        <f t="shared" si="192"/>
        <v>56.141694377700141</v>
      </c>
      <c r="HS63" s="539">
        <f t="shared" si="193"/>
        <v>1099.8157928591459</v>
      </c>
      <c r="HT63" s="19">
        <f t="shared" si="194"/>
        <v>96.563714329644242</v>
      </c>
      <c r="HU63" s="10">
        <f t="shared" si="195"/>
        <v>4.9292350346934271</v>
      </c>
      <c r="HV63" s="10">
        <f t="shared" si="196"/>
        <v>61.070929412393568</v>
      </c>
      <c r="HW63" s="539">
        <f t="shared" si="197"/>
        <v>1196.3795071887901</v>
      </c>
      <c r="HX63" s="19">
        <f t="shared" si="198"/>
        <v>105.04199858931693</v>
      </c>
      <c r="HY63" s="10">
        <f t="shared" si="199"/>
        <v>5.3620213674995885</v>
      </c>
      <c r="HZ63" s="10">
        <f t="shared" si="200"/>
        <v>66.432950779893162</v>
      </c>
      <c r="IA63" s="539">
        <f t="shared" si="201"/>
        <v>1301.4215057781071</v>
      </c>
      <c r="IB63" s="19">
        <f t="shared" si="202"/>
        <v>114.26467534141624</v>
      </c>
      <c r="IP63" s="11">
        <v>22</v>
      </c>
      <c r="IQ63" s="19">
        <f t="shared" si="358"/>
        <v>47.909685262596248</v>
      </c>
      <c r="IR63" s="20">
        <f t="shared" si="351"/>
        <v>5.8855119296918543</v>
      </c>
    </row>
    <row r="64" spans="1:263">
      <c r="A64" s="8"/>
      <c r="B64" s="13"/>
      <c r="C64" s="1223" t="s">
        <v>2342</v>
      </c>
      <c r="D64" s="47" t="s">
        <v>1739</v>
      </c>
      <c r="E64" s="396">
        <f t="shared" si="333"/>
        <v>13.144500000000001</v>
      </c>
      <c r="F64" s="242">
        <v>2.1444999999999999</v>
      </c>
      <c r="G64" s="48">
        <f>'Update Stock Prices'!S64</f>
        <v>142377935.14722326</v>
      </c>
      <c r="H64" s="991">
        <f t="shared" si="27"/>
        <v>1.5062024869109945E-8</v>
      </c>
      <c r="I64" s="49">
        <f>'Update Stock Prices'!D64</f>
        <v>26.83</v>
      </c>
      <c r="J64" s="49">
        <f t="shared" si="1"/>
        <v>57.536934999999993</v>
      </c>
      <c r="K64" s="30">
        <v>15.79</v>
      </c>
      <c r="L64" s="49">
        <f t="shared" si="28"/>
        <v>41.746934999999993</v>
      </c>
      <c r="M64" s="50">
        <f t="shared" si="29"/>
        <v>2.6438844205193157</v>
      </c>
      <c r="N64" s="49">
        <f t="shared" si="30"/>
        <v>7.3630216833760782</v>
      </c>
      <c r="O64" s="48">
        <f t="shared" si="334"/>
        <v>11</v>
      </c>
      <c r="P64" s="49">
        <f t="shared" si="342"/>
        <v>25.879999999999995</v>
      </c>
      <c r="Q64" s="30">
        <f>0.125*4</f>
        <v>0.5</v>
      </c>
      <c r="R64" s="49">
        <f>S64/365.25</f>
        <v>2.9356605065023952E-3</v>
      </c>
      <c r="S64" s="49">
        <f t="shared" si="335"/>
        <v>1.0722499999999999</v>
      </c>
      <c r="T64" s="49">
        <f>S64/12</f>
        <v>8.9354166666666665E-2</v>
      </c>
      <c r="U64" s="49" t="s">
        <v>54</v>
      </c>
      <c r="V64" s="50">
        <f t="shared" si="336"/>
        <v>1.8635855385762207E-2</v>
      </c>
      <c r="W64" s="50">
        <f t="shared" si="7"/>
        <v>6.7906903103229888E-2</v>
      </c>
      <c r="X64" s="49">
        <f t="shared" si="345"/>
        <v>5.5</v>
      </c>
      <c r="Y64" s="49">
        <f t="shared" ref="Y64" si="400">IF(U64="Q",3*T64,IF(U64="Y",12*T64,IF(U64="B",6*T64,IF(U64="M",T64,0))))</f>
        <v>0.26806249999999998</v>
      </c>
      <c r="Z64" s="860">
        <f t="shared" si="337"/>
        <v>0</v>
      </c>
      <c r="AA64" s="860">
        <f t="shared" si="338"/>
        <v>212.49549999999999</v>
      </c>
      <c r="AB64" s="49">
        <f t="shared" si="339"/>
        <v>5701.2542649999996</v>
      </c>
      <c r="AC64" s="48">
        <v>1</v>
      </c>
      <c r="AD64" s="47" t="str">
        <f t="shared" si="340"/>
        <v>GPT</v>
      </c>
      <c r="AE64" s="49">
        <f t="shared" si="341"/>
        <v>57.536934999999993</v>
      </c>
      <c r="AF64" s="50" t="e">
        <f t="shared" si="310"/>
        <v>#REF!</v>
      </c>
      <c r="AG64" s="890" t="e">
        <f t="shared" si="332"/>
        <v>#REF!</v>
      </c>
      <c r="AH64" s="207" t="s">
        <v>1738</v>
      </c>
      <c r="AI64" s="240">
        <f t="shared" si="312"/>
        <v>7.5152213876697963E-3</v>
      </c>
      <c r="AJ64" s="11">
        <f t="shared" si="33"/>
        <v>3</v>
      </c>
      <c r="AK64" s="11"/>
      <c r="AL64" s="11"/>
      <c r="AM64" s="11"/>
      <c r="AN64" s="11"/>
      <c r="AO64" s="11"/>
      <c r="AP64" s="11"/>
      <c r="AQ64" s="11" t="str">
        <f>'Update Stock Prices'!Q64</f>
        <v>mid</v>
      </c>
      <c r="AR64" s="11"/>
      <c r="AS64" s="11"/>
      <c r="AT64" s="176"/>
      <c r="AV64" s="660" t="s">
        <v>1720</v>
      </c>
      <c r="AW64" s="236" t="s">
        <v>1720</v>
      </c>
      <c r="AY64" s="19"/>
      <c r="AZ64" s="19"/>
      <c r="BA64" s="19"/>
      <c r="BB64" s="19"/>
      <c r="BC64" s="976">
        <v>2010</v>
      </c>
      <c r="BD64" s="19">
        <v>2394.34</v>
      </c>
      <c r="BE64" s="984"/>
      <c r="BF64" s="74"/>
      <c r="BS64" s="420" t="str">
        <f t="shared" si="37"/>
        <v>GPT</v>
      </c>
      <c r="BT64" s="425">
        <f t="shared" si="38"/>
        <v>2.1444999999999999</v>
      </c>
      <c r="BU64" s="19">
        <f t="shared" si="39"/>
        <v>26.83</v>
      </c>
      <c r="BV64" s="19">
        <f t="shared" si="40"/>
        <v>57.536934999999993</v>
      </c>
      <c r="BW64" s="539">
        <f t="shared" si="41"/>
        <v>0.5</v>
      </c>
      <c r="BX64" s="19">
        <f t="shared" si="42"/>
        <v>1.0722499999999999</v>
      </c>
      <c r="BY64" s="10">
        <f t="shared" si="43"/>
        <v>3.9964591874767051E-2</v>
      </c>
      <c r="BZ64" s="10">
        <f t="shared" si="44"/>
        <v>2.1844645918747667</v>
      </c>
      <c r="CA64" s="539">
        <f t="shared" si="45"/>
        <v>58.609184999999989</v>
      </c>
      <c r="CB64" s="19">
        <f t="shared" si="46"/>
        <v>1.0922322959373834</v>
      </c>
      <c r="CC64" s="10">
        <f t="shared" si="47"/>
        <v>4.0709366229496217E-2</v>
      </c>
      <c r="CD64" s="10">
        <f t="shared" si="48"/>
        <v>2.2251739581042629</v>
      </c>
      <c r="CE64" s="539">
        <f t="shared" si="49"/>
        <v>59.701417295937368</v>
      </c>
      <c r="CF64" s="19">
        <f t="shared" si="50"/>
        <v>1.1125869790521314</v>
      </c>
      <c r="CG64" s="10">
        <f t="shared" si="51"/>
        <v>4.1468020091395136E-2</v>
      </c>
      <c r="CH64" s="10">
        <f t="shared" si="52"/>
        <v>2.2666419781956582</v>
      </c>
      <c r="CI64" s="539">
        <f t="shared" si="53"/>
        <v>60.814004274989507</v>
      </c>
      <c r="CJ64" s="19">
        <f t="shared" si="54"/>
        <v>1.1333209890978291</v>
      </c>
      <c r="CK64" s="10">
        <f t="shared" si="55"/>
        <v>4.2240812116952263E-2</v>
      </c>
      <c r="CL64" s="10">
        <f t="shared" si="56"/>
        <v>2.3088827903126106</v>
      </c>
      <c r="CM64" s="539">
        <f t="shared" si="57"/>
        <v>61.94732526408734</v>
      </c>
      <c r="CN64" s="19">
        <f t="shared" si="58"/>
        <v>1.1544413951563053</v>
      </c>
      <c r="CO64" s="10">
        <f t="shared" si="59"/>
        <v>4.3028005782940935E-2</v>
      </c>
      <c r="CP64" s="10">
        <f t="shared" si="60"/>
        <v>2.3519107960955514</v>
      </c>
      <c r="CQ64" s="539">
        <f t="shared" si="61"/>
        <v>63.101766659243644</v>
      </c>
      <c r="CR64" s="19">
        <f t="shared" si="62"/>
        <v>1.1759553980477757</v>
      </c>
      <c r="CS64" s="10">
        <f t="shared" si="63"/>
        <v>4.3829869476249561E-2</v>
      </c>
      <c r="CT64" s="10">
        <f t="shared" si="64"/>
        <v>2.3957406655718012</v>
      </c>
      <c r="CU64" s="539">
        <f t="shared" si="65"/>
        <v>64.277722057291427</v>
      </c>
      <c r="CV64" s="19">
        <f t="shared" si="66"/>
        <v>1.1978703327859006</v>
      </c>
      <c r="CW64" s="10">
        <f t="shared" si="67"/>
        <v>4.4646676585385785E-2</v>
      </c>
      <c r="CX64" s="10">
        <f t="shared" si="68"/>
        <v>2.4403873421571869</v>
      </c>
      <c r="CY64" s="539">
        <f t="shared" si="69"/>
        <v>65.475592390077324</v>
      </c>
      <c r="CZ64" s="19">
        <f t="shared" si="70"/>
        <v>1.2201936710785934</v>
      </c>
      <c r="DA64" s="10">
        <f t="shared" si="71"/>
        <v>4.5478705593685928E-2</v>
      </c>
      <c r="DB64" s="10">
        <f t="shared" si="72"/>
        <v>2.4858660477508727</v>
      </c>
      <c r="DC64" s="539">
        <f t="shared" si="73"/>
        <v>66.695786061155914</v>
      </c>
      <c r="DD64" s="19">
        <f t="shared" si="74"/>
        <v>1.2429330238754364</v>
      </c>
      <c r="DE64" s="10">
        <f t="shared" si="75"/>
        <v>4.6326240174261513E-2</v>
      </c>
      <c r="DF64" s="10">
        <f t="shared" si="76"/>
        <v>2.5321922879251342</v>
      </c>
      <c r="DG64" s="539">
        <f t="shared" si="77"/>
        <v>67.938719085031352</v>
      </c>
      <c r="DH64" s="19">
        <f t="shared" si="78"/>
        <v>1.2660961439625671</v>
      </c>
      <c r="DI64" s="10">
        <f t="shared" si="79"/>
        <v>4.7189569286715138E-2</v>
      </c>
      <c r="DJ64" s="10">
        <f t="shared" si="80"/>
        <v>2.5793818572118492</v>
      </c>
      <c r="DK64" s="539">
        <f t="shared" si="81"/>
        <v>69.204815228993908</v>
      </c>
      <c r="DL64" s="19">
        <f t="shared" si="82"/>
        <v>1.2896909286059246</v>
      </c>
      <c r="DM64" s="10">
        <f t="shared" si="83"/>
        <v>4.8068987275658767E-2</v>
      </c>
      <c r="DN64" s="10">
        <f t="shared" si="84"/>
        <v>2.627450844487508</v>
      </c>
      <c r="DO64" s="539">
        <f t="shared" si="85"/>
        <v>70.49450615759983</v>
      </c>
      <c r="DP64" s="19">
        <f t="shared" si="86"/>
        <v>1.313725422243754</v>
      </c>
      <c r="DQ64" s="10">
        <f t="shared" si="87"/>
        <v>4.8964793971067989E-2</v>
      </c>
      <c r="DR64" s="10">
        <f t="shared" si="88"/>
        <v>2.6764156384585758</v>
      </c>
      <c r="DS64" s="539">
        <f t="shared" si="89"/>
        <v>71.808231579843579</v>
      </c>
      <c r="DT64" s="19">
        <f t="shared" si="90"/>
        <v>1.3382078192292879</v>
      </c>
      <c r="DU64" s="10">
        <f t="shared" si="91"/>
        <v>4.9877294790506448E-2</v>
      </c>
      <c r="DV64" s="10">
        <f t="shared" si="92"/>
        <v>2.7262929332490824</v>
      </c>
      <c r="DW64" s="539">
        <f t="shared" si="93"/>
        <v>73.146439399072875</v>
      </c>
      <c r="DX64" s="19">
        <f t="shared" si="94"/>
        <v>1.3631464666245412</v>
      </c>
      <c r="DY64" s="10">
        <f t="shared" si="95"/>
        <v>5.0806800843255361E-2</v>
      </c>
      <c r="DZ64" s="10">
        <f t="shared" si="96"/>
        <v>2.7770997340923378</v>
      </c>
      <c r="EA64" s="539">
        <f t="shared" si="97"/>
        <v>74.509585865697417</v>
      </c>
      <c r="EB64" s="19">
        <f t="shared" si="98"/>
        <v>1.3885498670461689</v>
      </c>
      <c r="EC64" s="10">
        <f t="shared" si="99"/>
        <v>5.1753629036383489E-2</v>
      </c>
      <c r="ED64" s="10">
        <f t="shared" si="100"/>
        <v>2.8288533631287214</v>
      </c>
      <c r="EE64" s="539">
        <f t="shared" si="101"/>
        <v>75.898135732743583</v>
      </c>
      <c r="EF64" s="19">
        <f t="shared" si="102"/>
        <v>1.4144266815643607</v>
      </c>
      <c r="EG64" s="10">
        <f t="shared" si="103"/>
        <v>5.2718102182793915E-2</v>
      </c>
      <c r="EH64" s="10">
        <f t="shared" si="104"/>
        <v>2.8815714653115152</v>
      </c>
      <c r="EI64" s="539">
        <f t="shared" si="105"/>
        <v>77.312562414307948</v>
      </c>
      <c r="EJ64" s="19">
        <f t="shared" si="106"/>
        <v>1.4407857326557576</v>
      </c>
      <c r="EK64" s="10">
        <f t="shared" si="107"/>
        <v>5.3700549111284294E-2</v>
      </c>
      <c r="EL64" s="10">
        <f t="shared" si="108"/>
        <v>2.9352720144227993</v>
      </c>
      <c r="EM64" s="539">
        <f t="shared" si="109"/>
        <v>78.753348146963702</v>
      </c>
      <c r="EN64" s="19">
        <f t="shared" si="110"/>
        <v>1.4676360072113996</v>
      </c>
      <c r="EO64" s="10">
        <f t="shared" si="111"/>
        <v>5.4701304778658207E-2</v>
      </c>
      <c r="EP64" s="10">
        <f t="shared" si="112"/>
        <v>2.9899733192014577</v>
      </c>
      <c r="EQ64" s="539">
        <f t="shared" si="113"/>
        <v>80.220984154175099</v>
      </c>
      <c r="ER64" s="19">
        <f t="shared" si="114"/>
        <v>1.4949866596007289</v>
      </c>
      <c r="ES64" s="10">
        <f t="shared" si="115"/>
        <v>5.5720710383925787E-2</v>
      </c>
      <c r="ET64" s="10">
        <f t="shared" si="116"/>
        <v>3.0456940295853836</v>
      </c>
      <c r="EU64" s="539">
        <f t="shared" si="117"/>
        <v>81.71597081377584</v>
      </c>
      <c r="EV64" s="19">
        <f t="shared" si="118"/>
        <v>1.5228470147926918</v>
      </c>
      <c r="EW64" s="10">
        <f t="shared" si="119"/>
        <v>5.675911348463257E-2</v>
      </c>
      <c r="EX64" s="10">
        <f t="shared" si="120"/>
        <v>3.102453143070016</v>
      </c>
      <c r="EY64" s="539">
        <f t="shared" si="121"/>
        <v>83.238817828568529</v>
      </c>
      <c r="EZ64" s="19">
        <f t="shared" si="122"/>
        <v>1.551226571535008</v>
      </c>
      <c r="FA64" s="10">
        <f t="shared" si="123"/>
        <v>5.7816868115356246E-2</v>
      </c>
      <c r="FB64" s="10">
        <f t="shared" si="124"/>
        <v>3.1602700111853723</v>
      </c>
      <c r="FC64" s="539">
        <f t="shared" si="125"/>
        <v>84.79004440010354</v>
      </c>
      <c r="FD64" s="19">
        <f t="shared" si="126"/>
        <v>1.5801350055926862</v>
      </c>
      <c r="FE64" s="10">
        <f t="shared" si="127"/>
        <v>5.8894334908411713E-2</v>
      </c>
      <c r="FF64" s="10">
        <f t="shared" si="128"/>
        <v>3.219164346093784</v>
      </c>
      <c r="FG64" s="539">
        <f t="shared" si="129"/>
        <v>86.37017940569622</v>
      </c>
      <c r="FH64" s="19">
        <f t="shared" si="130"/>
        <v>1.609582173046892</v>
      </c>
      <c r="FI64" s="10">
        <f t="shared" si="131"/>
        <v>5.9991881216805522E-2</v>
      </c>
      <c r="FJ64" s="10">
        <f t="shared" si="132"/>
        <v>3.2791562273105894</v>
      </c>
      <c r="FK64" s="539">
        <f t="shared" si="133"/>
        <v>87.979761578743108</v>
      </c>
      <c r="FL64" s="19">
        <f t="shared" si="134"/>
        <v>1.6395781136552947</v>
      </c>
      <c r="FM64" s="10">
        <f t="shared" si="135"/>
        <v>6.1109881239481731E-2</v>
      </c>
      <c r="FN64" s="10">
        <f t="shared" si="136"/>
        <v>3.3402661085500713</v>
      </c>
      <c r="FO64" s="539">
        <f t="shared" si="137"/>
        <v>89.619339692398412</v>
      </c>
      <c r="FP64" s="19">
        <f t="shared" si="138"/>
        <v>1.6701330542750357</v>
      </c>
      <c r="FQ64" s="10">
        <f t="shared" si="139"/>
        <v>6.2248716148901817E-2</v>
      </c>
      <c r="FR64" s="10">
        <f t="shared" si="140"/>
        <v>3.4025148246989732</v>
      </c>
      <c r="FS64" s="539">
        <f t="shared" si="141"/>
        <v>91.289472746673439</v>
      </c>
      <c r="FT64" s="19">
        <f t="shared" si="142"/>
        <v>1.7012574123494866</v>
      </c>
      <c r="FU64" s="10">
        <f t="shared" si="143"/>
        <v>6.3408774221002107E-2</v>
      </c>
      <c r="FV64" s="10">
        <f t="shared" si="144"/>
        <v>3.465923598919975</v>
      </c>
      <c r="FW64" s="539">
        <f t="shared" si="145"/>
        <v>92.990730159022931</v>
      </c>
      <c r="FX64" s="19">
        <f t="shared" si="146"/>
        <v>1.7329617994599875</v>
      </c>
      <c r="FY64" s="10">
        <f t="shared" si="147"/>
        <v>6.4590450967573154E-2</v>
      </c>
      <c r="FZ64" s="10">
        <f t="shared" si="148"/>
        <v>3.530514049887548</v>
      </c>
      <c r="GA64" s="539">
        <f t="shared" si="149"/>
        <v>94.723691958482902</v>
      </c>
      <c r="GB64" s="19">
        <f t="shared" si="150"/>
        <v>1.765257024943774</v>
      </c>
      <c r="GC64" s="10">
        <f t="shared" si="151"/>
        <v>6.5794149271106009E-2</v>
      </c>
      <c r="GD64" s="10">
        <f t="shared" si="152"/>
        <v>3.5963081991586541</v>
      </c>
      <c r="GE64" s="539">
        <f t="shared" si="153"/>
        <v>96.488948983426681</v>
      </c>
      <c r="GF64" s="19">
        <f t="shared" si="154"/>
        <v>1.798154099579327</v>
      </c>
      <c r="GG64" s="10">
        <f t="shared" si="155"/>
        <v>6.7020279522151588E-2</v>
      </c>
      <c r="GH64" s="10">
        <f t="shared" si="156"/>
        <v>3.6633284786808056</v>
      </c>
      <c r="GI64" s="539">
        <f t="shared" si="157"/>
        <v>98.287103083006002</v>
      </c>
      <c r="GJ64" s="19">
        <f t="shared" si="158"/>
        <v>1.8316642393404028</v>
      </c>
      <c r="GK64" s="10">
        <f t="shared" si="159"/>
        <v>6.8269259759239767E-2</v>
      </c>
      <c r="GL64" s="10">
        <f t="shared" si="160"/>
        <v>3.7315977384400454</v>
      </c>
      <c r="GM64" s="539">
        <f t="shared" si="161"/>
        <v>100.11876732234641</v>
      </c>
      <c r="GN64" s="19">
        <f t="shared" si="162"/>
        <v>1.8657988692200227</v>
      </c>
      <c r="GO64" s="10">
        <f t="shared" si="163"/>
        <v>6.9541515811405996E-2</v>
      </c>
      <c r="GP64" s="10">
        <f t="shared" si="164"/>
        <v>3.8011392542514515</v>
      </c>
      <c r="GQ64" s="539">
        <f t="shared" si="165"/>
        <v>101.98456619156644</v>
      </c>
      <c r="GR64" s="19">
        <f t="shared" si="166"/>
        <v>1.9005696271257257</v>
      </c>
      <c r="GS64" s="10">
        <f t="shared" si="167"/>
        <v>7.0837481443374054E-2</v>
      </c>
      <c r="GT64" s="10">
        <f t="shared" si="168"/>
        <v>3.8719767356948256</v>
      </c>
      <c r="GU64" s="539">
        <f t="shared" si="169"/>
        <v>103.88513581869216</v>
      </c>
      <c r="GV64" s="19">
        <f t="shared" si="170"/>
        <v>1.9359883678474128</v>
      </c>
      <c r="GW64" s="10">
        <f t="shared" si="171"/>
        <v>7.2157598503444387E-2</v>
      </c>
      <c r="GX64" s="10">
        <f t="shared" si="172"/>
        <v>3.94413433419827</v>
      </c>
      <c r="GY64" s="539">
        <f t="shared" si="173"/>
        <v>105.82112418653958</v>
      </c>
      <c r="GZ64" s="19">
        <f t="shared" si="174"/>
        <v>1.972067167099135</v>
      </c>
      <c r="HA64" s="10">
        <f t="shared" si="175"/>
        <v>7.3502317074138471E-2</v>
      </c>
      <c r="HB64" s="10">
        <f t="shared" si="176"/>
        <v>4.0176366512724089</v>
      </c>
      <c r="HC64" s="539">
        <f t="shared" si="177"/>
        <v>107.79319135363872</v>
      </c>
      <c r="HD64" s="19">
        <f t="shared" si="178"/>
        <v>2.0088183256362044</v>
      </c>
      <c r="HE64" s="10">
        <f t="shared" si="179"/>
        <v>7.4872095625650559E-2</v>
      </c>
      <c r="HF64" s="10">
        <f t="shared" si="180"/>
        <v>4.0925087468980594</v>
      </c>
      <c r="HG64" s="539">
        <f t="shared" si="181"/>
        <v>109.80200967927493</v>
      </c>
      <c r="HH64" s="19">
        <f t="shared" si="182"/>
        <v>2.0462543734490297</v>
      </c>
      <c r="HI64" s="10">
        <f t="shared" si="183"/>
        <v>7.6267401172159147E-2</v>
      </c>
      <c r="HJ64" s="10">
        <f t="shared" si="184"/>
        <v>4.1687761480702186</v>
      </c>
      <c r="HK64" s="539">
        <f t="shared" si="185"/>
        <v>111.84826405272396</v>
      </c>
      <c r="HL64" s="19">
        <f t="shared" si="186"/>
        <v>2.0843880740351093</v>
      </c>
      <c r="HM64" s="10">
        <f t="shared" si="187"/>
        <v>7.7688709431051411E-2</v>
      </c>
      <c r="HN64" s="10">
        <f t="shared" si="188"/>
        <v>4.2464648575012696</v>
      </c>
      <c r="HO64" s="539">
        <f t="shared" si="189"/>
        <v>113.93265212675905</v>
      </c>
      <c r="HP64" s="19">
        <f t="shared" si="190"/>
        <v>2.1232324287506348</v>
      </c>
      <c r="HQ64" s="10">
        <f t="shared" si="191"/>
        <v>7.9136504985114986E-2</v>
      </c>
      <c r="HR64" s="10">
        <f t="shared" si="192"/>
        <v>4.3256013624863847</v>
      </c>
      <c r="HS64" s="539">
        <f t="shared" si="193"/>
        <v>116.05588455550969</v>
      </c>
      <c r="HT64" s="19">
        <f t="shared" si="194"/>
        <v>2.1628006812431924</v>
      </c>
      <c r="HU64" s="10">
        <f t="shared" si="195"/>
        <v>8.0611281447752231E-2</v>
      </c>
      <c r="HV64" s="10">
        <f t="shared" si="196"/>
        <v>4.4062126439341371</v>
      </c>
      <c r="HW64" s="539">
        <f t="shared" si="197"/>
        <v>118.21868523675289</v>
      </c>
      <c r="HX64" s="19">
        <f t="shared" si="198"/>
        <v>2.2031063219670686</v>
      </c>
      <c r="HY64" s="10">
        <f t="shared" si="199"/>
        <v>8.2113541631273532E-2</v>
      </c>
      <c r="HZ64" s="10">
        <f t="shared" si="200"/>
        <v>4.4883261855654109</v>
      </c>
      <c r="IA64" s="539">
        <f t="shared" si="201"/>
        <v>120.42179155871996</v>
      </c>
      <c r="IB64" s="19">
        <f t="shared" si="202"/>
        <v>2.2441630927827054</v>
      </c>
      <c r="IP64" s="11">
        <v>23</v>
      </c>
      <c r="IQ64" s="19">
        <f t="shared" si="358"/>
        <v>51.742460083603952</v>
      </c>
      <c r="IR64" s="20">
        <f t="shared" si="351"/>
        <v>5.7785026218792757</v>
      </c>
    </row>
    <row r="65" spans="1:252">
      <c r="A65" s="11"/>
      <c r="B65" s="13"/>
      <c r="C65" s="1223" t="s">
        <v>2347</v>
      </c>
      <c r="D65" s="47" t="s">
        <v>1637</v>
      </c>
      <c r="E65" s="396">
        <f t="shared" si="333"/>
        <v>20.1889</v>
      </c>
      <c r="F65" s="242">
        <f>7.0682+0.1207</f>
        <v>7.1889000000000003</v>
      </c>
      <c r="G65" s="48">
        <f>'Update Stock Prices'!S65</f>
        <v>1724255319.1489363</v>
      </c>
      <c r="H65" s="991">
        <f t="shared" si="27"/>
        <v>4.1692781342546891E-9</v>
      </c>
      <c r="I65" s="49">
        <f>'Update Stock Prices'!D65</f>
        <v>23.5</v>
      </c>
      <c r="J65" s="49">
        <f t="shared" si="1"/>
        <v>168.93915000000001</v>
      </c>
      <c r="K65" s="30">
        <v>65.819999999999993</v>
      </c>
      <c r="L65" s="49">
        <f t="shared" si="28"/>
        <v>103.11915000000002</v>
      </c>
      <c r="M65" s="50">
        <f t="shared" si="29"/>
        <v>1.5666841385597088</v>
      </c>
      <c r="N65" s="49">
        <f t="shared" si="30"/>
        <v>9.1557818303217449</v>
      </c>
      <c r="O65" s="48">
        <f t="shared" si="334"/>
        <v>13</v>
      </c>
      <c r="P65" s="49">
        <f t="shared" si="342"/>
        <v>15.509999999999991</v>
      </c>
      <c r="Q65" s="30">
        <f>0.065*4</f>
        <v>0.26</v>
      </c>
      <c r="R65" s="49">
        <f t="shared" ref="R65" si="401">S65/365.25</f>
        <v>5.1173552361396309E-3</v>
      </c>
      <c r="S65" s="49">
        <f t="shared" si="335"/>
        <v>1.8691140000000002</v>
      </c>
      <c r="T65" s="49">
        <f t="shared" ref="T65" si="402">S65/12</f>
        <v>0.15575950000000002</v>
      </c>
      <c r="U65" s="49" t="s">
        <v>54</v>
      </c>
      <c r="V65" s="50">
        <f t="shared" si="336"/>
        <v>1.1063829787234043E-2</v>
      </c>
      <c r="W65" s="50">
        <f t="shared" si="7"/>
        <v>2.8397356426618055E-2</v>
      </c>
      <c r="X65" s="49">
        <f t="shared" si="345"/>
        <v>3.3800000000000008</v>
      </c>
      <c r="Y65" s="49">
        <f t="shared" ref="Y65" si="403">IF(U65="Q",3*T65,IF(U65="Y",12*T65,IF(U65="B",6*T65,IF(U65="M",T65,0))))</f>
        <v>0.46727850000000004</v>
      </c>
      <c r="Z65" s="860">
        <f t="shared" si="337"/>
        <v>0</v>
      </c>
      <c r="AA65" s="860">
        <f t="shared" si="338"/>
        <v>354.34956153846156</v>
      </c>
      <c r="AB65" s="49">
        <f t="shared" si="339"/>
        <v>8327.2146961538474</v>
      </c>
      <c r="AC65" s="48">
        <v>1</v>
      </c>
      <c r="AD65" s="47" t="str">
        <f t="shared" si="340"/>
        <v>HPE</v>
      </c>
      <c r="AE65" s="49">
        <f t="shared" si="341"/>
        <v>168.93915000000001</v>
      </c>
      <c r="AF65" s="50" t="e">
        <f t="shared" si="310"/>
        <v>#REF!</v>
      </c>
      <c r="AG65" s="890" t="e">
        <f t="shared" si="332"/>
        <v>#REF!</v>
      </c>
      <c r="AH65" s="207" t="s">
        <v>1638</v>
      </c>
      <c r="AI65" s="240">
        <f t="shared" si="312"/>
        <v>6.4790143493863583E-2</v>
      </c>
      <c r="AJ65" s="11">
        <f t="shared" si="33"/>
        <v>3</v>
      </c>
      <c r="AK65" s="11">
        <v>1</v>
      </c>
      <c r="AL65" s="11"/>
      <c r="AM65" s="11"/>
      <c r="AN65" s="11"/>
      <c r="AO65" s="11"/>
      <c r="AP65" s="11"/>
      <c r="AQ65" s="11" t="str">
        <f>'Update Stock Prices'!Q65</f>
        <v>big</v>
      </c>
      <c r="AR65" s="11"/>
      <c r="AS65" s="11"/>
      <c r="AT65" s="176"/>
      <c r="AV65" s="837">
        <f>AV53/(1+AV62)^(AV47)</f>
        <v>2506320.087943716</v>
      </c>
      <c r="AW65" s="234">
        <f>AW53/(1+AV62)^AV47</f>
        <v>1253160.043971858</v>
      </c>
      <c r="AY65" s="19"/>
      <c r="AZ65" s="19"/>
      <c r="BA65" s="19"/>
      <c r="BB65" s="19"/>
      <c r="BC65" s="976">
        <v>2011</v>
      </c>
      <c r="BD65" s="19">
        <v>158.22</v>
      </c>
      <c r="BE65" s="984"/>
      <c r="BF65" s="74"/>
      <c r="BS65" s="420" t="str">
        <f t="shared" si="37"/>
        <v>HPE</v>
      </c>
      <c r="BT65" s="425">
        <f t="shared" si="38"/>
        <v>7.1889000000000003</v>
      </c>
      <c r="BU65" s="19">
        <f t="shared" si="39"/>
        <v>23.5</v>
      </c>
      <c r="BV65" s="19">
        <f t="shared" si="40"/>
        <v>168.93915000000001</v>
      </c>
      <c r="BW65" s="539">
        <f t="shared" si="41"/>
        <v>0.26</v>
      </c>
      <c r="BX65" s="19">
        <f t="shared" si="42"/>
        <v>1.8691140000000002</v>
      </c>
      <c r="BY65" s="10">
        <f t="shared" si="43"/>
        <v>7.9536765957446812E-2</v>
      </c>
      <c r="BZ65" s="10">
        <f t="shared" si="44"/>
        <v>7.2684367659574471</v>
      </c>
      <c r="CA65" s="539">
        <f t="shared" si="45"/>
        <v>170.80826400000001</v>
      </c>
      <c r="CB65" s="19">
        <f t="shared" si="46"/>
        <v>1.8897935591489363</v>
      </c>
      <c r="CC65" s="10">
        <f t="shared" si="47"/>
        <v>8.0416747197827071E-2</v>
      </c>
      <c r="CD65" s="10">
        <f t="shared" si="48"/>
        <v>7.3488535131552739</v>
      </c>
      <c r="CE65" s="539">
        <f t="shared" si="49"/>
        <v>172.69805755914894</v>
      </c>
      <c r="CF65" s="19">
        <f t="shared" si="50"/>
        <v>1.9107019134203713</v>
      </c>
      <c r="CG65" s="10">
        <f t="shared" si="51"/>
        <v>8.1306464400866862E-2</v>
      </c>
      <c r="CH65" s="10">
        <f t="shared" si="52"/>
        <v>7.4301599775561407</v>
      </c>
      <c r="CI65" s="539">
        <f t="shared" si="53"/>
        <v>174.60875947256932</v>
      </c>
      <c r="CJ65" s="19">
        <f t="shared" si="54"/>
        <v>1.9318415941645966</v>
      </c>
      <c r="CK65" s="10">
        <f t="shared" si="55"/>
        <v>8.2206025283599854E-2</v>
      </c>
      <c r="CL65" s="10">
        <f t="shared" si="56"/>
        <v>7.5123660028397401</v>
      </c>
      <c r="CM65" s="539">
        <f t="shared" si="57"/>
        <v>176.5406010667339</v>
      </c>
      <c r="CN65" s="19">
        <f t="shared" si="58"/>
        <v>1.9532151607383326</v>
      </c>
      <c r="CO65" s="10">
        <f t="shared" si="59"/>
        <v>8.3115538754822665E-2</v>
      </c>
      <c r="CP65" s="10">
        <f t="shared" si="60"/>
        <v>7.5954815415945625</v>
      </c>
      <c r="CQ65" s="539">
        <f t="shared" si="61"/>
        <v>178.49381622747222</v>
      </c>
      <c r="CR65" s="19">
        <f t="shared" si="62"/>
        <v>1.9748252008145863</v>
      </c>
      <c r="CS65" s="10">
        <f t="shared" si="63"/>
        <v>8.4035114928280266E-2</v>
      </c>
      <c r="CT65" s="10">
        <f t="shared" si="64"/>
        <v>7.6795166565228428</v>
      </c>
      <c r="CU65" s="539">
        <f t="shared" si="65"/>
        <v>180.46864142828682</v>
      </c>
      <c r="CV65" s="19">
        <f t="shared" si="66"/>
        <v>1.9966743306959391</v>
      </c>
      <c r="CW65" s="10">
        <f t="shared" si="67"/>
        <v>8.4964865135997408E-2</v>
      </c>
      <c r="CX65" s="10">
        <f t="shared" si="68"/>
        <v>7.7644815216588405</v>
      </c>
      <c r="CY65" s="539">
        <f t="shared" si="69"/>
        <v>182.46531575898274</v>
      </c>
      <c r="CZ65" s="19">
        <f t="shared" si="70"/>
        <v>2.0187651956312984</v>
      </c>
      <c r="DA65" s="10">
        <f t="shared" si="71"/>
        <v>8.5904901941757386E-2</v>
      </c>
      <c r="DB65" s="10">
        <f t="shared" si="72"/>
        <v>7.8503864236005976</v>
      </c>
      <c r="DC65" s="539">
        <f t="shared" si="73"/>
        <v>184.48408095461403</v>
      </c>
      <c r="DD65" s="19">
        <f t="shared" si="74"/>
        <v>2.0411004701361555</v>
      </c>
      <c r="DE65" s="10">
        <f t="shared" si="75"/>
        <v>8.6855339154730024E-2</v>
      </c>
      <c r="DF65" s="10">
        <f t="shared" si="76"/>
        <v>7.9372417627553276</v>
      </c>
      <c r="DG65" s="539">
        <f t="shared" si="77"/>
        <v>186.5251814247502</v>
      </c>
      <c r="DH65" s="19">
        <f t="shared" si="78"/>
        <v>2.0636828583163851</v>
      </c>
      <c r="DI65" s="10">
        <f t="shared" si="79"/>
        <v>8.7816291843250432E-2</v>
      </c>
      <c r="DJ65" s="10">
        <f t="shared" si="80"/>
        <v>8.0250580545985777</v>
      </c>
      <c r="DK65" s="539">
        <f t="shared" si="81"/>
        <v>188.58886428306658</v>
      </c>
      <c r="DL65" s="19">
        <f t="shared" si="82"/>
        <v>2.0865150941956303</v>
      </c>
      <c r="DM65" s="10">
        <f t="shared" si="83"/>
        <v>8.8787876348750225E-2</v>
      </c>
      <c r="DN65" s="10">
        <f t="shared" si="84"/>
        <v>8.1138459309473276</v>
      </c>
      <c r="DO65" s="539">
        <f t="shared" si="85"/>
        <v>190.6753793772622</v>
      </c>
      <c r="DP65" s="19">
        <f t="shared" si="86"/>
        <v>2.1095999420463052</v>
      </c>
      <c r="DQ65" s="10">
        <f t="shared" si="87"/>
        <v>8.9770210299842779E-2</v>
      </c>
      <c r="DR65" s="10">
        <f t="shared" si="88"/>
        <v>8.2036161412471706</v>
      </c>
      <c r="DS65" s="539">
        <f t="shared" si="89"/>
        <v>192.78497931930852</v>
      </c>
      <c r="DT65" s="19">
        <f t="shared" si="90"/>
        <v>2.1329401967242645</v>
      </c>
      <c r="DU65" s="10">
        <f t="shared" si="91"/>
        <v>9.0763412626564441E-2</v>
      </c>
      <c r="DV65" s="10">
        <f t="shared" si="92"/>
        <v>8.2943795538737355</v>
      </c>
      <c r="DW65" s="539">
        <f t="shared" si="93"/>
        <v>194.91791951603278</v>
      </c>
      <c r="DX65" s="19">
        <f t="shared" si="94"/>
        <v>2.1565386840071712</v>
      </c>
      <c r="DY65" s="10">
        <f t="shared" si="95"/>
        <v>9.1767603574773246E-2</v>
      </c>
      <c r="DZ65" s="10">
        <f t="shared" si="96"/>
        <v>8.3861471574485087</v>
      </c>
      <c r="EA65" s="539">
        <f t="shared" si="97"/>
        <v>197.07445820003994</v>
      </c>
      <c r="EB65" s="19">
        <f t="shared" si="98"/>
        <v>2.1803982609366122</v>
      </c>
      <c r="EC65" s="10">
        <f t="shared" si="99"/>
        <v>9.2782904720706896E-2</v>
      </c>
      <c r="ED65" s="10">
        <f t="shared" si="100"/>
        <v>8.4789300621692156</v>
      </c>
      <c r="EE65" s="539">
        <f t="shared" si="101"/>
        <v>199.25485646097655</v>
      </c>
      <c r="EF65" s="19">
        <f t="shared" si="102"/>
        <v>2.2045218161639961</v>
      </c>
      <c r="EG65" s="10">
        <f t="shared" si="103"/>
        <v>9.3809438985701959E-2</v>
      </c>
      <c r="EH65" s="10">
        <f t="shared" si="104"/>
        <v>8.572739501154917</v>
      </c>
      <c r="EI65" s="539">
        <f t="shared" si="105"/>
        <v>201.45937827714056</v>
      </c>
      <c r="EJ65" s="19">
        <f t="shared" si="106"/>
        <v>2.2289122703002784</v>
      </c>
      <c r="EK65" s="10">
        <f t="shared" si="107"/>
        <v>9.4847330651075673E-2</v>
      </c>
      <c r="EL65" s="10">
        <f t="shared" si="108"/>
        <v>8.667586831805993</v>
      </c>
      <c r="EM65" s="539">
        <f t="shared" si="109"/>
        <v>203.68829054744083</v>
      </c>
      <c r="EN65" s="19">
        <f t="shared" si="110"/>
        <v>2.2535725762695584</v>
      </c>
      <c r="EO65" s="10">
        <f t="shared" si="111"/>
        <v>9.58967053731727E-2</v>
      </c>
      <c r="EP65" s="10">
        <f t="shared" si="112"/>
        <v>8.7634835371791659</v>
      </c>
      <c r="EQ65" s="539">
        <f t="shared" si="113"/>
        <v>205.94186312371039</v>
      </c>
      <c r="ER65" s="19">
        <f t="shared" si="114"/>
        <v>2.2785057196665832</v>
      </c>
      <c r="ES65" s="10">
        <f t="shared" si="115"/>
        <v>9.6957690198578014E-2</v>
      </c>
      <c r="ET65" s="10">
        <f t="shared" si="116"/>
        <v>8.8604412273777431</v>
      </c>
      <c r="EU65" s="539">
        <f t="shared" si="117"/>
        <v>208.22036884337697</v>
      </c>
      <c r="EV65" s="19">
        <f t="shared" si="118"/>
        <v>2.3037147191182132</v>
      </c>
      <c r="EW65" s="10">
        <f t="shared" si="119"/>
        <v>9.8030413579498432E-2</v>
      </c>
      <c r="EX65" s="10">
        <f t="shared" si="120"/>
        <v>8.9584716409572422</v>
      </c>
      <c r="EY65" s="539">
        <f t="shared" si="121"/>
        <v>210.52408356249521</v>
      </c>
      <c r="EZ65" s="19">
        <f t="shared" si="122"/>
        <v>2.329202626648883</v>
      </c>
      <c r="FA65" s="10">
        <f t="shared" si="123"/>
        <v>9.911500538931417E-2</v>
      </c>
      <c r="FB65" s="10">
        <f t="shared" si="124"/>
        <v>9.0575866463465573</v>
      </c>
      <c r="FC65" s="539">
        <f t="shared" si="125"/>
        <v>212.85328618914409</v>
      </c>
      <c r="FD65" s="19">
        <f t="shared" si="126"/>
        <v>2.354972528050105</v>
      </c>
      <c r="FE65" s="10">
        <f t="shared" si="127"/>
        <v>0.10021159693830234</v>
      </c>
      <c r="FF65" s="10">
        <f t="shared" si="128"/>
        <v>9.1577982432848604</v>
      </c>
      <c r="FG65" s="539">
        <f t="shared" si="129"/>
        <v>215.20825871719421</v>
      </c>
      <c r="FH65" s="19">
        <f t="shared" si="130"/>
        <v>2.381027543254064</v>
      </c>
      <c r="FI65" s="10">
        <f t="shared" si="131"/>
        <v>0.10132032098953464</v>
      </c>
      <c r="FJ65" s="10">
        <f t="shared" si="132"/>
        <v>9.2591185642743952</v>
      </c>
      <c r="FK65" s="539">
        <f t="shared" si="133"/>
        <v>217.58928626044829</v>
      </c>
      <c r="FL65" s="19">
        <f t="shared" si="134"/>
        <v>2.4073708267113427</v>
      </c>
      <c r="FM65" s="10">
        <f t="shared" si="135"/>
        <v>0.10244131177495075</v>
      </c>
      <c r="FN65" s="10">
        <f t="shared" si="136"/>
        <v>9.3615598760493466</v>
      </c>
      <c r="FO65" s="539">
        <f t="shared" si="137"/>
        <v>219.99665708715963</v>
      </c>
      <c r="FP65" s="19">
        <f t="shared" si="138"/>
        <v>2.4340055677728301</v>
      </c>
      <c r="FQ65" s="10">
        <f t="shared" si="139"/>
        <v>0.10357470501160979</v>
      </c>
      <c r="FR65" s="10">
        <f t="shared" si="140"/>
        <v>9.4651345810609566</v>
      </c>
      <c r="FS65" s="539">
        <f t="shared" si="141"/>
        <v>222.43066265493249</v>
      </c>
      <c r="FT65" s="19">
        <f t="shared" si="142"/>
        <v>2.4609349910758489</v>
      </c>
      <c r="FU65" s="10">
        <f t="shared" si="143"/>
        <v>0.10472063791812122</v>
      </c>
      <c r="FV65" s="10">
        <f t="shared" si="144"/>
        <v>9.5698552189790771</v>
      </c>
      <c r="FW65" s="539">
        <f t="shared" si="145"/>
        <v>224.89159764600831</v>
      </c>
      <c r="FX65" s="19">
        <f t="shared" si="146"/>
        <v>2.4881623569345601</v>
      </c>
      <c r="FY65" s="10">
        <f t="shared" si="147"/>
        <v>0.10587924923125788</v>
      </c>
      <c r="FZ65" s="10">
        <f t="shared" si="148"/>
        <v>9.6757344682103348</v>
      </c>
      <c r="GA65" s="539">
        <f t="shared" si="149"/>
        <v>227.37976000294287</v>
      </c>
      <c r="GB65" s="19">
        <f t="shared" si="150"/>
        <v>2.5156909617346872</v>
      </c>
      <c r="GC65" s="10">
        <f t="shared" si="151"/>
        <v>0.10705067922275265</v>
      </c>
      <c r="GD65" s="10">
        <f t="shared" si="152"/>
        <v>9.7827851474330867</v>
      </c>
      <c r="GE65" s="539">
        <f t="shared" si="153"/>
        <v>229.89545096467754</v>
      </c>
      <c r="GF65" s="19">
        <f t="shared" si="154"/>
        <v>2.5435241383326028</v>
      </c>
      <c r="GG65" s="10">
        <f t="shared" si="155"/>
        <v>0.10823506971628097</v>
      </c>
      <c r="GH65" s="10">
        <f t="shared" si="156"/>
        <v>9.891020217149368</v>
      </c>
      <c r="GI65" s="539">
        <f t="shared" si="157"/>
        <v>232.43897510301014</v>
      </c>
      <c r="GJ65" s="19">
        <f t="shared" si="158"/>
        <v>2.5716652564588358</v>
      </c>
      <c r="GK65" s="10">
        <f t="shared" si="159"/>
        <v>0.10943256410463131</v>
      </c>
      <c r="GL65" s="10">
        <f t="shared" si="160"/>
        <v>10.000452781253999</v>
      </c>
      <c r="GM65" s="539">
        <f t="shared" si="161"/>
        <v>235.01064035946899</v>
      </c>
      <c r="GN65" s="19">
        <f t="shared" si="162"/>
        <v>2.6001177231260399</v>
      </c>
      <c r="GO65" s="10">
        <f t="shared" si="163"/>
        <v>0.11064330736706553</v>
      </c>
      <c r="GP65" s="10">
        <f t="shared" si="164"/>
        <v>10.111096088621064</v>
      </c>
      <c r="GQ65" s="539">
        <f t="shared" si="165"/>
        <v>237.610758082595</v>
      </c>
      <c r="GR65" s="19">
        <f t="shared" si="166"/>
        <v>2.6288849830414769</v>
      </c>
      <c r="GS65" s="10">
        <f t="shared" si="167"/>
        <v>0.11186744608687135</v>
      </c>
      <c r="GT65" s="10">
        <f t="shared" si="168"/>
        <v>10.222963534707935</v>
      </c>
      <c r="GU65" s="539">
        <f t="shared" si="169"/>
        <v>240.23964306563647</v>
      </c>
      <c r="GV65" s="19">
        <f t="shared" si="170"/>
        <v>2.657970519024063</v>
      </c>
      <c r="GW65" s="10">
        <f t="shared" si="171"/>
        <v>0.11310512846910907</v>
      </c>
      <c r="GX65" s="10">
        <f t="shared" si="172"/>
        <v>10.336068663177043</v>
      </c>
      <c r="GY65" s="539">
        <f t="shared" si="173"/>
        <v>242.89761358466052</v>
      </c>
      <c r="GZ65" s="19">
        <f t="shared" si="174"/>
        <v>2.6873778524260312</v>
      </c>
      <c r="HA65" s="10">
        <f t="shared" si="175"/>
        <v>0.11435650435855452</v>
      </c>
      <c r="HB65" s="10">
        <f t="shared" si="176"/>
        <v>10.450425167535597</v>
      </c>
      <c r="HC65" s="539">
        <f t="shared" si="177"/>
        <v>245.58499143708653</v>
      </c>
      <c r="HD65" s="19">
        <f t="shared" si="178"/>
        <v>2.7171105435592553</v>
      </c>
      <c r="HE65" s="10">
        <f t="shared" si="179"/>
        <v>0.11562172525784065</v>
      </c>
      <c r="HF65" s="10">
        <f t="shared" si="180"/>
        <v>10.566046892793437</v>
      </c>
      <c r="HG65" s="539">
        <f t="shared" si="181"/>
        <v>248.30210198064577</v>
      </c>
      <c r="HH65" s="19">
        <f t="shared" si="182"/>
        <v>2.7471721921262939</v>
      </c>
      <c r="HI65" s="10">
        <f t="shared" si="183"/>
        <v>0.11690094434579974</v>
      </c>
      <c r="HJ65" s="10">
        <f t="shared" si="184"/>
        <v>10.682947837139237</v>
      </c>
      <c r="HK65" s="539">
        <f t="shared" si="185"/>
        <v>251.04927417277207</v>
      </c>
      <c r="HL65" s="19">
        <f t="shared" si="186"/>
        <v>2.7775664376562017</v>
      </c>
      <c r="HM65" s="10">
        <f t="shared" si="187"/>
        <v>0.11819431649600859</v>
      </c>
      <c r="HN65" s="10">
        <f t="shared" si="188"/>
        <v>10.801142153635245</v>
      </c>
      <c r="HO65" s="539">
        <f t="shared" si="189"/>
        <v>253.82684061042826</v>
      </c>
      <c r="HP65" s="19">
        <f t="shared" si="190"/>
        <v>2.8082969599451637</v>
      </c>
      <c r="HQ65" s="10">
        <f t="shared" si="191"/>
        <v>0.11950199829553888</v>
      </c>
      <c r="HR65" s="10">
        <f t="shared" si="192"/>
        <v>10.920644151930784</v>
      </c>
      <c r="HS65" s="539">
        <f t="shared" si="193"/>
        <v>256.63513757037344</v>
      </c>
      <c r="HT65" s="19">
        <f t="shared" si="194"/>
        <v>2.8393674795020041</v>
      </c>
      <c r="HU65" s="10">
        <f t="shared" si="195"/>
        <v>0.12082414806391507</v>
      </c>
      <c r="HV65" s="10">
        <f t="shared" si="196"/>
        <v>11.041468299994699</v>
      </c>
      <c r="HW65" s="539">
        <f t="shared" si="197"/>
        <v>259.47450504987546</v>
      </c>
      <c r="HX65" s="19">
        <f t="shared" si="198"/>
        <v>2.8707817579986221</v>
      </c>
      <c r="HY65" s="10">
        <f t="shared" si="199"/>
        <v>0.12216092587228179</v>
      </c>
      <c r="HZ65" s="10">
        <f t="shared" si="200"/>
        <v>11.16362922586698</v>
      </c>
      <c r="IA65" s="539">
        <f t="shared" si="201"/>
        <v>262.34528680787406</v>
      </c>
      <c r="IB65" s="19">
        <f t="shared" si="202"/>
        <v>2.9025435987254151</v>
      </c>
      <c r="IP65" s="11">
        <v>24</v>
      </c>
      <c r="IQ65" s="19">
        <f t="shared" si="358"/>
        <v>55.881856890292269</v>
      </c>
      <c r="IR65" s="20">
        <f t="shared" si="351"/>
        <v>5.6734389378451073</v>
      </c>
    </row>
    <row r="66" spans="1:252">
      <c r="A66" s="20"/>
      <c r="B66" s="9"/>
      <c r="C66" s="1223" t="s">
        <v>2347</v>
      </c>
      <c r="D66" s="47" t="s">
        <v>106</v>
      </c>
      <c r="E66" s="396">
        <f t="shared" si="333"/>
        <v>28.392600000000002</v>
      </c>
      <c r="F66" s="242">
        <f>7.2719+0.1207</f>
        <v>7.3925999999999998</v>
      </c>
      <c r="G66" s="48">
        <f>'Update Stock Prices'!S66</f>
        <v>1711853307.1381795</v>
      </c>
      <c r="H66" s="991">
        <f t="shared" si="27"/>
        <v>4.3184775057383316E-9</v>
      </c>
      <c r="I66" s="49">
        <f>'Update Stock Prices'!D66</f>
        <v>15.27</v>
      </c>
      <c r="J66" s="49">
        <f t="shared" ref="J66:J131" si="404">F66*I66</f>
        <v>112.885002</v>
      </c>
      <c r="K66" s="30">
        <v>62.38</v>
      </c>
      <c r="L66" s="49">
        <f t="shared" si="28"/>
        <v>50.505001999999998</v>
      </c>
      <c r="M66" s="50">
        <f t="shared" si="29"/>
        <v>0.80963453029817245</v>
      </c>
      <c r="N66" s="49">
        <f t="shared" si="30"/>
        <v>8.4381678976273573</v>
      </c>
      <c r="O66" s="48">
        <f t="shared" si="334"/>
        <v>21</v>
      </c>
      <c r="P66" s="49">
        <f>IF(($B$11-$B$12)-(O66*I66)&lt;0,0,($B$11-$B$12)-(O66*I66))</f>
        <v>0.33999999999997499</v>
      </c>
      <c r="Q66" s="30">
        <f>0.1327*4</f>
        <v>0.53080000000000005</v>
      </c>
      <c r="R66" s="49">
        <f t="shared" si="242"/>
        <v>1.0743304804928131E-2</v>
      </c>
      <c r="S66" s="49">
        <f t="shared" si="335"/>
        <v>3.9239920800000001</v>
      </c>
      <c r="T66" s="49">
        <f t="shared" si="399"/>
        <v>0.32699934000000003</v>
      </c>
      <c r="U66" s="49" t="s">
        <v>54</v>
      </c>
      <c r="V66" s="50">
        <f t="shared" si="336"/>
        <v>3.4760969220694174E-2</v>
      </c>
      <c r="W66" s="50">
        <f t="shared" si="7"/>
        <v>6.2904650208400123E-2</v>
      </c>
      <c r="X66" s="49">
        <f>12*((E66*Q66)/12-T66)</f>
        <v>11.146800000000002</v>
      </c>
      <c r="Y66" s="49">
        <f t="shared" si="32"/>
        <v>0.98099802000000014</v>
      </c>
      <c r="Z66" s="860">
        <f t="shared" si="337"/>
        <v>0</v>
      </c>
      <c r="AA66" s="860">
        <f t="shared" si="338"/>
        <v>107.67899005275055</v>
      </c>
      <c r="AB66" s="49">
        <f t="shared" si="339"/>
        <v>1644.2581781055007</v>
      </c>
      <c r="AC66" s="48">
        <v>1</v>
      </c>
      <c r="AD66" s="47" t="str">
        <f t="shared" si="340"/>
        <v>HPQ</v>
      </c>
      <c r="AE66" s="49">
        <f t="shared" si="341"/>
        <v>112.885002</v>
      </c>
      <c r="AF66" s="50" t="e">
        <f t="shared" ref="AF66:AF97" si="405">(AE66/$AE$191)</f>
        <v>#REF!</v>
      </c>
      <c r="AG66" s="890" t="e">
        <f t="shared" si="332"/>
        <v>#REF!</v>
      </c>
      <c r="AH66" s="207" t="s">
        <v>1639</v>
      </c>
      <c r="AI66" s="240">
        <f t="shared" ref="AI66:AI97" si="406">(100*(AE66/$AI$147))^2</f>
        <v>2.8928160764562474E-2</v>
      </c>
      <c r="AJ66" s="11">
        <f t="shared" si="33"/>
        <v>3</v>
      </c>
      <c r="AK66" s="11">
        <v>1</v>
      </c>
      <c r="AL66" s="11"/>
      <c r="AM66" s="11"/>
      <c r="AN66" s="11"/>
      <c r="AO66" s="11"/>
      <c r="AP66" s="11"/>
      <c r="AQ66" s="11" t="str">
        <f>'Update Stock Prices'!Q66</f>
        <v>big</v>
      </c>
      <c r="AR66" s="11"/>
      <c r="AS66" s="11"/>
      <c r="AT66" s="176"/>
      <c r="AV66" s="660"/>
      <c r="AW66" s="236"/>
      <c r="AY66" s="19"/>
      <c r="AZ66" s="19"/>
      <c r="BA66" s="19"/>
      <c r="BB66" s="19"/>
      <c r="BC66" s="976">
        <v>2012</v>
      </c>
      <c r="BD66" s="19">
        <v>6267.74</v>
      </c>
      <c r="BE66" s="984"/>
      <c r="BF66" s="74"/>
      <c r="BS66" s="420" t="str">
        <f t="shared" si="37"/>
        <v>HPQ</v>
      </c>
      <c r="BT66" s="425">
        <f t="shared" si="38"/>
        <v>7.3925999999999998</v>
      </c>
      <c r="BU66" s="19">
        <f t="shared" si="39"/>
        <v>15.27</v>
      </c>
      <c r="BV66" s="19">
        <f t="shared" si="40"/>
        <v>112.885002</v>
      </c>
      <c r="BW66" s="539">
        <f t="shared" si="41"/>
        <v>0.53080000000000005</v>
      </c>
      <c r="BX66" s="19">
        <f t="shared" si="42"/>
        <v>3.9239920800000001</v>
      </c>
      <c r="BY66" s="10">
        <f t="shared" si="43"/>
        <v>0.25697394106090377</v>
      </c>
      <c r="BZ66" s="10">
        <f t="shared" si="44"/>
        <v>7.649573941060904</v>
      </c>
      <c r="CA66" s="539">
        <f t="shared" si="45"/>
        <v>116.80899408000001</v>
      </c>
      <c r="CB66" s="19">
        <f t="shared" si="46"/>
        <v>4.0603938479151278</v>
      </c>
      <c r="CC66" s="10">
        <f t="shared" si="47"/>
        <v>0.26590660431664231</v>
      </c>
      <c r="CD66" s="10">
        <f t="shared" si="48"/>
        <v>7.9154805453775463</v>
      </c>
      <c r="CE66" s="539">
        <f t="shared" si="49"/>
        <v>120.86938792791513</v>
      </c>
      <c r="CF66" s="19">
        <f t="shared" si="50"/>
        <v>4.2015370734864019</v>
      </c>
      <c r="CG66" s="10">
        <f t="shared" si="51"/>
        <v>0.27514977560487242</v>
      </c>
      <c r="CH66" s="10">
        <f t="shared" si="52"/>
        <v>8.1906303209824181</v>
      </c>
      <c r="CI66" s="539">
        <f t="shared" si="53"/>
        <v>125.07092500140152</v>
      </c>
      <c r="CJ66" s="19">
        <f t="shared" si="54"/>
        <v>4.347586574377468</v>
      </c>
      <c r="CK66" s="10">
        <f t="shared" si="55"/>
        <v>0.28471424848575427</v>
      </c>
      <c r="CL66" s="10">
        <f t="shared" si="56"/>
        <v>8.4753445694681719</v>
      </c>
      <c r="CM66" s="539">
        <f t="shared" si="57"/>
        <v>129.41851157577898</v>
      </c>
      <c r="CN66" s="19">
        <f t="shared" si="58"/>
        <v>4.4987128974737063</v>
      </c>
      <c r="CO66" s="10">
        <f t="shared" si="59"/>
        <v>0.29461119171406069</v>
      </c>
      <c r="CP66" s="10">
        <f t="shared" si="60"/>
        <v>8.7699557611822332</v>
      </c>
      <c r="CQ66" s="539">
        <f t="shared" si="61"/>
        <v>133.9172244732527</v>
      </c>
      <c r="CR66" s="19">
        <f t="shared" si="62"/>
        <v>4.6550925180355298</v>
      </c>
      <c r="CS66" s="10">
        <f t="shared" si="63"/>
        <v>0.30485216228130518</v>
      </c>
      <c r="CT66" s="10">
        <f t="shared" si="64"/>
        <v>9.0748079234635384</v>
      </c>
      <c r="CU66" s="539">
        <f t="shared" si="65"/>
        <v>138.57231699128823</v>
      </c>
      <c r="CV66" s="19">
        <f t="shared" si="66"/>
        <v>4.8169080457744462</v>
      </c>
      <c r="CW66" s="10">
        <f t="shared" si="67"/>
        <v>0.31544911891122768</v>
      </c>
      <c r="CX66" s="10">
        <f t="shared" si="68"/>
        <v>9.3902570423747669</v>
      </c>
      <c r="CY66" s="539">
        <f t="shared" si="69"/>
        <v>143.38922503706269</v>
      </c>
      <c r="CZ66" s="19">
        <f t="shared" si="70"/>
        <v>4.9843484380925265</v>
      </c>
      <c r="DA66" s="10">
        <f t="shared" si="71"/>
        <v>0.32641443602439596</v>
      </c>
      <c r="DB66" s="10">
        <f t="shared" si="72"/>
        <v>9.7166714783991637</v>
      </c>
      <c r="DC66" s="539">
        <f t="shared" si="73"/>
        <v>148.37357347515521</v>
      </c>
      <c r="DD66" s="19">
        <f t="shared" si="74"/>
        <v>5.157609220734277</v>
      </c>
      <c r="DE66" s="10">
        <f t="shared" si="75"/>
        <v>0.33776091818823034</v>
      </c>
      <c r="DF66" s="10">
        <f t="shared" si="76"/>
        <v>10.054432396587394</v>
      </c>
      <c r="DG66" s="539">
        <f t="shared" si="77"/>
        <v>153.5311826958895</v>
      </c>
      <c r="DH66" s="19">
        <f t="shared" si="78"/>
        <v>5.3368927161085891</v>
      </c>
      <c r="DI66" s="10">
        <f t="shared" si="79"/>
        <v>0.34950181506932476</v>
      </c>
      <c r="DJ66" s="10">
        <f t="shared" si="80"/>
        <v>10.403934211656718</v>
      </c>
      <c r="DK66" s="539">
        <f t="shared" si="81"/>
        <v>158.86807541199809</v>
      </c>
      <c r="DL66" s="19">
        <f t="shared" si="82"/>
        <v>5.5224082795473866</v>
      </c>
      <c r="DM66" s="10">
        <f t="shared" si="83"/>
        <v>0.3616508369055263</v>
      </c>
      <c r="DN66" s="10">
        <f t="shared" si="84"/>
        <v>10.765585048562246</v>
      </c>
      <c r="DO66" s="539">
        <f t="shared" si="85"/>
        <v>164.39048369154548</v>
      </c>
      <c r="DP66" s="19">
        <f t="shared" si="86"/>
        <v>5.7143725437768405</v>
      </c>
      <c r="DQ66" s="10">
        <f t="shared" si="87"/>
        <v>0.37422217051583762</v>
      </c>
      <c r="DR66" s="10">
        <f t="shared" si="88"/>
        <v>11.139807219078083</v>
      </c>
      <c r="DS66" s="539">
        <f t="shared" si="89"/>
        <v>170.10485623532233</v>
      </c>
      <c r="DT66" s="19">
        <f t="shared" si="90"/>
        <v>5.9130096718866474</v>
      </c>
      <c r="DU66" s="10">
        <f t="shared" si="91"/>
        <v>0.38723049586684005</v>
      </c>
      <c r="DV66" s="10">
        <f t="shared" si="92"/>
        <v>11.527037714944923</v>
      </c>
      <c r="DW66" s="539">
        <f t="shared" si="93"/>
        <v>176.01786590720897</v>
      </c>
      <c r="DX66" s="19">
        <f t="shared" si="94"/>
        <v>6.1185516190927656</v>
      </c>
      <c r="DY66" s="10">
        <f t="shared" si="95"/>
        <v>0.40069100321498141</v>
      </c>
      <c r="DZ66" s="10">
        <f t="shared" si="96"/>
        <v>11.927728718159905</v>
      </c>
      <c r="EA66" s="539">
        <f t="shared" si="97"/>
        <v>182.13641752630176</v>
      </c>
      <c r="EB66" s="19">
        <f t="shared" si="98"/>
        <v>6.3312384035992784</v>
      </c>
      <c r="EC66" s="10">
        <f t="shared" si="99"/>
        <v>0.41461941084474646</v>
      </c>
      <c r="ED66" s="10">
        <f t="shared" si="100"/>
        <v>12.342348129004652</v>
      </c>
      <c r="EE66" s="539">
        <f t="shared" si="101"/>
        <v>188.46765592990101</v>
      </c>
      <c r="EF66" s="19">
        <f t="shared" si="102"/>
        <v>6.5513183868756695</v>
      </c>
      <c r="EG66" s="10">
        <f t="shared" si="103"/>
        <v>0.42903198342342302</v>
      </c>
      <c r="EH66" s="10">
        <f t="shared" si="104"/>
        <v>12.771380112428075</v>
      </c>
      <c r="EI66" s="539">
        <f t="shared" si="105"/>
        <v>195.01897431677671</v>
      </c>
      <c r="EJ66" s="19">
        <f t="shared" si="106"/>
        <v>6.779048563676823</v>
      </c>
      <c r="EK66" s="10">
        <f t="shared" si="107"/>
        <v>0.44394555099389804</v>
      </c>
      <c r="EL66" s="10">
        <f t="shared" si="108"/>
        <v>13.215325663421973</v>
      </c>
      <c r="EM66" s="539">
        <f t="shared" si="109"/>
        <v>201.79802288045352</v>
      </c>
      <c r="EN66" s="19">
        <f t="shared" si="110"/>
        <v>7.0146948621443839</v>
      </c>
      <c r="EO66" s="10">
        <f t="shared" si="111"/>
        <v>0.45937752862766101</v>
      </c>
      <c r="EP66" s="10">
        <f t="shared" si="112"/>
        <v>13.674703192049634</v>
      </c>
      <c r="EQ66" s="539">
        <f t="shared" si="113"/>
        <v>208.8127177425979</v>
      </c>
      <c r="ER66" s="19">
        <f t="shared" si="114"/>
        <v>7.2585324543399468</v>
      </c>
      <c r="ES66" s="10">
        <f t="shared" si="115"/>
        <v>0.47534593676096576</v>
      </c>
      <c r="ET66" s="10">
        <f t="shared" si="116"/>
        <v>14.150049128810601</v>
      </c>
      <c r="EU66" s="539">
        <f t="shared" si="117"/>
        <v>216.07125019693785</v>
      </c>
      <c r="EV66" s="19">
        <f t="shared" si="118"/>
        <v>7.5108460775726673</v>
      </c>
      <c r="EW66" s="10">
        <f t="shared" si="119"/>
        <v>0.4918694222378957</v>
      </c>
      <c r="EX66" s="10">
        <f t="shared" si="120"/>
        <v>14.641918551048496</v>
      </c>
      <c r="EY66" s="539">
        <f t="shared" si="121"/>
        <v>223.58209627451052</v>
      </c>
      <c r="EZ66" s="19">
        <f t="shared" si="122"/>
        <v>7.7719303668965427</v>
      </c>
      <c r="FA66" s="10">
        <f t="shared" si="123"/>
        <v>0.50896728008490788</v>
      </c>
      <c r="FB66" s="10">
        <f t="shared" si="124"/>
        <v>15.150885831133404</v>
      </c>
      <c r="FC66" s="539">
        <f t="shared" si="125"/>
        <v>231.35402664140707</v>
      </c>
      <c r="FD66" s="19">
        <f t="shared" si="126"/>
        <v>8.042090199165612</v>
      </c>
      <c r="FE66" s="10">
        <f t="shared" si="127"/>
        <v>0.52665947604227981</v>
      </c>
      <c r="FF66" s="10">
        <f t="shared" si="128"/>
        <v>15.677545307175684</v>
      </c>
      <c r="FG66" s="539">
        <f t="shared" si="129"/>
        <v>239.39611684057269</v>
      </c>
      <c r="FH66" s="19">
        <f t="shared" si="130"/>
        <v>8.3216410490488535</v>
      </c>
      <c r="FI66" s="10">
        <f t="shared" si="131"/>
        <v>0.54496666987877229</v>
      </c>
      <c r="FJ66" s="10">
        <f t="shared" si="132"/>
        <v>16.222511977054456</v>
      </c>
      <c r="FK66" s="539">
        <f t="shared" si="133"/>
        <v>247.71775788962154</v>
      </c>
      <c r="FL66" s="19">
        <f t="shared" si="134"/>
        <v>8.6109093574205051</v>
      </c>
      <c r="FM66" s="10">
        <f t="shared" si="135"/>
        <v>0.56391023951673247</v>
      </c>
      <c r="FN66" s="10">
        <f t="shared" si="136"/>
        <v>16.786422216571189</v>
      </c>
      <c r="FO66" s="539">
        <f t="shared" si="137"/>
        <v>256.32866724704206</v>
      </c>
      <c r="FP66" s="19">
        <f t="shared" si="138"/>
        <v>8.9102329125559887</v>
      </c>
      <c r="FQ66" s="10">
        <f t="shared" si="139"/>
        <v>0.58351230599580806</v>
      </c>
      <c r="FR66" s="10">
        <f t="shared" si="140"/>
        <v>17.369934522566997</v>
      </c>
      <c r="FS66" s="539">
        <f t="shared" si="141"/>
        <v>265.23890015959802</v>
      </c>
      <c r="FT66" s="19">
        <f t="shared" si="142"/>
        <v>9.2199612445785633</v>
      </c>
      <c r="FU66" s="10">
        <f t="shared" si="143"/>
        <v>0.60379575930442464</v>
      </c>
      <c r="FV66" s="10">
        <f t="shared" si="144"/>
        <v>17.973730281871422</v>
      </c>
      <c r="FW66" s="539">
        <f t="shared" si="145"/>
        <v>274.45886140417662</v>
      </c>
      <c r="FX66" s="19">
        <f t="shared" si="146"/>
        <v>9.5404560336173514</v>
      </c>
      <c r="FY66" s="10">
        <f t="shared" si="147"/>
        <v>0.62478428510919137</v>
      </c>
      <c r="FZ66" s="10">
        <f t="shared" si="148"/>
        <v>18.598514566980612</v>
      </c>
      <c r="GA66" s="539">
        <f t="shared" si="149"/>
        <v>283.99931743779393</v>
      </c>
      <c r="GB66" s="19">
        <f t="shared" si="150"/>
        <v>9.8720915321533091</v>
      </c>
      <c r="GC66" s="10">
        <f t="shared" si="151"/>
        <v>0.64650239241344531</v>
      </c>
      <c r="GD66" s="10">
        <f t="shared" si="152"/>
        <v>19.245016959394057</v>
      </c>
      <c r="GE66" s="539">
        <f t="shared" si="153"/>
        <v>293.87140896994725</v>
      </c>
      <c r="GF66" s="19">
        <f t="shared" si="154"/>
        <v>10.215255002046366</v>
      </c>
      <c r="GG66" s="10">
        <f t="shared" si="155"/>
        <v>0.66897544217723415</v>
      </c>
      <c r="GH66" s="10">
        <f t="shared" si="156"/>
        <v>19.913992401571292</v>
      </c>
      <c r="GI66" s="539">
        <f t="shared" si="157"/>
        <v>304.08666397199363</v>
      </c>
      <c r="GJ66" s="19">
        <f t="shared" si="158"/>
        <v>10.570347166754043</v>
      </c>
      <c r="GK66" s="10">
        <f t="shared" si="159"/>
        <v>0.69222967693215742</v>
      </c>
      <c r="GL66" s="10">
        <f t="shared" si="160"/>
        <v>20.60622207850345</v>
      </c>
      <c r="GM66" s="539">
        <f t="shared" si="161"/>
        <v>314.65701113874769</v>
      </c>
      <c r="GN66" s="19">
        <f t="shared" si="162"/>
        <v>10.937782679269633</v>
      </c>
      <c r="GO66" s="10">
        <f t="shared" si="163"/>
        <v>0.71629225142564723</v>
      </c>
      <c r="GP66" s="10">
        <f t="shared" si="164"/>
        <v>21.322514329929096</v>
      </c>
      <c r="GQ66" s="539">
        <f t="shared" si="165"/>
        <v>325.59479381801731</v>
      </c>
      <c r="GR66" s="19">
        <f t="shared" si="166"/>
        <v>11.317990606326365</v>
      </c>
      <c r="GS66" s="10">
        <f t="shared" si="167"/>
        <v>0.74119126433047577</v>
      </c>
      <c r="GT66" s="10">
        <f t="shared" si="168"/>
        <v>22.06370559425957</v>
      </c>
      <c r="GU66" s="539">
        <f t="shared" si="169"/>
        <v>336.91278442434361</v>
      </c>
      <c r="GV66" s="19">
        <f t="shared" si="170"/>
        <v>11.711414929432982</v>
      </c>
      <c r="GW66" s="10">
        <f t="shared" si="171"/>
        <v>0.7669557910565149</v>
      </c>
      <c r="GX66" s="10">
        <f t="shared" si="172"/>
        <v>22.830661385316084</v>
      </c>
      <c r="GY66" s="539">
        <f t="shared" si="173"/>
        <v>348.62419935377659</v>
      </c>
      <c r="GZ66" s="19">
        <f t="shared" si="174"/>
        <v>12.118515063325779</v>
      </c>
      <c r="HA66" s="10">
        <f t="shared" si="175"/>
        <v>0.7936159177030635</v>
      </c>
      <c r="HB66" s="10">
        <f t="shared" si="176"/>
        <v>23.624277303019149</v>
      </c>
      <c r="HC66" s="539">
        <f t="shared" si="177"/>
        <v>360.74271441710238</v>
      </c>
      <c r="HD66" s="19">
        <f t="shared" si="178"/>
        <v>12.539766392442566</v>
      </c>
      <c r="HE66" s="10">
        <f t="shared" si="179"/>
        <v>0.8212027761913927</v>
      </c>
      <c r="HF66" s="10">
        <f t="shared" si="180"/>
        <v>24.44548007921054</v>
      </c>
      <c r="HG66" s="539">
        <f t="shared" si="181"/>
        <v>373.28248080954495</v>
      </c>
      <c r="HH66" s="19">
        <f t="shared" si="182"/>
        <v>12.975660826044956</v>
      </c>
      <c r="HI66" s="10">
        <f t="shared" si="183"/>
        <v>0.8497485806185302</v>
      </c>
      <c r="HJ66" s="10">
        <f t="shared" si="184"/>
        <v>25.295228659829071</v>
      </c>
      <c r="HK66" s="539">
        <f t="shared" si="185"/>
        <v>386.25814163558988</v>
      </c>
      <c r="HL66" s="19">
        <f t="shared" si="186"/>
        <v>13.426707372637273</v>
      </c>
      <c r="HM66" s="10">
        <f t="shared" si="187"/>
        <v>0.8792866648747395</v>
      </c>
      <c r="HN66" s="10">
        <f t="shared" si="188"/>
        <v>26.174515324703812</v>
      </c>
      <c r="HO66" s="539">
        <f t="shared" si="189"/>
        <v>399.68484900822722</v>
      </c>
      <c r="HP66" s="19">
        <f t="shared" si="190"/>
        <v>13.893432734352785</v>
      </c>
      <c r="HQ66" s="10">
        <f t="shared" si="191"/>
        <v>0.90985152156861726</v>
      </c>
      <c r="HR66" s="10">
        <f t="shared" si="192"/>
        <v>27.084366846272427</v>
      </c>
      <c r="HS66" s="539">
        <f t="shared" si="193"/>
        <v>413.57828174257997</v>
      </c>
      <c r="HT66" s="19">
        <f t="shared" si="194"/>
        <v>14.376381922001405</v>
      </c>
      <c r="HU66" s="10">
        <f t="shared" si="195"/>
        <v>0.94147884230526557</v>
      </c>
      <c r="HV66" s="10">
        <f t="shared" si="196"/>
        <v>28.025845688577693</v>
      </c>
      <c r="HW66" s="539">
        <f t="shared" si="197"/>
        <v>427.95466366458135</v>
      </c>
      <c r="HX66" s="19">
        <f t="shared" si="198"/>
        <v>14.876118891497041</v>
      </c>
      <c r="HY66" s="10">
        <f t="shared" si="199"/>
        <v>0.97420555936457376</v>
      </c>
      <c r="HZ66" s="10">
        <f t="shared" si="200"/>
        <v>29.000051247942267</v>
      </c>
      <c r="IA66" s="539">
        <f t="shared" si="201"/>
        <v>442.83078255607842</v>
      </c>
      <c r="IB66" s="19">
        <f t="shared" si="202"/>
        <v>15.393227202407756</v>
      </c>
      <c r="IP66" s="11">
        <v>25</v>
      </c>
      <c r="IQ66" s="19">
        <f t="shared" si="358"/>
        <v>60.352405441515657</v>
      </c>
      <c r="IR66" s="20">
        <f t="shared" si="351"/>
        <v>5.5702855026115596</v>
      </c>
    </row>
    <row r="67" spans="1:252">
      <c r="A67" s="20"/>
      <c r="B67" s="9"/>
      <c r="C67" s="1223" t="s">
        <v>2348</v>
      </c>
      <c r="D67" s="47" t="s">
        <v>77</v>
      </c>
      <c r="E67" s="396">
        <f t="shared" si="333"/>
        <v>43.804000000000002</v>
      </c>
      <c r="F67" s="242">
        <v>29.803999999999998</v>
      </c>
      <c r="G67" s="48">
        <f>'Update Stock Prices'!S67</f>
        <v>209986000.93327111</v>
      </c>
      <c r="H67" s="991">
        <f t="shared" si="27"/>
        <v>1.4193327111111112E-7</v>
      </c>
      <c r="I67" s="49">
        <f>'Update Stock Prices'!D67</f>
        <v>21.43</v>
      </c>
      <c r="J67" s="49">
        <f t="shared" si="404"/>
        <v>638.69971999999996</v>
      </c>
      <c r="K67" s="30">
        <v>466.71</v>
      </c>
      <c r="L67" s="49">
        <f t="shared" si="28"/>
        <v>171.98971999999998</v>
      </c>
      <c r="M67" s="50">
        <f t="shared" si="29"/>
        <v>0.3685151807332176</v>
      </c>
      <c r="N67" s="49">
        <f t="shared" si="30"/>
        <v>15.659307475506644</v>
      </c>
      <c r="O67" s="48">
        <f t="shared" si="334"/>
        <v>14</v>
      </c>
      <c r="P67" s="49">
        <f>IF(($B$11-$B$12)-(O67*I67)&lt;0,0,($B$11-$B$12)-(O67*I67))</f>
        <v>20.990000000000009</v>
      </c>
      <c r="Q67" s="30">
        <f>0.22*4</f>
        <v>0.88</v>
      </c>
      <c r="R67" s="49">
        <f t="shared" si="242"/>
        <v>7.180703627652292E-2</v>
      </c>
      <c r="S67" s="49">
        <f t="shared" si="335"/>
        <v>26.227519999999998</v>
      </c>
      <c r="T67" s="49">
        <f t="shared" si="399"/>
        <v>2.1856266666666664</v>
      </c>
      <c r="U67" s="49" t="s">
        <v>54</v>
      </c>
      <c r="V67" s="50">
        <f t="shared" si="336"/>
        <v>4.1063929071395243E-2</v>
      </c>
      <c r="W67" s="50">
        <f>S67/K67</f>
        <v>5.6196610314756486E-2</v>
      </c>
      <c r="X67" s="49">
        <f>12*((E67*Q67)/12-T67)</f>
        <v>12.320000000000002</v>
      </c>
      <c r="Y67" s="49">
        <f t="shared" si="32"/>
        <v>6.5568799999999996</v>
      </c>
      <c r="Z67" s="860">
        <f t="shared" si="337"/>
        <v>0</v>
      </c>
      <c r="AA67" s="860">
        <f t="shared" si="338"/>
        <v>67.605090909090904</v>
      </c>
      <c r="AB67" s="49">
        <f t="shared" si="339"/>
        <v>1448.777098181818</v>
      </c>
      <c r="AC67" s="48">
        <v>1</v>
      </c>
      <c r="AD67" s="47" t="str">
        <f t="shared" si="340"/>
        <v>HRB</v>
      </c>
      <c r="AE67" s="49">
        <f t="shared" si="341"/>
        <v>638.69971999999996</v>
      </c>
      <c r="AF67" s="50" t="e">
        <f t="shared" si="405"/>
        <v>#REF!</v>
      </c>
      <c r="AG67" s="890" t="e">
        <f t="shared" si="332"/>
        <v>#REF!</v>
      </c>
      <c r="AH67" s="207" t="s">
        <v>78</v>
      </c>
      <c r="AI67" s="240">
        <f t="shared" si="406"/>
        <v>0.92606566785078626</v>
      </c>
      <c r="AJ67" s="11">
        <f t="shared" si="33"/>
        <v>3</v>
      </c>
      <c r="AK67" s="11"/>
      <c r="AL67" s="11"/>
      <c r="AM67" s="11"/>
      <c r="AN67" s="11"/>
      <c r="AO67" s="11"/>
      <c r="AP67" s="11"/>
      <c r="AQ67" s="11" t="str">
        <f>'Update Stock Prices'!Q67</f>
        <v>mid</v>
      </c>
      <c r="AR67" s="11"/>
      <c r="AS67" s="11"/>
      <c r="AT67" s="176"/>
      <c r="AV67" s="660" t="s">
        <v>1707</v>
      </c>
      <c r="AW67" s="236" t="s">
        <v>1707</v>
      </c>
      <c r="AY67" s="19"/>
      <c r="AZ67" s="19"/>
      <c r="BA67" s="19"/>
      <c r="BB67" s="19"/>
      <c r="BC67" s="976">
        <v>2013</v>
      </c>
      <c r="BD67" s="19">
        <v>12012.24</v>
      </c>
      <c r="BE67" s="984"/>
      <c r="BF67" s="74"/>
      <c r="BS67" s="420" t="str">
        <f t="shared" ref="BS67:BS100" si="407">D67</f>
        <v>HRB</v>
      </c>
      <c r="BT67" s="425">
        <f t="shared" ref="BT67:BT100" si="408">F67</f>
        <v>29.803999999999998</v>
      </c>
      <c r="BU67" s="19">
        <f t="shared" ref="BU67:BU100" si="409">I67</f>
        <v>21.43</v>
      </c>
      <c r="BV67" s="19">
        <f t="shared" ref="BV67:BV100" si="410">J67</f>
        <v>638.69971999999996</v>
      </c>
      <c r="BW67" s="539">
        <f t="shared" ref="BW67:BW100" si="411">Q67</f>
        <v>0.88</v>
      </c>
      <c r="BX67" s="19">
        <f t="shared" ref="BX67:BX100" si="412">BT67*BW67</f>
        <v>26.227519999999998</v>
      </c>
      <c r="BY67" s="10">
        <f t="shared" ref="BY67:BY100" si="413">BX67/BU67</f>
        <v>1.2238693420438638</v>
      </c>
      <c r="BZ67" s="10">
        <f t="shared" ref="BZ67:BZ100" si="414">BY67+BT67</f>
        <v>31.027869342043861</v>
      </c>
      <c r="CA67" s="539">
        <f t="shared" ref="CA67:CA100" si="415">BZ67*BU67</f>
        <v>664.92723999999987</v>
      </c>
      <c r="CB67" s="19">
        <f t="shared" ref="CB67:CB100" si="416">BZ67*BW67</f>
        <v>27.304525020998597</v>
      </c>
      <c r="CC67" s="10">
        <f t="shared" ref="CC67:CC100" si="417">CB67/BU67</f>
        <v>1.274126225898208</v>
      </c>
      <c r="CD67" s="10">
        <f t="shared" ref="CD67:CD100" si="418">BZ67+CC67</f>
        <v>32.301995567942072</v>
      </c>
      <c r="CE67" s="539">
        <f t="shared" ref="CE67:CE100" si="419">CD67*BU67</f>
        <v>692.23176502099864</v>
      </c>
      <c r="CF67" s="19">
        <f t="shared" ref="CF67:CF100" si="420">CD67*BW67</f>
        <v>28.425756099789023</v>
      </c>
      <c r="CG67" s="10">
        <f t="shared" ref="CG67:CG100" si="421">CF67/BU67</f>
        <v>1.3264468548664967</v>
      </c>
      <c r="CH67" s="10">
        <f t="shared" ref="CH67:CH100" si="422">CD67+CG67</f>
        <v>33.628442422808568</v>
      </c>
      <c r="CI67" s="539">
        <f t="shared" ref="CI67:CI100" si="423">CH67*BU67</f>
        <v>720.65752112078758</v>
      </c>
      <c r="CJ67" s="19">
        <f t="shared" ref="CJ67:CJ100" si="424">CH67*BW67</f>
        <v>29.593029332071541</v>
      </c>
      <c r="CK67" s="10">
        <f t="shared" ref="CK67:CK100" si="425">CJ67/BU67</f>
        <v>1.3809159744317099</v>
      </c>
      <c r="CL67" s="10">
        <f t="shared" ref="CL67:CL100" si="426">CH67+CK67</f>
        <v>35.009358397240277</v>
      </c>
      <c r="CM67" s="539">
        <f t="shared" ref="CM67:CM100" si="427">CL67*BU67</f>
        <v>750.2505504528591</v>
      </c>
      <c r="CN67" s="19">
        <f t="shared" ref="CN67:CN100" si="428">CL67*BW67</f>
        <v>30.808235389571443</v>
      </c>
      <c r="CO67" s="10">
        <f t="shared" ref="CO67:CO100" si="429">CN67/BU67</f>
        <v>1.4376218100593301</v>
      </c>
      <c r="CP67" s="10">
        <f t="shared" ref="CP67:CP100" si="430">CL67+CO67</f>
        <v>36.44698020729961</v>
      </c>
      <c r="CQ67" s="539">
        <f t="shared" ref="CQ67:CQ100" si="431">CP67*BU67</f>
        <v>781.05878584243067</v>
      </c>
      <c r="CR67" s="19">
        <f t="shared" ref="CR67:CR100" si="432">CP67*BW67</f>
        <v>32.073342582423656</v>
      </c>
      <c r="CS67" s="10">
        <f t="shared" ref="CS67:CS100" si="433">CR67/BU67</f>
        <v>1.4966562100990974</v>
      </c>
      <c r="CT67" s="10">
        <f t="shared" ref="CT67:CT100" si="434">CP67+CS67</f>
        <v>37.943636417398707</v>
      </c>
      <c r="CU67" s="539">
        <f t="shared" ref="CU67:CU100" si="435">CT67*BU67</f>
        <v>813.13212842485427</v>
      </c>
      <c r="CV67" s="19">
        <f t="shared" ref="CV67:CV100" si="436">CT67*BW67</f>
        <v>33.390400047310862</v>
      </c>
      <c r="CW67" s="10">
        <f t="shared" ref="CW67:CW100" si="437">CV67/BU67</f>
        <v>1.5581147945548699</v>
      </c>
      <c r="CX67" s="10">
        <f t="shared" ref="CX67:CX100" si="438">CT67+CW67</f>
        <v>39.501751211953575</v>
      </c>
      <c r="CY67" s="539">
        <f t="shared" ref="CY67:CY100" si="439">CX67*BU67</f>
        <v>846.52252847216505</v>
      </c>
      <c r="CZ67" s="19">
        <f t="shared" ref="CZ67:CZ100" si="440">CX67*BW67</f>
        <v>34.761541066519143</v>
      </c>
      <c r="DA67" s="10">
        <f t="shared" ref="DA67:DA100" si="441">CZ67/BU67</f>
        <v>1.6220971099635624</v>
      </c>
      <c r="DB67" s="10">
        <f t="shared" ref="DB67:DB100" si="442">CX67+DA67</f>
        <v>41.123848321917137</v>
      </c>
      <c r="DC67" s="539">
        <f t="shared" ref="DC67:DC100" si="443">DB67*BU67</f>
        <v>881.28406953868421</v>
      </c>
      <c r="DD67" s="19">
        <f t="shared" ref="DD67:DD100" si="444">DB67*BW67</f>
        <v>36.188986523287078</v>
      </c>
      <c r="DE67" s="10">
        <f t="shared" ref="DE67:DE100" si="445">DD67/BU67</f>
        <v>1.6887067906340214</v>
      </c>
      <c r="DF67" s="10">
        <f t="shared" ref="DF67:DF100" si="446">DB67+DE67</f>
        <v>42.812555112551159</v>
      </c>
      <c r="DG67" s="539">
        <f t="shared" ref="DG67:DG100" si="447">DF67*BU67</f>
        <v>917.47305606197131</v>
      </c>
      <c r="DH67" s="19">
        <f t="shared" ref="DH67:DH100" si="448">DF67*BW67</f>
        <v>37.675048499045019</v>
      </c>
      <c r="DI67" s="10">
        <f t="shared" ref="DI67:DI100" si="449">DH67/BU67</f>
        <v>1.7580517265070004</v>
      </c>
      <c r="DJ67" s="10">
        <f t="shared" ref="DJ67:DJ100" si="450">DF67+DI67</f>
        <v>44.570606839058158</v>
      </c>
      <c r="DK67" s="539">
        <f t="shared" ref="DK67:DK100" si="451">DJ67*BU67</f>
        <v>955.14810456101634</v>
      </c>
      <c r="DL67" s="19">
        <f t="shared" ref="DL67:DL100" si="452">DJ67*BW67</f>
        <v>39.222134018371179</v>
      </c>
      <c r="DM67" s="10">
        <f t="shared" ref="DM67:DM100" si="453">DL67/BU67</f>
        <v>1.8302442379081278</v>
      </c>
      <c r="DN67" s="10">
        <f t="shared" ref="DN67:DN100" si="454">DJ67+DM67</f>
        <v>46.400851076966283</v>
      </c>
      <c r="DO67" s="539">
        <f t="shared" ref="DO67:DO100" si="455">DN67*BU67</f>
        <v>994.37023857938743</v>
      </c>
      <c r="DP67" s="19">
        <f t="shared" ref="DP67:DP100" si="456">DN67*BW67</f>
        <v>40.83274894773033</v>
      </c>
      <c r="DQ67" s="10">
        <f t="shared" ref="DQ67:DQ100" si="457">DP67/BU67</f>
        <v>1.905401257476917</v>
      </c>
      <c r="DR67" s="10">
        <f t="shared" ref="DR67:DR100" si="458">DN67+DQ67</f>
        <v>48.306252334443201</v>
      </c>
      <c r="DS67" s="539">
        <f t="shared" ref="DS67:DS100" si="459">DR67*BU67</f>
        <v>1035.2029875271178</v>
      </c>
      <c r="DT67" s="19">
        <f t="shared" ref="DT67:DT100" si="460">DR67*BW67</f>
        <v>42.509502054310019</v>
      </c>
      <c r="DU67" s="10">
        <f t="shared" ref="DU67:DU100" si="461">DT67/BU67</f>
        <v>1.9836445195664965</v>
      </c>
      <c r="DV67" s="10">
        <f t="shared" ref="DV67:DV100" si="462">DR67+DU67</f>
        <v>50.289896854009697</v>
      </c>
      <c r="DW67" s="539">
        <f t="shared" ref="DW67:DW100" si="463">DV67*BU67</f>
        <v>1077.7124895814277</v>
      </c>
      <c r="DX67" s="19">
        <f t="shared" ref="DX67:DX100" si="464">DV67*BW67</f>
        <v>44.255109231528536</v>
      </c>
      <c r="DY67" s="10">
        <f t="shared" ref="DY67:DY100" si="465">DX67/BU67</f>
        <v>2.0651007574208369</v>
      </c>
      <c r="DZ67" s="10">
        <f t="shared" ref="DZ67:DZ100" si="466">DV67+DY67</f>
        <v>52.354997611430534</v>
      </c>
      <c r="EA67" s="539">
        <f t="shared" ref="EA67:EA100" si="467">DZ67*BU67</f>
        <v>1121.9675988129563</v>
      </c>
      <c r="EB67" s="19">
        <f t="shared" ref="EB67:EB100" si="468">DZ67*BW67</f>
        <v>46.072397898058867</v>
      </c>
      <c r="EC67" s="10">
        <f t="shared" ref="EC67:EC100" si="469">EB67/BU67</f>
        <v>2.1499019084488507</v>
      </c>
      <c r="ED67" s="10">
        <f t="shared" ref="ED67:ED100" si="470">DZ67+EC67</f>
        <v>54.504899519879388</v>
      </c>
      <c r="EE67" s="539">
        <f t="shared" ref="EE67:EE100" si="471">ED67*BU67</f>
        <v>1168.0399967110152</v>
      </c>
      <c r="EF67" s="19">
        <f t="shared" ref="EF67:EF100" si="472">ED67*BW67</f>
        <v>47.964311577493859</v>
      </c>
      <c r="EG67" s="10">
        <f t="shared" ref="EG67:EG100" si="473">EF67/BU67</f>
        <v>2.2381853279278516</v>
      </c>
      <c r="EH67" s="10">
        <f t="shared" ref="EH67:EH100" si="474">ED67+EG67</f>
        <v>56.743084847807239</v>
      </c>
      <c r="EI67" s="539">
        <f t="shared" ref="EI67:EI100" si="475">EH67*BU67</f>
        <v>1216.004308288509</v>
      </c>
      <c r="EJ67" s="19">
        <f t="shared" ref="EJ67:EJ100" si="476">EH67*BW67</f>
        <v>49.933914666070372</v>
      </c>
      <c r="EK67" s="10">
        <f t="shared" ref="EK67:EK100" si="477">EJ67/BU67</f>
        <v>2.3300940114825184</v>
      </c>
      <c r="EL67" s="10">
        <f t="shared" ref="EL67:EL100" si="478">EH67+EK67</f>
        <v>59.073178859289754</v>
      </c>
      <c r="EM67" s="539">
        <f t="shared" ref="EM67:EM100" si="479">EL67*BU67</f>
        <v>1265.9382229545795</v>
      </c>
      <c r="EN67" s="19">
        <f t="shared" ref="EN67:EN100" si="480">EL67*BW67</f>
        <v>51.984397396174984</v>
      </c>
      <c r="EO67" s="10">
        <f t="shared" ref="EO67:EO100" si="481">EN67/BU67</f>
        <v>2.4257768266997193</v>
      </c>
      <c r="EP67" s="10">
        <f t="shared" ref="EP67:EP100" si="482">EL67+EO67</f>
        <v>61.498955685989472</v>
      </c>
      <c r="EQ67" s="539">
        <f t="shared" ref="EQ67:EQ100" si="483">EP67*BU67</f>
        <v>1317.9226203507544</v>
      </c>
      <c r="ER67" s="19">
        <f t="shared" ref="ER67:ER100" si="484">EP67*BW67</f>
        <v>54.119081003670736</v>
      </c>
      <c r="ES67" s="10">
        <f t="shared" ref="ES67:ES100" si="485">ER67/BU67</f>
        <v>2.5253887542543509</v>
      </c>
      <c r="ET67" s="10">
        <f t="shared" ref="ET67:ET100" si="486">EP67+ES67</f>
        <v>64.024344440243823</v>
      </c>
      <c r="EU67" s="539">
        <f t="shared" ref="EU67:EU100" si="487">ET67*BU67</f>
        <v>1372.0417013544252</v>
      </c>
      <c r="EV67" s="19">
        <f t="shared" ref="EV67:EV100" si="488">ET67*BW67</f>
        <v>56.341423107414563</v>
      </c>
      <c r="EW67" s="10">
        <f t="shared" ref="EW67:EW100" si="489">EV67/BU67</f>
        <v>2.6290911389367504</v>
      </c>
      <c r="EX67" s="10">
        <f t="shared" ref="EX67:EX100" si="490">ET67+EW67</f>
        <v>66.653435579180567</v>
      </c>
      <c r="EY67" s="539">
        <f t="shared" ref="EY67:EY100" si="491">EX67*BU67</f>
        <v>1428.3831244618395</v>
      </c>
      <c r="EZ67" s="19">
        <f t="shared" ref="EZ67:EZ100" si="492">EX67*BW67</f>
        <v>58.655023309678896</v>
      </c>
      <c r="FA67" s="10">
        <f t="shared" ref="FA67:FA100" si="493">EZ67/BU67</f>
        <v>2.7370519509882825</v>
      </c>
      <c r="FB67" s="10">
        <f t="shared" ref="FB67:FB100" si="494">EX67+FA67</f>
        <v>69.390487530168855</v>
      </c>
      <c r="FC67" s="539">
        <f t="shared" ref="FC67:FC100" si="495">FB67*BU67</f>
        <v>1487.0381477715187</v>
      </c>
      <c r="FD67" s="19">
        <f t="shared" ref="FD67:FD100" si="496">FB67*BW67</f>
        <v>61.06362902654859</v>
      </c>
      <c r="FE67" s="10">
        <f t="shared" ref="FE67:FE100" si="497">FD67/BU67</f>
        <v>2.8494460581683896</v>
      </c>
      <c r="FF67" s="10">
        <f t="shared" ref="FF67:FF100" si="498">FB67+FE67</f>
        <v>72.239933588337237</v>
      </c>
      <c r="FG67" s="539">
        <f t="shared" ref="FG67:FG100" si="499">FF67*BU67</f>
        <v>1548.101776798067</v>
      </c>
      <c r="FH67" s="19">
        <f t="shared" ref="FH67:FH100" si="500">FF67*BW67</f>
        <v>63.571141557736766</v>
      </c>
      <c r="FI67" s="10">
        <f t="shared" ref="FI67:FI100" si="501">FH67/BU67</f>
        <v>2.966455508993783</v>
      </c>
      <c r="FJ67" s="10">
        <f t="shared" ref="FJ67:FJ100" si="502">FF67+FI67</f>
        <v>75.206389097331027</v>
      </c>
      <c r="FK67" s="539">
        <f t="shared" ref="FK67:FK100" si="503">FJ67*BU67</f>
        <v>1611.6729183558039</v>
      </c>
      <c r="FL67" s="19">
        <f t="shared" ref="FL67:FL100" si="504">FJ67*BW67</f>
        <v>66.181622405651311</v>
      </c>
      <c r="FM67" s="10">
        <f t="shared" ref="FM67:FM100" si="505">FL67/BU67</f>
        <v>3.0882698276085541</v>
      </c>
      <c r="FN67" s="10">
        <f t="shared" ref="FN67:FN100" si="506">FJ67+FM67</f>
        <v>78.294658924939583</v>
      </c>
      <c r="FO67" s="539">
        <f t="shared" ref="FO67:FO100" si="507">FN67*BU67</f>
        <v>1677.8545407614552</v>
      </c>
      <c r="FP67" s="19">
        <f t="shared" ref="FP67:FP100" si="508">FN67*BW67</f>
        <v>68.899299853946829</v>
      </c>
      <c r="FQ67" s="10">
        <f t="shared" ref="FQ67:FQ100" si="509">FP67/BU67</f>
        <v>3.2150863207628011</v>
      </c>
      <c r="FR67" s="10">
        <f t="shared" ref="FR67:FR100" si="510">FN67+FQ67</f>
        <v>81.509745245702391</v>
      </c>
      <c r="FS67" s="539">
        <f t="shared" ref="FS67:FS100" si="511">FR67*BU67</f>
        <v>1746.7538406154022</v>
      </c>
      <c r="FT67" s="19">
        <f t="shared" ref="FT67:FT100" si="512">FR67*BW67</f>
        <v>71.728575816218111</v>
      </c>
      <c r="FU67" s="10">
        <f t="shared" ref="FU67:FU100" si="513">FT67/BU67</f>
        <v>3.3471103973970187</v>
      </c>
      <c r="FV67" s="10">
        <f t="shared" ref="FV67:FV100" si="514">FR67+FU67</f>
        <v>84.856855643099408</v>
      </c>
      <c r="FW67" s="539">
        <f t="shared" ref="FW67:FW100" si="515">FV67*BU67</f>
        <v>1818.4824164316203</v>
      </c>
      <c r="FX67" s="19">
        <f t="shared" ref="FX67:FX100" si="516">FV67*BW67</f>
        <v>74.674032965927481</v>
      </c>
      <c r="FY67" s="10">
        <f t="shared" ref="FY67:FY100" si="517">FX67/BU67</f>
        <v>3.484555901349859</v>
      </c>
      <c r="FZ67" s="10">
        <f t="shared" ref="FZ67:FZ100" si="518">FV67+FY67</f>
        <v>88.341411544449272</v>
      </c>
      <c r="GA67" s="539">
        <f t="shared" ref="GA67:GA100" si="519">FZ67*BU67</f>
        <v>1893.1564493975479</v>
      </c>
      <c r="GB67" s="19">
        <f t="shared" ref="GB67:GB100" si="520">FZ67*BW67</f>
        <v>77.740442159115361</v>
      </c>
      <c r="GC67" s="10">
        <f t="shared" ref="GC67:GC100" si="521">GB67/BU67</f>
        <v>3.6276454577282018</v>
      </c>
      <c r="GD67" s="10">
        <f t="shared" ref="GD67:GD100" si="522">FZ67+GC67</f>
        <v>91.969057002177479</v>
      </c>
      <c r="GE67" s="539">
        <f t="shared" ref="GE67:GE100" si="523">GD67*BU67</f>
        <v>1970.8968915566634</v>
      </c>
      <c r="GF67" s="19">
        <f t="shared" ref="GF67:GF100" si="524">GD67*BW67</f>
        <v>80.932770161916181</v>
      </c>
      <c r="GG67" s="10">
        <f t="shared" ref="GG67:GG100" si="525">GF67/BU67</f>
        <v>3.7766108335005217</v>
      </c>
      <c r="GH67" s="10">
        <f t="shared" ref="GH67:GH100" si="526">GD67+GG67</f>
        <v>95.745667835678006</v>
      </c>
      <c r="GI67" s="539">
        <f t="shared" ref="GI67:GI100" si="527">GH67*BU67</f>
        <v>2051.8296617185797</v>
      </c>
      <c r="GJ67" s="19">
        <f t="shared" ref="GJ67:GJ100" si="528">GH67*BW67</f>
        <v>84.256187695396648</v>
      </c>
      <c r="GK67" s="10">
        <f t="shared" ref="GK67:GK100" si="529">GJ67/BU67</f>
        <v>3.9316933128976506</v>
      </c>
      <c r="GL67" s="10">
        <f t="shared" ref="GL67:GL100" si="530">GH67+GK67</f>
        <v>99.677361148575656</v>
      </c>
      <c r="GM67" s="539">
        <f t="shared" ref="GM67:GM100" si="531">GL67*BU67</f>
        <v>2136.0858494139761</v>
      </c>
      <c r="GN67" s="19">
        <f t="shared" ref="GN67:GN100" si="532">GL67*BW67</f>
        <v>87.716077810746583</v>
      </c>
      <c r="GO67" s="10">
        <f t="shared" ref="GO67:GO100" si="533">GN67/BU67</f>
        <v>4.0931440882289589</v>
      </c>
      <c r="GP67" s="10">
        <f t="shared" ref="GP67:GP100" si="534">GL67+GO67</f>
        <v>103.77050523680461</v>
      </c>
      <c r="GQ67" s="539">
        <f t="shared" ref="GQ67:GQ100" si="535">GP67*BU67</f>
        <v>2223.8019272247229</v>
      </c>
      <c r="GR67" s="19">
        <f t="shared" ref="GR67:GR100" si="536">GP67*BW67</f>
        <v>91.318044608388064</v>
      </c>
      <c r="GS67" s="10">
        <f t="shared" ref="GS67:GS100" si="537">GR67/BU67</f>
        <v>4.2612246667469931</v>
      </c>
      <c r="GT67" s="10">
        <f t="shared" ref="GT67:GT100" si="538">GP67+GS67</f>
        <v>108.03172990355161</v>
      </c>
      <c r="GU67" s="539">
        <f t="shared" ref="GU67:GU100" si="539">GT67*BU67</f>
        <v>2315.1199718331109</v>
      </c>
      <c r="GV67" s="19">
        <f t="shared" ref="GV67:GV100" si="540">GT67*BW67</f>
        <v>95.067922315125415</v>
      </c>
      <c r="GW67" s="10">
        <f t="shared" ref="GW67:GW100" si="541">GV67/BU67</f>
        <v>4.4362072942195718</v>
      </c>
      <c r="GX67" s="10">
        <f t="shared" ref="GX67:GX100" si="542">GT67+GW67</f>
        <v>112.46793719777118</v>
      </c>
      <c r="GY67" s="539">
        <f t="shared" ref="GY67:GY100" si="543">GX67*BU67</f>
        <v>2410.1878941482364</v>
      </c>
      <c r="GZ67" s="19">
        <f t="shared" ref="GZ67:GZ100" si="544">GX67*BW67</f>
        <v>98.971784734038636</v>
      </c>
      <c r="HA67" s="10">
        <f t="shared" ref="HA67:HA100" si="545">GZ67/BU67</f>
        <v>4.6183753958954101</v>
      </c>
      <c r="HB67" s="10">
        <f t="shared" ref="HB67:HB100" si="546">GX67+HA67</f>
        <v>117.08631259366659</v>
      </c>
      <c r="HC67" s="539">
        <f t="shared" ref="HC67:HC100" si="547">HB67*BU67</f>
        <v>2509.1596788822749</v>
      </c>
      <c r="HD67" s="19">
        <f t="shared" ref="HD67:HD100" si="548">HB67*BW67</f>
        <v>103.0359550824266</v>
      </c>
      <c r="HE67" s="10">
        <f t="shared" ref="HE67:HE100" si="549">HD67/BU67</f>
        <v>4.8080240355775361</v>
      </c>
      <c r="HF67" s="10">
        <f t="shared" ref="HF67:HF100" si="550">HB67+HE67</f>
        <v>121.89433662924412</v>
      </c>
      <c r="HG67" s="539">
        <f t="shared" ref="HG67:HG100" si="551">HF67*BU67</f>
        <v>2612.1956339647013</v>
      </c>
      <c r="HH67" s="19">
        <f t="shared" ref="HH67:HH100" si="552">HF67*BW67</f>
        <v>107.26701623373482</v>
      </c>
      <c r="HI67" s="10">
        <f t="shared" ref="HI67:HI100" si="553">HH67/BU67</f>
        <v>5.0054603935480548</v>
      </c>
      <c r="HJ67" s="10">
        <f t="shared" ref="HJ67:HJ100" si="554">HF67+HI67</f>
        <v>126.89979702279217</v>
      </c>
      <c r="HK67" s="539">
        <f t="shared" ref="HK67:HK100" si="555">HJ67*BU67</f>
        <v>2719.4626501984362</v>
      </c>
      <c r="HL67" s="19">
        <f t="shared" ref="HL67:HL100" si="556">HJ67*BW67</f>
        <v>111.67182138005711</v>
      </c>
      <c r="HM67" s="10">
        <f t="shared" ref="HM67:HM100" si="557">HL67/BU67</f>
        <v>5.2110042641183902</v>
      </c>
      <c r="HN67" s="10">
        <f t="shared" ref="HN67:HN100" si="558">HJ67+HM67</f>
        <v>132.11080128691057</v>
      </c>
      <c r="HO67" s="539">
        <f t="shared" ref="HO67:HO100" si="559">HN67*BU67</f>
        <v>2831.1344715784935</v>
      </c>
      <c r="HP67" s="19">
        <f t="shared" ref="HP67:HP100" si="560">HN67*BW67</f>
        <v>116.2575051324813</v>
      </c>
      <c r="HQ67" s="10">
        <f t="shared" ref="HQ67:HQ100" si="561">HP67/BU67</f>
        <v>5.4249885736108867</v>
      </c>
      <c r="HR67" s="10">
        <f t="shared" ref="HR67:HR100" si="562">HN67+HQ67</f>
        <v>137.53578986052145</v>
      </c>
      <c r="HS67" s="539">
        <f t="shared" ref="HS67:HS100" si="563">HR67*BU67</f>
        <v>2947.3919767109746</v>
      </c>
      <c r="HT67" s="19">
        <f t="shared" ref="HT67:HT100" si="564">HR67*BW67</f>
        <v>121.03149507725887</v>
      </c>
      <c r="HU67" s="10">
        <f t="shared" ref="HU67:HU100" si="565">HT67/BU67</f>
        <v>5.6477599196107731</v>
      </c>
      <c r="HV67" s="10">
        <f t="shared" ref="HV67:HV100" si="566">HR67+HU67</f>
        <v>143.18354978013221</v>
      </c>
      <c r="HW67" s="539">
        <f t="shared" ref="HW67:HW100" si="567">HV67*BU67</f>
        <v>3068.4234717882332</v>
      </c>
      <c r="HX67" s="19">
        <f t="shared" ref="HX67:HX100" si="568">HV67*BW67</f>
        <v>126.00152380651635</v>
      </c>
      <c r="HY67" s="10">
        <f t="shared" ref="HY67:HY100" si="569">HX67/BU67</f>
        <v>5.8796791323619386</v>
      </c>
      <c r="HZ67" s="10">
        <f t="shared" ref="HZ67:HZ100" si="570">HV67+HY67</f>
        <v>149.06322891249414</v>
      </c>
      <c r="IA67" s="539">
        <f t="shared" ref="IA67:IA100" si="571">HZ67*BU67</f>
        <v>3194.4249955947494</v>
      </c>
      <c r="IB67" s="19">
        <f t="shared" ref="IB67:IB100" si="572">HZ67*BW67</f>
        <v>131.17564144299484</v>
      </c>
      <c r="IP67" s="11">
        <v>26</v>
      </c>
      <c r="IQ67" s="19">
        <f t="shared" si="358"/>
        <v>65.180597876836913</v>
      </c>
      <c r="IR67" s="20">
        <f t="shared" si="351"/>
        <v>5.4690075843822585</v>
      </c>
    </row>
    <row r="68" spans="1:252">
      <c r="A68" s="11"/>
      <c r="B68" s="174"/>
      <c r="C68" s="1217" t="s">
        <v>2347</v>
      </c>
      <c r="D68" s="47" t="s">
        <v>685</v>
      </c>
      <c r="E68" s="396">
        <f t="shared" si="333"/>
        <v>3.0781999999999998</v>
      </c>
      <c r="F68" s="242">
        <v>2.0781999999999998</v>
      </c>
      <c r="G68" s="48">
        <f>'Update Stock Prices'!S68</f>
        <v>957627118.64406788</v>
      </c>
      <c r="H68" s="991">
        <f t="shared" si="27"/>
        <v>2.170155752212389E-9</v>
      </c>
      <c r="I68" s="49">
        <f>'Update Stock Prices'!D68</f>
        <v>175.82</v>
      </c>
      <c r="J68" s="49">
        <f t="shared" si="404"/>
        <v>365.38912399999998</v>
      </c>
      <c r="K68" s="30">
        <v>359.37</v>
      </c>
      <c r="L68" s="49">
        <f t="shared" si="28"/>
        <v>6.0191239999999766</v>
      </c>
      <c r="M68" s="50">
        <f t="shared" si="29"/>
        <v>1.6749099813562558E-2</v>
      </c>
      <c r="N68" s="49">
        <f t="shared" si="30"/>
        <v>172.92368395727073</v>
      </c>
      <c r="O68" s="48">
        <f t="shared" si="334"/>
        <v>1</v>
      </c>
      <c r="P68" s="49">
        <f t="shared" si="342"/>
        <v>145.19</v>
      </c>
      <c r="Q68" s="30">
        <f>1.4*4</f>
        <v>5.6</v>
      </c>
      <c r="R68" s="49">
        <f t="shared" ref="R68" si="573">S68/365.25</f>
        <v>3.1862888432580415E-2</v>
      </c>
      <c r="S68" s="49">
        <f t="shared" si="335"/>
        <v>11.637919999999998</v>
      </c>
      <c r="T68" s="49">
        <f t="shared" ref="T68" si="574">S68/12</f>
        <v>0.9698266666666665</v>
      </c>
      <c r="U68" s="49" t="s">
        <v>54</v>
      </c>
      <c r="V68" s="50">
        <f t="shared" si="336"/>
        <v>3.1850756455465819E-2</v>
      </c>
      <c r="W68" s="50">
        <f t="shared" ref="W68:W140" si="575">S68/K68</f>
        <v>3.2384227954475882E-2</v>
      </c>
      <c r="X68" s="49">
        <f>12*((E68*Q68)/12-T68)</f>
        <v>5.6</v>
      </c>
      <c r="Y68" s="49">
        <f t="shared" si="32"/>
        <v>2.9094799999999994</v>
      </c>
      <c r="Z68" s="860">
        <f t="shared" si="337"/>
        <v>0</v>
      </c>
      <c r="AA68" s="860">
        <f t="shared" si="338"/>
        <v>123.50751428571429</v>
      </c>
      <c r="AB68" s="49">
        <f t="shared" si="339"/>
        <v>21715.091161714285</v>
      </c>
      <c r="AC68" s="48">
        <v>1</v>
      </c>
      <c r="AD68" s="47" t="str">
        <f t="shared" si="340"/>
        <v>IBM</v>
      </c>
      <c r="AE68" s="49">
        <f t="shared" si="341"/>
        <v>365.38912399999998</v>
      </c>
      <c r="AF68" s="50" t="e">
        <f t="shared" si="405"/>
        <v>#REF!</v>
      </c>
      <c r="AG68" s="890" t="e">
        <f t="shared" si="332"/>
        <v>#REF!</v>
      </c>
      <c r="AH68" s="207" t="s">
        <v>686</v>
      </c>
      <c r="AI68" s="240">
        <f t="shared" si="406"/>
        <v>0.30308159542918933</v>
      </c>
      <c r="AJ68" s="11">
        <f t="shared" si="33"/>
        <v>3</v>
      </c>
      <c r="AK68" s="11"/>
      <c r="AL68" s="11"/>
      <c r="AM68" s="11"/>
      <c r="AN68" s="11"/>
      <c r="AO68" s="11"/>
      <c r="AP68" s="11"/>
      <c r="AQ68" s="11" t="str">
        <f>'Update Stock Prices'!Q68</f>
        <v>mega</v>
      </c>
      <c r="AR68" s="11"/>
      <c r="AS68" s="11"/>
      <c r="AT68" s="176"/>
      <c r="AV68" s="837">
        <f>AV84-AV65</f>
        <v>-2360707.8969024159</v>
      </c>
      <c r="AW68" s="234">
        <f>AV84-AW65</f>
        <v>-1107547.8529305579</v>
      </c>
      <c r="AY68" s="19"/>
      <c r="AZ68" s="19"/>
      <c r="BA68" s="19"/>
      <c r="BB68" s="19"/>
      <c r="BC68" s="976">
        <v>2014</v>
      </c>
      <c r="BD68" s="19">
        <v>5150.68</v>
      </c>
      <c r="BE68" s="984"/>
      <c r="BF68" s="74"/>
      <c r="BS68" s="420" t="str">
        <f t="shared" si="407"/>
        <v>IBM</v>
      </c>
      <c r="BT68" s="425">
        <f t="shared" si="408"/>
        <v>2.0781999999999998</v>
      </c>
      <c r="BU68" s="19">
        <f t="shared" si="409"/>
        <v>175.82</v>
      </c>
      <c r="BV68" s="19">
        <f t="shared" si="410"/>
        <v>365.38912399999998</v>
      </c>
      <c r="BW68" s="539">
        <f t="shared" si="411"/>
        <v>5.6</v>
      </c>
      <c r="BX68" s="19">
        <f t="shared" si="412"/>
        <v>11.637919999999998</v>
      </c>
      <c r="BY68" s="10">
        <f t="shared" si="413"/>
        <v>6.6192242065749057E-2</v>
      </c>
      <c r="BZ68" s="10">
        <f t="shared" si="414"/>
        <v>2.1443922420657491</v>
      </c>
      <c r="CA68" s="539">
        <f t="shared" si="415"/>
        <v>377.02704399999999</v>
      </c>
      <c r="CB68" s="19">
        <f t="shared" si="416"/>
        <v>12.008596555568195</v>
      </c>
      <c r="CC68" s="10">
        <f t="shared" si="417"/>
        <v>6.8300515047026472E-2</v>
      </c>
      <c r="CD68" s="10">
        <f t="shared" si="418"/>
        <v>2.2126927571127757</v>
      </c>
      <c r="CE68" s="539">
        <f t="shared" si="419"/>
        <v>389.03564055556819</v>
      </c>
      <c r="CF68" s="19">
        <f t="shared" si="420"/>
        <v>12.391079439831543</v>
      </c>
      <c r="CG68" s="10">
        <f t="shared" si="421"/>
        <v>7.047593811757219E-2</v>
      </c>
      <c r="CH68" s="10">
        <f t="shared" si="422"/>
        <v>2.2831686952303478</v>
      </c>
      <c r="CI68" s="539">
        <f t="shared" si="423"/>
        <v>401.42671999539976</v>
      </c>
      <c r="CJ68" s="19">
        <f t="shared" si="424"/>
        <v>12.785744693289947</v>
      </c>
      <c r="CK68" s="10">
        <f t="shared" si="425"/>
        <v>7.2720650058525474E-2</v>
      </c>
      <c r="CL68" s="10">
        <f t="shared" si="426"/>
        <v>2.3558893452888734</v>
      </c>
      <c r="CM68" s="539">
        <f t="shared" si="427"/>
        <v>414.21246468868969</v>
      </c>
      <c r="CN68" s="19">
        <f t="shared" si="428"/>
        <v>13.19298033361769</v>
      </c>
      <c r="CO68" s="10">
        <f t="shared" si="429"/>
        <v>7.5036857772822721E-2</v>
      </c>
      <c r="CP68" s="10">
        <f t="shared" si="430"/>
        <v>2.4309262030616963</v>
      </c>
      <c r="CQ68" s="539">
        <f t="shared" si="431"/>
        <v>427.40544502230745</v>
      </c>
      <c r="CR68" s="19">
        <f t="shared" si="432"/>
        <v>13.613186737145499</v>
      </c>
      <c r="CS68" s="10">
        <f t="shared" si="433"/>
        <v>7.7426838454928329E-2</v>
      </c>
      <c r="CT68" s="10">
        <f t="shared" si="434"/>
        <v>2.5083530415166244</v>
      </c>
      <c r="CU68" s="539">
        <f t="shared" si="435"/>
        <v>441.01863175945289</v>
      </c>
      <c r="CV68" s="19">
        <f t="shared" si="436"/>
        <v>14.046777032493095</v>
      </c>
      <c r="CW68" s="10">
        <f t="shared" si="437"/>
        <v>7.9892941829672937E-2</v>
      </c>
      <c r="CX68" s="10">
        <f t="shared" si="438"/>
        <v>2.5882459833462974</v>
      </c>
      <c r="CY68" s="539">
        <f t="shared" si="439"/>
        <v>455.06540879194597</v>
      </c>
      <c r="CZ68" s="19">
        <f t="shared" si="440"/>
        <v>14.494177506739264</v>
      </c>
      <c r="DA68" s="10">
        <f t="shared" si="441"/>
        <v>8.2437592462400552E-2</v>
      </c>
      <c r="DB68" s="10">
        <f t="shared" si="442"/>
        <v>2.670683575808698</v>
      </c>
      <c r="DC68" s="539">
        <f t="shared" si="443"/>
        <v>469.55958629868525</v>
      </c>
      <c r="DD68" s="19">
        <f t="shared" si="444"/>
        <v>14.955828024528708</v>
      </c>
      <c r="DE68" s="10">
        <f t="shared" si="445"/>
        <v>8.5063292142695424E-2</v>
      </c>
      <c r="DF68" s="10">
        <f t="shared" si="446"/>
        <v>2.7557468679513932</v>
      </c>
      <c r="DG68" s="539">
        <f t="shared" si="447"/>
        <v>484.51541432321392</v>
      </c>
      <c r="DH68" s="19">
        <f t="shared" si="448"/>
        <v>15.432182460527802</v>
      </c>
      <c r="DI68" s="10">
        <f t="shared" si="449"/>
        <v>8.7772622344032547E-2</v>
      </c>
      <c r="DJ68" s="10">
        <f t="shared" si="450"/>
        <v>2.8435194902954257</v>
      </c>
      <c r="DK68" s="539">
        <f t="shared" si="451"/>
        <v>499.94759678374174</v>
      </c>
      <c r="DL68" s="19">
        <f t="shared" si="452"/>
        <v>15.923709145654383</v>
      </c>
      <c r="DM68" s="10">
        <f t="shared" si="453"/>
        <v>9.0568246761769902E-2</v>
      </c>
      <c r="DN68" s="10">
        <f t="shared" si="454"/>
        <v>2.9340877370571956</v>
      </c>
      <c r="DO68" s="539">
        <f t="shared" si="455"/>
        <v>515.87130592939616</v>
      </c>
      <c r="DP68" s="19">
        <f t="shared" si="456"/>
        <v>16.430891327520296</v>
      </c>
      <c r="DQ68" s="10">
        <f t="shared" si="457"/>
        <v>9.3452913931977577E-2</v>
      </c>
      <c r="DR68" s="10">
        <f t="shared" si="458"/>
        <v>3.0275406509891734</v>
      </c>
      <c r="DS68" s="539">
        <f t="shared" si="459"/>
        <v>532.30219725691643</v>
      </c>
      <c r="DT68" s="19">
        <f t="shared" si="460"/>
        <v>16.954227645539369</v>
      </c>
      <c r="DU68" s="10">
        <f t="shared" si="461"/>
        <v>9.6429459933678588E-2</v>
      </c>
      <c r="DV68" s="10">
        <f t="shared" si="462"/>
        <v>3.1239701109228522</v>
      </c>
      <c r="DW68" s="539">
        <f t="shared" si="463"/>
        <v>549.25642490245582</v>
      </c>
      <c r="DX68" s="19">
        <f t="shared" si="464"/>
        <v>17.494232621167971</v>
      </c>
      <c r="DY68" s="10">
        <f t="shared" si="465"/>
        <v>9.9500811177158296E-2</v>
      </c>
      <c r="DZ68" s="10">
        <f t="shared" si="466"/>
        <v>3.2234709221000104</v>
      </c>
      <c r="EA68" s="539">
        <f t="shared" si="467"/>
        <v>566.75065752362377</v>
      </c>
      <c r="EB68" s="19">
        <f t="shared" si="468"/>
        <v>18.051437163760056</v>
      </c>
      <c r="EC68" s="10">
        <f t="shared" si="469"/>
        <v>0.10266998728108324</v>
      </c>
      <c r="ED68" s="10">
        <f t="shared" si="470"/>
        <v>3.3261409093810936</v>
      </c>
      <c r="EE68" s="539">
        <f t="shared" si="471"/>
        <v>584.80209468738383</v>
      </c>
      <c r="EF68" s="19">
        <f t="shared" si="472"/>
        <v>18.626389092534122</v>
      </c>
      <c r="EG68" s="10">
        <f t="shared" si="473"/>
        <v>0.10594010404125881</v>
      </c>
      <c r="EH68" s="10">
        <f t="shared" si="474"/>
        <v>3.4320810134223523</v>
      </c>
      <c r="EI68" s="539">
        <f t="shared" si="475"/>
        <v>603.428483779918</v>
      </c>
      <c r="EJ68" s="19">
        <f t="shared" si="476"/>
        <v>19.219653675165173</v>
      </c>
      <c r="EK68" s="10">
        <f t="shared" si="477"/>
        <v>0.10931437649394365</v>
      </c>
      <c r="EL68" s="10">
        <f t="shared" si="478"/>
        <v>3.5413953899162958</v>
      </c>
      <c r="EM68" s="539">
        <f t="shared" si="479"/>
        <v>622.64813745508309</v>
      </c>
      <c r="EN68" s="19">
        <f t="shared" si="480"/>
        <v>19.831814183531254</v>
      </c>
      <c r="EO68" s="10">
        <f t="shared" si="481"/>
        <v>0.11279612207673333</v>
      </c>
      <c r="EP68" s="10">
        <f t="shared" si="482"/>
        <v>3.6541915119930293</v>
      </c>
      <c r="EQ68" s="539">
        <f t="shared" si="483"/>
        <v>642.47995163861435</v>
      </c>
      <c r="ER68" s="19">
        <f t="shared" si="484"/>
        <v>20.463472467160962</v>
      </c>
      <c r="ES68" s="10">
        <f t="shared" si="485"/>
        <v>0.11638876389012036</v>
      </c>
      <c r="ET68" s="10">
        <f t="shared" si="486"/>
        <v>3.7705802758831495</v>
      </c>
      <c r="EU68" s="539">
        <f t="shared" si="487"/>
        <v>662.94342410577531</v>
      </c>
      <c r="EV68" s="19">
        <f t="shared" si="488"/>
        <v>21.115249544945637</v>
      </c>
      <c r="EW68" s="10">
        <f t="shared" si="489"/>
        <v>0.12009583406293731</v>
      </c>
      <c r="EX68" s="10">
        <f t="shared" si="490"/>
        <v>3.8906761099460869</v>
      </c>
      <c r="EY68" s="539">
        <f t="shared" si="491"/>
        <v>684.05867365072095</v>
      </c>
      <c r="EZ68" s="19">
        <f t="shared" si="492"/>
        <v>21.787786215698084</v>
      </c>
      <c r="FA68" s="10">
        <f t="shared" si="493"/>
        <v>0.12392097722499196</v>
      </c>
      <c r="FB68" s="10">
        <f t="shared" si="494"/>
        <v>4.0145970871710785</v>
      </c>
      <c r="FC68" s="539">
        <f t="shared" si="495"/>
        <v>705.84645986641897</v>
      </c>
      <c r="FD68" s="19">
        <f t="shared" si="496"/>
        <v>22.481743688158037</v>
      </c>
      <c r="FE68" s="10">
        <f t="shared" si="497"/>
        <v>0.12786795409030849</v>
      </c>
      <c r="FF68" s="10">
        <f t="shared" si="498"/>
        <v>4.1424650412613868</v>
      </c>
      <c r="FG68" s="539">
        <f t="shared" si="499"/>
        <v>728.32820355457704</v>
      </c>
      <c r="FH68" s="19">
        <f t="shared" si="500"/>
        <v>23.197804231063763</v>
      </c>
      <c r="FI68" s="10">
        <f t="shared" si="501"/>
        <v>0.13194064515449758</v>
      </c>
      <c r="FJ68" s="10">
        <f t="shared" si="502"/>
        <v>4.2744056864158848</v>
      </c>
      <c r="FK68" s="539">
        <f t="shared" si="503"/>
        <v>751.52600778564079</v>
      </c>
      <c r="FL68" s="19">
        <f t="shared" si="504"/>
        <v>23.936671843928952</v>
      </c>
      <c r="FM68" s="10">
        <f t="shared" si="505"/>
        <v>0.13614305450989053</v>
      </c>
      <c r="FN68" s="10">
        <f t="shared" si="506"/>
        <v>4.4105487409257753</v>
      </c>
      <c r="FO68" s="539">
        <f t="shared" si="507"/>
        <v>775.46267962956983</v>
      </c>
      <c r="FP68" s="19">
        <f t="shared" si="508"/>
        <v>24.699072949184341</v>
      </c>
      <c r="FQ68" s="10">
        <f t="shared" si="509"/>
        <v>0.14047931378218828</v>
      </c>
      <c r="FR68" s="10">
        <f t="shared" si="510"/>
        <v>4.551028054707964</v>
      </c>
      <c r="FS68" s="539">
        <f t="shared" si="511"/>
        <v>800.1617525787542</v>
      </c>
      <c r="FT68" s="19">
        <f t="shared" si="512"/>
        <v>25.485757106364598</v>
      </c>
      <c r="FU68" s="10">
        <f t="shared" si="513"/>
        <v>0.14495368619249574</v>
      </c>
      <c r="FV68" s="10">
        <f t="shared" si="514"/>
        <v>4.6959817409004598</v>
      </c>
      <c r="FW68" s="539">
        <f t="shared" si="515"/>
        <v>825.64750968511885</v>
      </c>
      <c r="FX68" s="19">
        <f t="shared" si="516"/>
        <v>26.297497749042574</v>
      </c>
      <c r="FY68" s="10">
        <f t="shared" si="517"/>
        <v>0.14957057074873492</v>
      </c>
      <c r="FZ68" s="10">
        <f t="shared" si="518"/>
        <v>4.845552311649195</v>
      </c>
      <c r="GA68" s="539">
        <f t="shared" si="519"/>
        <v>851.94500743416143</v>
      </c>
      <c r="GB68" s="19">
        <f t="shared" si="520"/>
        <v>27.135092945235492</v>
      </c>
      <c r="GC68" s="10">
        <f t="shared" si="521"/>
        <v>0.15433450657055792</v>
      </c>
      <c r="GD68" s="10">
        <f t="shared" si="522"/>
        <v>4.9998868182197533</v>
      </c>
      <c r="GE68" s="539">
        <f t="shared" si="523"/>
        <v>879.08010037939698</v>
      </c>
      <c r="GF68" s="19">
        <f t="shared" si="524"/>
        <v>27.999366182030617</v>
      </c>
      <c r="GG68" s="10">
        <f t="shared" si="525"/>
        <v>0.15925017735201125</v>
      </c>
      <c r="GH68" s="10">
        <f t="shared" si="526"/>
        <v>5.1591369955717647</v>
      </c>
      <c r="GI68" s="539">
        <f t="shared" si="527"/>
        <v>907.07946656142769</v>
      </c>
      <c r="GJ68" s="19">
        <f t="shared" si="528"/>
        <v>28.891167175201879</v>
      </c>
      <c r="GK68" s="10">
        <f t="shared" si="529"/>
        <v>0.1643224159663399</v>
      </c>
      <c r="GL68" s="10">
        <f t="shared" si="530"/>
        <v>5.3234594115381046</v>
      </c>
      <c r="GM68" s="539">
        <f t="shared" si="531"/>
        <v>935.97063373662957</v>
      </c>
      <c r="GN68" s="19">
        <f t="shared" si="532"/>
        <v>29.811372704613383</v>
      </c>
      <c r="GO68" s="10">
        <f t="shared" si="533"/>
        <v>0.16955620921745754</v>
      </c>
      <c r="GP68" s="10">
        <f t="shared" si="534"/>
        <v>5.4930156207555623</v>
      </c>
      <c r="GQ68" s="539">
        <f t="shared" si="535"/>
        <v>965.78200644124297</v>
      </c>
      <c r="GR68" s="19">
        <f t="shared" si="536"/>
        <v>30.760887476231147</v>
      </c>
      <c r="GS68" s="10">
        <f t="shared" si="537"/>
        <v>0.17495670274275479</v>
      </c>
      <c r="GT68" s="10">
        <f t="shared" si="538"/>
        <v>5.6679723234983168</v>
      </c>
      <c r="GU68" s="539">
        <f t="shared" si="539"/>
        <v>996.54289391747398</v>
      </c>
      <c r="GV68" s="19">
        <f t="shared" si="540"/>
        <v>31.740645011590573</v>
      </c>
      <c r="GW68" s="10">
        <f t="shared" si="541"/>
        <v>0.1805292060720656</v>
      </c>
      <c r="GX68" s="10">
        <f t="shared" si="542"/>
        <v>5.8485015295703828</v>
      </c>
      <c r="GY68" s="539">
        <f t="shared" si="543"/>
        <v>1028.2835389290647</v>
      </c>
      <c r="GZ68" s="19">
        <f t="shared" si="544"/>
        <v>32.75160856559414</v>
      </c>
      <c r="HA68" s="10">
        <f t="shared" si="545"/>
        <v>0.18627919784776556</v>
      </c>
      <c r="HB68" s="10">
        <f t="shared" si="546"/>
        <v>6.0347807274181484</v>
      </c>
      <c r="HC68" s="539">
        <f t="shared" si="547"/>
        <v>1061.0351474946588</v>
      </c>
      <c r="HD68" s="19">
        <f t="shared" si="548"/>
        <v>33.79477207354163</v>
      </c>
      <c r="HE68" s="10">
        <f t="shared" si="549"/>
        <v>0.19221233121113429</v>
      </c>
      <c r="HF68" s="10">
        <f t="shared" si="550"/>
        <v>6.226993058629283</v>
      </c>
      <c r="HG68" s="539">
        <f t="shared" si="551"/>
        <v>1094.8299195682005</v>
      </c>
      <c r="HH68" s="19">
        <f t="shared" si="552"/>
        <v>34.871161128323983</v>
      </c>
      <c r="HI68" s="10">
        <f t="shared" si="553"/>
        <v>0.19833443936027748</v>
      </c>
      <c r="HJ68" s="10">
        <f t="shared" si="554"/>
        <v>6.42532749798956</v>
      </c>
      <c r="HK68" s="539">
        <f t="shared" si="555"/>
        <v>1129.7010806965245</v>
      </c>
      <c r="HL68" s="19">
        <f t="shared" si="556"/>
        <v>35.981833988741535</v>
      </c>
      <c r="HM68" s="10">
        <f t="shared" si="557"/>
        <v>0.20465154128507301</v>
      </c>
      <c r="HN68" s="10">
        <f t="shared" si="558"/>
        <v>6.6299790392746329</v>
      </c>
      <c r="HO68" s="539">
        <f t="shared" si="559"/>
        <v>1165.6829146852658</v>
      </c>
      <c r="HP68" s="19">
        <f t="shared" si="560"/>
        <v>37.127882619937942</v>
      </c>
      <c r="HQ68" s="10">
        <f t="shared" si="561"/>
        <v>0.21116984768477956</v>
      </c>
      <c r="HR68" s="10">
        <f t="shared" si="562"/>
        <v>6.8411488869594121</v>
      </c>
      <c r="HS68" s="539">
        <f t="shared" si="563"/>
        <v>1202.8107973052038</v>
      </c>
      <c r="HT68" s="19">
        <f t="shared" si="564"/>
        <v>38.310433766972707</v>
      </c>
      <c r="HU68" s="10">
        <f t="shared" si="565"/>
        <v>0.21789576707412528</v>
      </c>
      <c r="HV68" s="10">
        <f t="shared" si="566"/>
        <v>7.0590446540335376</v>
      </c>
      <c r="HW68" s="539">
        <f t="shared" si="567"/>
        <v>1241.1212310721764</v>
      </c>
      <c r="HX68" s="19">
        <f t="shared" si="568"/>
        <v>39.53065006258781</v>
      </c>
      <c r="HY68" s="10">
        <f t="shared" si="569"/>
        <v>0.22483591208388018</v>
      </c>
      <c r="HZ68" s="10">
        <f t="shared" si="570"/>
        <v>7.2838805661174177</v>
      </c>
      <c r="IA68" s="539">
        <f t="shared" si="571"/>
        <v>1280.6518811347644</v>
      </c>
      <c r="IB68" s="19">
        <f t="shared" si="572"/>
        <v>40.789731170257539</v>
      </c>
      <c r="IP68" s="11">
        <v>27</v>
      </c>
      <c r="IQ68" s="19">
        <f t="shared" si="358"/>
        <v>70.395045706983865</v>
      </c>
      <c r="IR68" s="20">
        <f t="shared" si="351"/>
        <v>5.3695710828480347</v>
      </c>
    </row>
    <row r="69" spans="1:252">
      <c r="A69" s="11"/>
      <c r="B69" s="20"/>
      <c r="C69" s="1217" t="s">
        <v>2347</v>
      </c>
      <c r="D69" s="47" t="s">
        <v>2204</v>
      </c>
      <c r="E69" s="396">
        <f t="shared" ref="E69" si="576">F69+O69</f>
        <v>9.0149000000000008</v>
      </c>
      <c r="F69" s="242">
        <v>1.0148999999999999</v>
      </c>
      <c r="G69" s="48">
        <f>'Update Stock Prices'!S69</f>
        <v>4718236582.6944132</v>
      </c>
      <c r="H69" s="991">
        <f t="shared" ref="H69" si="577">F69/G69</f>
        <v>2.1510154953281877E-10</v>
      </c>
      <c r="I69" s="49">
        <f>'Update Stock Prices'!D69</f>
        <v>36.520000000000003</v>
      </c>
      <c r="J69" s="49">
        <f t="shared" si="404"/>
        <v>37.064148000000003</v>
      </c>
      <c r="K69" s="30">
        <v>34.97</v>
      </c>
      <c r="L69" s="49">
        <f t="shared" ref="L69" si="578">J69-K69</f>
        <v>2.0941480000000041</v>
      </c>
      <c r="M69" s="50">
        <f t="shared" ref="M69" si="579">L69/K69</f>
        <v>5.9884129253646105E-2</v>
      </c>
      <c r="N69" s="49">
        <f t="shared" ref="N69" si="580">K69/F69</f>
        <v>34.456596709035374</v>
      </c>
      <c r="O69" s="48">
        <f t="shared" ref="O69" si="581">IF(INT(($B$11-$B$12)/I69)&lt;0,0,INT(($B$11-$B$12)/I69))</f>
        <v>8</v>
      </c>
      <c r="P69" s="49">
        <f t="shared" ref="P69" si="582">IF(($B$11-$B$12)-(O69*I69)&lt;0,0,($B$11-$B$12)-(O69*I69))</f>
        <v>28.849999999999966</v>
      </c>
      <c r="Q69" s="30">
        <f>0.26*4</f>
        <v>1.04</v>
      </c>
      <c r="R69" s="49">
        <f t="shared" ref="R69" si="583">S69/365.25</f>
        <v>2.8897905544147842E-3</v>
      </c>
      <c r="S69" s="49">
        <f t="shared" ref="S69" si="584">F69*Q69</f>
        <v>1.055496</v>
      </c>
      <c r="T69" s="49">
        <f t="shared" ref="T69" si="585">S69/12</f>
        <v>8.7957999999999995E-2</v>
      </c>
      <c r="U69" s="49" t="s">
        <v>54</v>
      </c>
      <c r="V69" s="50">
        <f t="shared" ref="V69" si="586">Q69/I69</f>
        <v>2.8477546549835704E-2</v>
      </c>
      <c r="W69" s="50">
        <f t="shared" ref="W69" si="587">S69/K69</f>
        <v>3.0182899628252789E-2</v>
      </c>
      <c r="X69" s="49">
        <f>12*((E69*Q69)/12-T69)</f>
        <v>8.3200000000000021</v>
      </c>
      <c r="Y69" s="49">
        <f t="shared" ref="Y69" si="588">IF(U69="Q",3*T69,IF(U69="Y",12*T69,IF(U69="B",6*T69,IF(U69="M",T69,0))))</f>
        <v>0.263874</v>
      </c>
      <c r="Z69" s="860">
        <f t="shared" ref="Z69" si="589">IF(Y69/I69&gt;1,1,0)</f>
        <v>0</v>
      </c>
      <c r="AA69" s="860">
        <f t="shared" ref="AA69" si="590">IF(Z69=1,"",IF(AND(U69&lt;&gt;"",Z69=0),I69/(Y69/F69)-F69,""))</f>
        <v>139.44663846153847</v>
      </c>
      <c r="AB69" s="49">
        <f t="shared" ref="AB69" si="591">IF(AA69&lt;&gt;"",AA69*I69,"")</f>
        <v>5092.5912366153852</v>
      </c>
      <c r="AC69" s="48">
        <v>1</v>
      </c>
      <c r="AD69" s="47" t="str">
        <f t="shared" ref="AD69" si="592">D69</f>
        <v>INTC</v>
      </c>
      <c r="AE69" s="49">
        <f t="shared" ref="AE69" si="593">J69</f>
        <v>37.064148000000003</v>
      </c>
      <c r="AF69" s="50" t="e">
        <f t="shared" si="405"/>
        <v>#REF!</v>
      </c>
      <c r="AG69" s="890" t="e">
        <f t="shared" ref="AG69" si="594">(100*AF69)^2</f>
        <v>#REF!</v>
      </c>
      <c r="AH69" s="207" t="s">
        <v>2205</v>
      </c>
      <c r="AI69" s="240">
        <f t="shared" si="406"/>
        <v>3.118576306880816E-3</v>
      </c>
      <c r="AJ69" s="11">
        <f t="shared" ref="AJ69:AJ134" si="595">LEN(D69)</f>
        <v>4</v>
      </c>
      <c r="AK69" s="11"/>
      <c r="AL69" s="11"/>
      <c r="AM69" s="11"/>
      <c r="AN69" s="11"/>
      <c r="AO69" s="11"/>
      <c r="AP69" s="11"/>
      <c r="AQ69" s="11" t="str">
        <f>'Update Stock Prices'!Q69</f>
        <v>mega</v>
      </c>
      <c r="AR69" s="11"/>
      <c r="AS69" s="11"/>
      <c r="AT69" s="176"/>
      <c r="AV69" s="837"/>
      <c r="AW69" s="234"/>
      <c r="AY69" s="19"/>
      <c r="AZ69" s="19"/>
      <c r="BA69" s="19"/>
      <c r="BB69" s="19"/>
      <c r="BC69" s="976">
        <v>2015</v>
      </c>
      <c r="BD69" s="19">
        <v>-218.53</v>
      </c>
      <c r="BE69" s="984"/>
      <c r="BF69" s="74"/>
      <c r="BS69" s="420" t="str">
        <f t="shared" si="407"/>
        <v>INTC</v>
      </c>
      <c r="BT69" s="425">
        <f t="shared" si="408"/>
        <v>1.0148999999999999</v>
      </c>
      <c r="BU69" s="19">
        <f t="shared" si="409"/>
        <v>36.520000000000003</v>
      </c>
      <c r="BV69" s="19">
        <f t="shared" si="410"/>
        <v>37.064148000000003</v>
      </c>
      <c r="BW69" s="539">
        <f t="shared" si="411"/>
        <v>1.04</v>
      </c>
      <c r="BX69" s="19">
        <f t="shared" si="412"/>
        <v>1.055496</v>
      </c>
      <c r="BY69" s="10">
        <f t="shared" si="413"/>
        <v>2.8901861993428257E-2</v>
      </c>
      <c r="BZ69" s="10">
        <f t="shared" si="414"/>
        <v>1.0438018619934282</v>
      </c>
      <c r="CA69" s="539">
        <f t="shared" si="415"/>
        <v>38.119644000000001</v>
      </c>
      <c r="CB69" s="19">
        <f t="shared" si="416"/>
        <v>1.0855539364731652</v>
      </c>
      <c r="CC69" s="10">
        <f t="shared" si="417"/>
        <v>2.9724916113723032E-2</v>
      </c>
      <c r="CD69" s="10">
        <f t="shared" si="418"/>
        <v>1.0735267781071511</v>
      </c>
      <c r="CE69" s="539">
        <f t="shared" si="419"/>
        <v>39.205197936473162</v>
      </c>
      <c r="CF69" s="19">
        <f t="shared" si="420"/>
        <v>1.1164678492314373</v>
      </c>
      <c r="CG69" s="10">
        <f t="shared" si="421"/>
        <v>3.0571408796041543E-2</v>
      </c>
      <c r="CH69" s="10">
        <f t="shared" si="422"/>
        <v>1.1040981869031927</v>
      </c>
      <c r="CI69" s="539">
        <f t="shared" si="423"/>
        <v>40.321665785704603</v>
      </c>
      <c r="CJ69" s="19">
        <f t="shared" si="424"/>
        <v>1.1482621143793206</v>
      </c>
      <c r="CK69" s="10">
        <f t="shared" si="425"/>
        <v>3.1442007513124877E-2</v>
      </c>
      <c r="CL69" s="10">
        <f t="shared" si="426"/>
        <v>1.1355401944163177</v>
      </c>
      <c r="CM69" s="539">
        <f t="shared" si="427"/>
        <v>41.469927900083924</v>
      </c>
      <c r="CN69" s="19">
        <f t="shared" si="428"/>
        <v>1.1809618021929704</v>
      </c>
      <c r="CO69" s="10">
        <f t="shared" si="429"/>
        <v>3.2337398745700172E-2</v>
      </c>
      <c r="CP69" s="10">
        <f t="shared" si="430"/>
        <v>1.1678775931620178</v>
      </c>
      <c r="CQ69" s="539">
        <f t="shared" si="431"/>
        <v>42.650889702276892</v>
      </c>
      <c r="CR69" s="19">
        <f t="shared" si="432"/>
        <v>1.2145926968884986</v>
      </c>
      <c r="CS69" s="10">
        <f t="shared" si="433"/>
        <v>3.3258288523781446E-2</v>
      </c>
      <c r="CT69" s="10">
        <f t="shared" si="434"/>
        <v>1.2011358816857993</v>
      </c>
      <c r="CU69" s="539">
        <f t="shared" si="435"/>
        <v>43.865482399165394</v>
      </c>
      <c r="CV69" s="19">
        <f t="shared" si="436"/>
        <v>1.2491813169532313</v>
      </c>
      <c r="CW69" s="10">
        <f t="shared" si="437"/>
        <v>3.42054029833853E-2</v>
      </c>
      <c r="CX69" s="10">
        <f t="shared" si="438"/>
        <v>1.2353412846691847</v>
      </c>
      <c r="CY69" s="539">
        <f t="shared" si="439"/>
        <v>45.114663716118628</v>
      </c>
      <c r="CZ69" s="19">
        <f t="shared" si="440"/>
        <v>1.284754936055952</v>
      </c>
      <c r="DA69" s="10">
        <f t="shared" si="441"/>
        <v>3.5179488939100542E-2</v>
      </c>
      <c r="DB69" s="10">
        <f t="shared" si="442"/>
        <v>1.2705207736082853</v>
      </c>
      <c r="DC69" s="539">
        <f t="shared" si="443"/>
        <v>46.399418652174582</v>
      </c>
      <c r="DD69" s="19">
        <f t="shared" si="444"/>
        <v>1.3213416045526167</v>
      </c>
      <c r="DE69" s="10">
        <f t="shared" si="445"/>
        <v>3.6181314472963216E-2</v>
      </c>
      <c r="DF69" s="10">
        <f t="shared" si="446"/>
        <v>1.3067020880812485</v>
      </c>
      <c r="DG69" s="539">
        <f t="shared" si="447"/>
        <v>47.720760256727203</v>
      </c>
      <c r="DH69" s="19">
        <f t="shared" si="448"/>
        <v>1.3589701716044986</v>
      </c>
      <c r="DI69" s="10">
        <f t="shared" si="449"/>
        <v>3.7211669540101272E-2</v>
      </c>
      <c r="DJ69" s="10">
        <f t="shared" si="450"/>
        <v>1.3439137576213498</v>
      </c>
      <c r="DK69" s="539">
        <f t="shared" si="451"/>
        <v>49.0797304283317</v>
      </c>
      <c r="DL69" s="19">
        <f t="shared" si="452"/>
        <v>1.3976703079262038</v>
      </c>
      <c r="DM69" s="10">
        <f t="shared" si="453"/>
        <v>3.827136659162661E-2</v>
      </c>
      <c r="DN69" s="10">
        <f t="shared" si="454"/>
        <v>1.3821851242129763</v>
      </c>
      <c r="DO69" s="539">
        <f t="shared" si="455"/>
        <v>50.477400736257898</v>
      </c>
      <c r="DP69" s="19">
        <f t="shared" si="456"/>
        <v>1.4374725291814954</v>
      </c>
      <c r="DQ69" s="10">
        <f t="shared" si="457"/>
        <v>3.9361241215265477E-2</v>
      </c>
      <c r="DR69" s="10">
        <f t="shared" si="458"/>
        <v>1.4215463654282419</v>
      </c>
      <c r="DS69" s="539">
        <f t="shared" si="459"/>
        <v>51.914873265439397</v>
      </c>
      <c r="DT69" s="19">
        <f t="shared" si="460"/>
        <v>1.4784082200453716</v>
      </c>
      <c r="DU69" s="10">
        <f t="shared" si="461"/>
        <v>4.0482152794232514E-2</v>
      </c>
      <c r="DV69" s="10">
        <f t="shared" si="462"/>
        <v>1.4620285182224744</v>
      </c>
      <c r="DW69" s="539">
        <f t="shared" si="463"/>
        <v>53.393281485484771</v>
      </c>
      <c r="DX69" s="19">
        <f t="shared" si="464"/>
        <v>1.5205096589513734</v>
      </c>
      <c r="DY69" s="10">
        <f t="shared" si="465"/>
        <v>4.1634985184867829E-2</v>
      </c>
      <c r="DZ69" s="10">
        <f t="shared" si="466"/>
        <v>1.5036635034073422</v>
      </c>
      <c r="EA69" s="539">
        <f t="shared" si="467"/>
        <v>54.913791144436146</v>
      </c>
      <c r="EB69" s="19">
        <f t="shared" si="468"/>
        <v>1.563810043543636</v>
      </c>
      <c r="EC69" s="10">
        <f t="shared" si="469"/>
        <v>4.2820647413571625E-2</v>
      </c>
      <c r="ED69" s="10">
        <f t="shared" si="470"/>
        <v>1.5464841508209139</v>
      </c>
      <c r="EE69" s="539">
        <f t="shared" si="471"/>
        <v>56.477601187979779</v>
      </c>
      <c r="EF69" s="19">
        <f t="shared" si="472"/>
        <v>1.6083435168537505</v>
      </c>
      <c r="EG69" s="10">
        <f t="shared" si="473"/>
        <v>4.4040074393585718E-2</v>
      </c>
      <c r="EH69" s="10">
        <f t="shared" si="474"/>
        <v>1.5905242252144998</v>
      </c>
      <c r="EI69" s="539">
        <f t="shared" si="475"/>
        <v>58.085944704833537</v>
      </c>
      <c r="EJ69" s="19">
        <f t="shared" si="476"/>
        <v>1.6541451942230798</v>
      </c>
      <c r="EK69" s="10">
        <f t="shared" si="477"/>
        <v>4.5294227662187284E-2</v>
      </c>
      <c r="EL69" s="10">
        <f t="shared" si="478"/>
        <v>1.635818452876687</v>
      </c>
      <c r="EM69" s="539">
        <f t="shared" si="479"/>
        <v>59.740089899056613</v>
      </c>
      <c r="EN69" s="19">
        <f t="shared" si="480"/>
        <v>1.7012511909917545</v>
      </c>
      <c r="EO69" s="10">
        <f t="shared" si="481"/>
        <v>4.6584096138876076E-2</v>
      </c>
      <c r="EP69" s="10">
        <f t="shared" si="482"/>
        <v>1.6824025490155632</v>
      </c>
      <c r="EQ69" s="539">
        <f t="shared" si="483"/>
        <v>61.441341090048375</v>
      </c>
      <c r="ER69" s="19">
        <f t="shared" si="484"/>
        <v>1.7496986509761858</v>
      </c>
      <c r="ES69" s="10">
        <f t="shared" si="485"/>
        <v>4.7910696905152948E-2</v>
      </c>
      <c r="ET69" s="10">
        <f t="shared" si="486"/>
        <v>1.7303132459207162</v>
      </c>
      <c r="EU69" s="539">
        <f t="shared" si="487"/>
        <v>63.191039741024561</v>
      </c>
      <c r="EV69" s="19">
        <f t="shared" si="488"/>
        <v>1.7995257757575449</v>
      </c>
      <c r="EW69" s="10">
        <f t="shared" si="489"/>
        <v>4.9275076006504513E-2</v>
      </c>
      <c r="EX69" s="10">
        <f t="shared" si="490"/>
        <v>1.7795883219272208</v>
      </c>
      <c r="EY69" s="539">
        <f t="shared" si="491"/>
        <v>64.990565516782112</v>
      </c>
      <c r="EZ69" s="19">
        <f t="shared" si="492"/>
        <v>1.8507718548043097</v>
      </c>
      <c r="FA69" s="10">
        <f t="shared" si="493"/>
        <v>5.0678309277226441E-2</v>
      </c>
      <c r="FB69" s="10">
        <f t="shared" si="494"/>
        <v>1.8302666312044473</v>
      </c>
      <c r="FC69" s="539">
        <f t="shared" si="495"/>
        <v>66.84133737158642</v>
      </c>
      <c r="FD69" s="19">
        <f t="shared" si="496"/>
        <v>1.9034772964526252</v>
      </c>
      <c r="FE69" s="10">
        <f t="shared" si="497"/>
        <v>5.2121503188735624E-2</v>
      </c>
      <c r="FF69" s="10">
        <f t="shared" si="498"/>
        <v>1.882388134393183</v>
      </c>
      <c r="FG69" s="539">
        <f t="shared" si="499"/>
        <v>68.744814668039055</v>
      </c>
      <c r="FH69" s="19">
        <f t="shared" si="500"/>
        <v>1.9576836597689105</v>
      </c>
      <c r="FI69" s="10">
        <f t="shared" si="501"/>
        <v>5.3605795722040259E-2</v>
      </c>
      <c r="FJ69" s="10">
        <f t="shared" si="502"/>
        <v>1.9359939301152231</v>
      </c>
      <c r="FK69" s="539">
        <f t="shared" si="503"/>
        <v>70.702498327807959</v>
      </c>
      <c r="FL69" s="19">
        <f t="shared" si="504"/>
        <v>2.0134336873198322</v>
      </c>
      <c r="FM69" s="10">
        <f t="shared" si="505"/>
        <v>5.5132357265055644E-2</v>
      </c>
      <c r="FN69" s="10">
        <f t="shared" si="506"/>
        <v>1.9911262873802789</v>
      </c>
      <c r="FO69" s="539">
        <f t="shared" si="507"/>
        <v>72.715932015127791</v>
      </c>
      <c r="FP69" s="19">
        <f t="shared" si="508"/>
        <v>2.07077133887549</v>
      </c>
      <c r="FQ69" s="10">
        <f t="shared" si="509"/>
        <v>5.6702391535473434E-2</v>
      </c>
      <c r="FR69" s="10">
        <f t="shared" si="510"/>
        <v>2.0478286789157525</v>
      </c>
      <c r="FS69" s="539">
        <f t="shared" si="511"/>
        <v>74.786703354003293</v>
      </c>
      <c r="FT69" s="19">
        <f t="shared" si="512"/>
        <v>2.1297418260723826</v>
      </c>
      <c r="FU69" s="10">
        <f t="shared" si="513"/>
        <v>5.8317136529911898E-2</v>
      </c>
      <c r="FV69" s="10">
        <f t="shared" si="514"/>
        <v>2.1061458154456645</v>
      </c>
      <c r="FW69" s="539">
        <f t="shared" si="515"/>
        <v>76.916445180075669</v>
      </c>
      <c r="FX69" s="19">
        <f t="shared" si="516"/>
        <v>2.1903916480634913</v>
      </c>
      <c r="FY69" s="10">
        <f t="shared" si="517"/>
        <v>5.9977865500095595E-2</v>
      </c>
      <c r="FZ69" s="10">
        <f t="shared" si="518"/>
        <v>2.16612368094576</v>
      </c>
      <c r="GA69" s="539">
        <f t="shared" si="519"/>
        <v>79.106836828139166</v>
      </c>
      <c r="GB69" s="19">
        <f t="shared" si="520"/>
        <v>2.2527686281835906</v>
      </c>
      <c r="GC69" s="10">
        <f t="shared" si="521"/>
        <v>6.168588795683435E-2</v>
      </c>
      <c r="GD69" s="10">
        <f t="shared" si="522"/>
        <v>2.2278095689025945</v>
      </c>
      <c r="GE69" s="539">
        <f t="shared" si="523"/>
        <v>81.359605456322754</v>
      </c>
      <c r="GF69" s="19">
        <f t="shared" si="524"/>
        <v>2.3169219516586983</v>
      </c>
      <c r="GG69" s="10">
        <f t="shared" si="525"/>
        <v>6.3442550702593054E-2</v>
      </c>
      <c r="GH69" s="10">
        <f t="shared" si="526"/>
        <v>2.2912521196051876</v>
      </c>
      <c r="GI69" s="539">
        <f t="shared" si="527"/>
        <v>83.676527407981453</v>
      </c>
      <c r="GJ69" s="19">
        <f t="shared" si="528"/>
        <v>2.3829022043893953</v>
      </c>
      <c r="GK69" s="10">
        <f t="shared" si="529"/>
        <v>6.5249238893466455E-2</v>
      </c>
      <c r="GL69" s="10">
        <f t="shared" si="530"/>
        <v>2.3565013584986541</v>
      </c>
      <c r="GM69" s="539">
        <f t="shared" si="531"/>
        <v>86.059429612370849</v>
      </c>
      <c r="GN69" s="19">
        <f t="shared" si="532"/>
        <v>2.4507614128386002</v>
      </c>
      <c r="GO69" s="10">
        <f t="shared" si="533"/>
        <v>6.7107377131396501E-2</v>
      </c>
      <c r="GP69" s="10">
        <f t="shared" si="534"/>
        <v>2.4236087356300504</v>
      </c>
      <c r="GQ69" s="539">
        <f t="shared" si="535"/>
        <v>88.510191025209451</v>
      </c>
      <c r="GR69" s="19">
        <f t="shared" si="536"/>
        <v>2.5205530850552527</v>
      </c>
      <c r="GS69" s="10">
        <f t="shared" si="537"/>
        <v>6.9018430587493226E-2</v>
      </c>
      <c r="GT69" s="10">
        <f t="shared" si="538"/>
        <v>2.4926271662175434</v>
      </c>
      <c r="GU69" s="539">
        <f t="shared" si="539"/>
        <v>91.030744110264692</v>
      </c>
      <c r="GV69" s="19">
        <f t="shared" si="540"/>
        <v>2.5923322528662451</v>
      </c>
      <c r="GW69" s="10">
        <f t="shared" si="541"/>
        <v>7.098390615734515E-2</v>
      </c>
      <c r="GX69" s="10">
        <f t="shared" si="542"/>
        <v>2.5636110723748886</v>
      </c>
      <c r="GY69" s="539">
        <f t="shared" si="543"/>
        <v>93.623076363130934</v>
      </c>
      <c r="GZ69" s="19">
        <f t="shared" si="544"/>
        <v>2.6661555152698844</v>
      </c>
      <c r="HA69" s="10">
        <f t="shared" si="545"/>
        <v>7.3005353649230123E-2</v>
      </c>
      <c r="HB69" s="10">
        <f t="shared" si="546"/>
        <v>2.6366164260241187</v>
      </c>
      <c r="HC69" s="539">
        <f t="shared" si="547"/>
        <v>96.289231878400827</v>
      </c>
      <c r="HD69" s="19">
        <f t="shared" si="548"/>
        <v>2.7420810830650835</v>
      </c>
      <c r="HE69" s="10">
        <f t="shared" si="549"/>
        <v>7.5084367006163291E-2</v>
      </c>
      <c r="HF69" s="10">
        <f t="shared" si="550"/>
        <v>2.7117007930302819</v>
      </c>
      <c r="HG69" s="539">
        <f t="shared" si="551"/>
        <v>99.0313129614659</v>
      </c>
      <c r="HH69" s="19">
        <f t="shared" si="552"/>
        <v>2.8201688247514931</v>
      </c>
      <c r="HI69" s="10">
        <f t="shared" si="553"/>
        <v>7.7222585562746249E-2</v>
      </c>
      <c r="HJ69" s="10">
        <f t="shared" si="554"/>
        <v>2.7889233785930281</v>
      </c>
      <c r="HK69" s="539">
        <f t="shared" si="555"/>
        <v>101.85148178621739</v>
      </c>
      <c r="HL69" s="19">
        <f t="shared" si="556"/>
        <v>2.9004803137367494</v>
      </c>
      <c r="HM69" s="10">
        <f t="shared" si="557"/>
        <v>7.9421695337808032E-2</v>
      </c>
      <c r="HN69" s="10">
        <f t="shared" si="558"/>
        <v>2.8683450739308363</v>
      </c>
      <c r="HO69" s="539">
        <f t="shared" si="559"/>
        <v>104.75196209995416</v>
      </c>
      <c r="HP69" s="19">
        <f t="shared" si="560"/>
        <v>2.9830788768880696</v>
      </c>
      <c r="HQ69" s="10">
        <f t="shared" si="561"/>
        <v>8.1683430363857321E-2</v>
      </c>
      <c r="HR69" s="10">
        <f t="shared" si="562"/>
        <v>2.9500285042946937</v>
      </c>
      <c r="HS69" s="539">
        <f t="shared" si="563"/>
        <v>107.73504097684223</v>
      </c>
      <c r="HT69" s="19">
        <f t="shared" si="564"/>
        <v>3.0680296444664816</v>
      </c>
      <c r="HU69" s="10">
        <f t="shared" si="565"/>
        <v>8.400957405439434E-2</v>
      </c>
      <c r="HV69" s="10">
        <f t="shared" si="566"/>
        <v>3.0340380783490879</v>
      </c>
      <c r="HW69" s="539">
        <f t="shared" si="567"/>
        <v>110.80307062130871</v>
      </c>
      <c r="HX69" s="19">
        <f t="shared" si="568"/>
        <v>3.1553996014830514</v>
      </c>
      <c r="HY69" s="10">
        <f t="shared" si="569"/>
        <v>8.6401960610160214E-2</v>
      </c>
      <c r="HZ69" s="10">
        <f t="shared" si="570"/>
        <v>3.1204400389592482</v>
      </c>
      <c r="IA69" s="539">
        <f t="shared" si="571"/>
        <v>113.95847022279175</v>
      </c>
      <c r="IB69" s="19">
        <f t="shared" si="572"/>
        <v>3.2452576405176181</v>
      </c>
      <c r="IP69" s="11">
        <v>28</v>
      </c>
      <c r="IQ69" s="19">
        <f t="shared" si="358"/>
        <v>76.026649363542575</v>
      </c>
      <c r="IR69" s="20">
        <f t="shared" si="351"/>
        <v>5.2719425177053436</v>
      </c>
    </row>
    <row r="70" spans="1:252">
      <c r="A70" s="11"/>
      <c r="C70" s="1220" t="s">
        <v>2349</v>
      </c>
      <c r="D70" s="47" t="s">
        <v>1490</v>
      </c>
      <c r="E70" s="396">
        <f t="shared" si="333"/>
        <v>40</v>
      </c>
      <c r="F70" s="242">
        <v>8</v>
      </c>
      <c r="G70" s="48">
        <f>'Update Stock Prices'!S70</f>
        <v>97244444.444444448</v>
      </c>
      <c r="H70" s="991">
        <f t="shared" si="27"/>
        <v>8.2266910420475317E-8</v>
      </c>
      <c r="I70" s="49">
        <f>'Update Stock Prices'!D70</f>
        <v>9.9</v>
      </c>
      <c r="J70" s="49">
        <f t="shared" si="404"/>
        <v>79.2</v>
      </c>
      <c r="K70" s="30">
        <v>53.44</v>
      </c>
      <c r="L70" s="49">
        <f t="shared" si="28"/>
        <v>25.760000000000005</v>
      </c>
      <c r="M70" s="50">
        <f>L70/K70</f>
        <v>0.48203592814371271</v>
      </c>
      <c r="N70" s="49">
        <f t="shared" si="30"/>
        <v>6.68</v>
      </c>
      <c r="O70" s="48">
        <f t="shared" si="334"/>
        <v>32</v>
      </c>
      <c r="P70" s="49">
        <f t="shared" si="342"/>
        <v>4.2099999999999795</v>
      </c>
      <c r="Q70" s="30">
        <v>0</v>
      </c>
      <c r="R70" s="49">
        <f t="shared" ref="R70" si="596">S70/365.25</f>
        <v>0</v>
      </c>
      <c r="S70" s="49">
        <f t="shared" si="335"/>
        <v>0</v>
      </c>
      <c r="T70" s="49">
        <f t="shared" ref="T70" si="597">S70/12</f>
        <v>0</v>
      </c>
      <c r="U70" s="49"/>
      <c r="V70" s="50">
        <f t="shared" si="336"/>
        <v>0</v>
      </c>
      <c r="W70" s="50">
        <f t="shared" si="575"/>
        <v>0</v>
      </c>
      <c r="X70" s="49">
        <f t="shared" si="345"/>
        <v>0</v>
      </c>
      <c r="Y70" s="49">
        <f t="shared" ref="Y70" si="598">IF(U70="Q",3*T70,IF(U70="Y",12*T70,IF(U70="B",6*T70,IF(U70="M",T70,0))))</f>
        <v>0</v>
      </c>
      <c r="Z70" s="860">
        <f t="shared" si="337"/>
        <v>0</v>
      </c>
      <c r="AA70" s="860" t="str">
        <f t="shared" si="338"/>
        <v/>
      </c>
      <c r="AB70" s="49" t="str">
        <f t="shared" si="339"/>
        <v/>
      </c>
      <c r="AC70" s="48">
        <v>1</v>
      </c>
      <c r="AD70" s="47" t="str">
        <f t="shared" si="340"/>
        <v>IRDM</v>
      </c>
      <c r="AE70" s="49">
        <f t="shared" si="341"/>
        <v>79.2</v>
      </c>
      <c r="AF70" s="50" t="e">
        <f t="shared" si="405"/>
        <v>#REF!</v>
      </c>
      <c r="AG70" s="890" t="e">
        <f t="shared" ref="AG70:AG104" si="599">(100*AF70)^2</f>
        <v>#REF!</v>
      </c>
      <c r="AH70" s="207" t="s">
        <v>1496</v>
      </c>
      <c r="AI70" s="240">
        <f t="shared" si="406"/>
        <v>1.4239629694189994E-2</v>
      </c>
      <c r="AJ70" s="11">
        <f t="shared" si="595"/>
        <v>4</v>
      </c>
      <c r="AK70" s="11"/>
      <c r="AL70" s="11"/>
      <c r="AM70" s="11"/>
      <c r="AN70" s="11"/>
      <c r="AO70" s="11"/>
      <c r="AP70" s="11">
        <v>1</v>
      </c>
      <c r="AQ70" s="11" t="str">
        <f>'Update Stock Prices'!Q70</f>
        <v>small</v>
      </c>
      <c r="AR70" s="11"/>
      <c r="AS70" s="11"/>
      <c r="AT70" s="176"/>
      <c r="AV70" s="837" t="s">
        <v>1710</v>
      </c>
      <c r="AW70" s="234" t="s">
        <v>1710</v>
      </c>
      <c r="AY70" s="19"/>
      <c r="AZ70" s="19"/>
      <c r="BA70" s="19"/>
      <c r="BB70" s="19"/>
      <c r="BC70" s="976">
        <v>2016</v>
      </c>
      <c r="BD70" s="19">
        <f>SUM(957.28,1729.71,3792.1,1112.49)</f>
        <v>7591.58</v>
      </c>
      <c r="BE70" s="984"/>
      <c r="BF70" s="74"/>
      <c r="BS70" s="420" t="str">
        <f t="shared" si="407"/>
        <v>IRDM</v>
      </c>
      <c r="BT70" s="425">
        <f t="shared" si="408"/>
        <v>8</v>
      </c>
      <c r="BU70" s="19">
        <f t="shared" si="409"/>
        <v>9.9</v>
      </c>
      <c r="BV70" s="19">
        <f t="shared" si="410"/>
        <v>79.2</v>
      </c>
      <c r="BW70" s="539">
        <f t="shared" si="411"/>
        <v>0</v>
      </c>
      <c r="BX70" s="19">
        <f t="shared" si="412"/>
        <v>0</v>
      </c>
      <c r="BY70" s="10">
        <f t="shared" si="413"/>
        <v>0</v>
      </c>
      <c r="BZ70" s="10">
        <f t="shared" si="414"/>
        <v>8</v>
      </c>
      <c r="CA70" s="539">
        <f t="shared" si="415"/>
        <v>79.2</v>
      </c>
      <c r="CB70" s="19">
        <f t="shared" si="416"/>
        <v>0</v>
      </c>
      <c r="CC70" s="10">
        <f t="shared" si="417"/>
        <v>0</v>
      </c>
      <c r="CD70" s="10">
        <f t="shared" si="418"/>
        <v>8</v>
      </c>
      <c r="CE70" s="539">
        <f t="shared" si="419"/>
        <v>79.2</v>
      </c>
      <c r="CF70" s="19">
        <f t="shared" si="420"/>
        <v>0</v>
      </c>
      <c r="CG70" s="10">
        <f t="shared" si="421"/>
        <v>0</v>
      </c>
      <c r="CH70" s="10">
        <f t="shared" si="422"/>
        <v>8</v>
      </c>
      <c r="CI70" s="539">
        <f t="shared" si="423"/>
        <v>79.2</v>
      </c>
      <c r="CJ70" s="19">
        <f t="shared" si="424"/>
        <v>0</v>
      </c>
      <c r="CK70" s="10">
        <f t="shared" si="425"/>
        <v>0</v>
      </c>
      <c r="CL70" s="10">
        <f t="shared" si="426"/>
        <v>8</v>
      </c>
      <c r="CM70" s="539">
        <f t="shared" si="427"/>
        <v>79.2</v>
      </c>
      <c r="CN70" s="19">
        <f t="shared" si="428"/>
        <v>0</v>
      </c>
      <c r="CO70" s="10">
        <f t="shared" si="429"/>
        <v>0</v>
      </c>
      <c r="CP70" s="10">
        <f t="shared" si="430"/>
        <v>8</v>
      </c>
      <c r="CQ70" s="539">
        <f t="shared" si="431"/>
        <v>79.2</v>
      </c>
      <c r="CR70" s="19">
        <f t="shared" si="432"/>
        <v>0</v>
      </c>
      <c r="CS70" s="10">
        <f t="shared" si="433"/>
        <v>0</v>
      </c>
      <c r="CT70" s="10">
        <f t="shared" si="434"/>
        <v>8</v>
      </c>
      <c r="CU70" s="539">
        <f t="shared" si="435"/>
        <v>79.2</v>
      </c>
      <c r="CV70" s="19">
        <f t="shared" si="436"/>
        <v>0</v>
      </c>
      <c r="CW70" s="10">
        <f t="shared" si="437"/>
        <v>0</v>
      </c>
      <c r="CX70" s="10">
        <f t="shared" si="438"/>
        <v>8</v>
      </c>
      <c r="CY70" s="539">
        <f t="shared" si="439"/>
        <v>79.2</v>
      </c>
      <c r="CZ70" s="19">
        <f t="shared" si="440"/>
        <v>0</v>
      </c>
      <c r="DA70" s="10">
        <f t="shared" si="441"/>
        <v>0</v>
      </c>
      <c r="DB70" s="10">
        <f t="shared" si="442"/>
        <v>8</v>
      </c>
      <c r="DC70" s="539">
        <f t="shared" si="443"/>
        <v>79.2</v>
      </c>
      <c r="DD70" s="19">
        <f t="shared" si="444"/>
        <v>0</v>
      </c>
      <c r="DE70" s="10">
        <f t="shared" si="445"/>
        <v>0</v>
      </c>
      <c r="DF70" s="10">
        <f t="shared" si="446"/>
        <v>8</v>
      </c>
      <c r="DG70" s="539">
        <f t="shared" si="447"/>
        <v>79.2</v>
      </c>
      <c r="DH70" s="19">
        <f t="shared" si="448"/>
        <v>0</v>
      </c>
      <c r="DI70" s="10">
        <f t="shared" si="449"/>
        <v>0</v>
      </c>
      <c r="DJ70" s="10">
        <f t="shared" si="450"/>
        <v>8</v>
      </c>
      <c r="DK70" s="539">
        <f t="shared" si="451"/>
        <v>79.2</v>
      </c>
      <c r="DL70" s="19">
        <f t="shared" si="452"/>
        <v>0</v>
      </c>
      <c r="DM70" s="10">
        <f t="shared" si="453"/>
        <v>0</v>
      </c>
      <c r="DN70" s="10">
        <f t="shared" si="454"/>
        <v>8</v>
      </c>
      <c r="DO70" s="539">
        <f t="shared" si="455"/>
        <v>79.2</v>
      </c>
      <c r="DP70" s="19">
        <f t="shared" si="456"/>
        <v>0</v>
      </c>
      <c r="DQ70" s="10">
        <f t="shared" si="457"/>
        <v>0</v>
      </c>
      <c r="DR70" s="10">
        <f t="shared" si="458"/>
        <v>8</v>
      </c>
      <c r="DS70" s="539">
        <f t="shared" si="459"/>
        <v>79.2</v>
      </c>
      <c r="DT70" s="19">
        <f t="shared" si="460"/>
        <v>0</v>
      </c>
      <c r="DU70" s="10">
        <f t="shared" si="461"/>
        <v>0</v>
      </c>
      <c r="DV70" s="10">
        <f t="shared" si="462"/>
        <v>8</v>
      </c>
      <c r="DW70" s="539">
        <f t="shared" si="463"/>
        <v>79.2</v>
      </c>
      <c r="DX70" s="19">
        <f t="shared" si="464"/>
        <v>0</v>
      </c>
      <c r="DY70" s="10">
        <f t="shared" si="465"/>
        <v>0</v>
      </c>
      <c r="DZ70" s="10">
        <f t="shared" si="466"/>
        <v>8</v>
      </c>
      <c r="EA70" s="539">
        <f t="shared" si="467"/>
        <v>79.2</v>
      </c>
      <c r="EB70" s="19">
        <f t="shared" si="468"/>
        <v>0</v>
      </c>
      <c r="EC70" s="10">
        <f t="shared" si="469"/>
        <v>0</v>
      </c>
      <c r="ED70" s="10">
        <f t="shared" si="470"/>
        <v>8</v>
      </c>
      <c r="EE70" s="539">
        <f t="shared" si="471"/>
        <v>79.2</v>
      </c>
      <c r="EF70" s="19">
        <f t="shared" si="472"/>
        <v>0</v>
      </c>
      <c r="EG70" s="10">
        <f t="shared" si="473"/>
        <v>0</v>
      </c>
      <c r="EH70" s="10">
        <f t="shared" si="474"/>
        <v>8</v>
      </c>
      <c r="EI70" s="539">
        <f t="shared" si="475"/>
        <v>79.2</v>
      </c>
      <c r="EJ70" s="19">
        <f t="shared" si="476"/>
        <v>0</v>
      </c>
      <c r="EK70" s="10">
        <f t="shared" si="477"/>
        <v>0</v>
      </c>
      <c r="EL70" s="10">
        <f t="shared" si="478"/>
        <v>8</v>
      </c>
      <c r="EM70" s="539">
        <f t="shared" si="479"/>
        <v>79.2</v>
      </c>
      <c r="EN70" s="19">
        <f t="shared" si="480"/>
        <v>0</v>
      </c>
      <c r="EO70" s="10">
        <f t="shared" si="481"/>
        <v>0</v>
      </c>
      <c r="EP70" s="10">
        <f t="shared" si="482"/>
        <v>8</v>
      </c>
      <c r="EQ70" s="539">
        <f t="shared" si="483"/>
        <v>79.2</v>
      </c>
      <c r="ER70" s="19">
        <f t="shared" si="484"/>
        <v>0</v>
      </c>
      <c r="ES70" s="10">
        <f t="shared" si="485"/>
        <v>0</v>
      </c>
      <c r="ET70" s="10">
        <f t="shared" si="486"/>
        <v>8</v>
      </c>
      <c r="EU70" s="539">
        <f t="shared" si="487"/>
        <v>79.2</v>
      </c>
      <c r="EV70" s="19">
        <f t="shared" si="488"/>
        <v>0</v>
      </c>
      <c r="EW70" s="10">
        <f t="shared" si="489"/>
        <v>0</v>
      </c>
      <c r="EX70" s="10">
        <f t="shared" si="490"/>
        <v>8</v>
      </c>
      <c r="EY70" s="539">
        <f t="shared" si="491"/>
        <v>79.2</v>
      </c>
      <c r="EZ70" s="19">
        <f t="shared" si="492"/>
        <v>0</v>
      </c>
      <c r="FA70" s="10">
        <f t="shared" si="493"/>
        <v>0</v>
      </c>
      <c r="FB70" s="10">
        <f t="shared" si="494"/>
        <v>8</v>
      </c>
      <c r="FC70" s="539">
        <f t="shared" si="495"/>
        <v>79.2</v>
      </c>
      <c r="FD70" s="19">
        <f t="shared" si="496"/>
        <v>0</v>
      </c>
      <c r="FE70" s="10">
        <f t="shared" si="497"/>
        <v>0</v>
      </c>
      <c r="FF70" s="10">
        <f t="shared" si="498"/>
        <v>8</v>
      </c>
      <c r="FG70" s="539">
        <f t="shared" si="499"/>
        <v>79.2</v>
      </c>
      <c r="FH70" s="19">
        <f t="shared" si="500"/>
        <v>0</v>
      </c>
      <c r="FI70" s="10">
        <f t="shared" si="501"/>
        <v>0</v>
      </c>
      <c r="FJ70" s="10">
        <f t="shared" si="502"/>
        <v>8</v>
      </c>
      <c r="FK70" s="539">
        <f t="shared" si="503"/>
        <v>79.2</v>
      </c>
      <c r="FL70" s="19">
        <f t="shared" si="504"/>
        <v>0</v>
      </c>
      <c r="FM70" s="10">
        <f t="shared" si="505"/>
        <v>0</v>
      </c>
      <c r="FN70" s="10">
        <f t="shared" si="506"/>
        <v>8</v>
      </c>
      <c r="FO70" s="539">
        <f t="shared" si="507"/>
        <v>79.2</v>
      </c>
      <c r="FP70" s="19">
        <f t="shared" si="508"/>
        <v>0</v>
      </c>
      <c r="FQ70" s="10">
        <f t="shared" si="509"/>
        <v>0</v>
      </c>
      <c r="FR70" s="10">
        <f t="shared" si="510"/>
        <v>8</v>
      </c>
      <c r="FS70" s="539">
        <f t="shared" si="511"/>
        <v>79.2</v>
      </c>
      <c r="FT70" s="19">
        <f t="shared" si="512"/>
        <v>0</v>
      </c>
      <c r="FU70" s="10">
        <f t="shared" si="513"/>
        <v>0</v>
      </c>
      <c r="FV70" s="10">
        <f t="shared" si="514"/>
        <v>8</v>
      </c>
      <c r="FW70" s="539">
        <f t="shared" si="515"/>
        <v>79.2</v>
      </c>
      <c r="FX70" s="19">
        <f t="shared" si="516"/>
        <v>0</v>
      </c>
      <c r="FY70" s="10">
        <f t="shared" si="517"/>
        <v>0</v>
      </c>
      <c r="FZ70" s="10">
        <f t="shared" si="518"/>
        <v>8</v>
      </c>
      <c r="GA70" s="539">
        <f t="shared" si="519"/>
        <v>79.2</v>
      </c>
      <c r="GB70" s="19">
        <f t="shared" si="520"/>
        <v>0</v>
      </c>
      <c r="GC70" s="10">
        <f t="shared" si="521"/>
        <v>0</v>
      </c>
      <c r="GD70" s="10">
        <f t="shared" si="522"/>
        <v>8</v>
      </c>
      <c r="GE70" s="539">
        <f t="shared" si="523"/>
        <v>79.2</v>
      </c>
      <c r="GF70" s="19">
        <f t="shared" si="524"/>
        <v>0</v>
      </c>
      <c r="GG70" s="10">
        <f t="shared" si="525"/>
        <v>0</v>
      </c>
      <c r="GH70" s="10">
        <f t="shared" si="526"/>
        <v>8</v>
      </c>
      <c r="GI70" s="539">
        <f t="shared" si="527"/>
        <v>79.2</v>
      </c>
      <c r="GJ70" s="19">
        <f t="shared" si="528"/>
        <v>0</v>
      </c>
      <c r="GK70" s="10">
        <f t="shared" si="529"/>
        <v>0</v>
      </c>
      <c r="GL70" s="10">
        <f t="shared" si="530"/>
        <v>8</v>
      </c>
      <c r="GM70" s="539">
        <f t="shared" si="531"/>
        <v>79.2</v>
      </c>
      <c r="GN70" s="19">
        <f t="shared" si="532"/>
        <v>0</v>
      </c>
      <c r="GO70" s="10">
        <f t="shared" si="533"/>
        <v>0</v>
      </c>
      <c r="GP70" s="10">
        <f t="shared" si="534"/>
        <v>8</v>
      </c>
      <c r="GQ70" s="539">
        <f t="shared" si="535"/>
        <v>79.2</v>
      </c>
      <c r="GR70" s="19">
        <f t="shared" si="536"/>
        <v>0</v>
      </c>
      <c r="GS70" s="10">
        <f t="shared" si="537"/>
        <v>0</v>
      </c>
      <c r="GT70" s="10">
        <f t="shared" si="538"/>
        <v>8</v>
      </c>
      <c r="GU70" s="539">
        <f t="shared" si="539"/>
        <v>79.2</v>
      </c>
      <c r="GV70" s="19">
        <f t="shared" si="540"/>
        <v>0</v>
      </c>
      <c r="GW70" s="10">
        <f t="shared" si="541"/>
        <v>0</v>
      </c>
      <c r="GX70" s="10">
        <f t="shared" si="542"/>
        <v>8</v>
      </c>
      <c r="GY70" s="539">
        <f t="shared" si="543"/>
        <v>79.2</v>
      </c>
      <c r="GZ70" s="19">
        <f t="shared" si="544"/>
        <v>0</v>
      </c>
      <c r="HA70" s="10">
        <f t="shared" si="545"/>
        <v>0</v>
      </c>
      <c r="HB70" s="10">
        <f t="shared" si="546"/>
        <v>8</v>
      </c>
      <c r="HC70" s="539">
        <f t="shared" si="547"/>
        <v>79.2</v>
      </c>
      <c r="HD70" s="19">
        <f t="shared" si="548"/>
        <v>0</v>
      </c>
      <c r="HE70" s="10">
        <f t="shared" si="549"/>
        <v>0</v>
      </c>
      <c r="HF70" s="10">
        <f t="shared" si="550"/>
        <v>8</v>
      </c>
      <c r="HG70" s="539">
        <f t="shared" si="551"/>
        <v>79.2</v>
      </c>
      <c r="HH70" s="19">
        <f t="shared" si="552"/>
        <v>0</v>
      </c>
      <c r="HI70" s="10">
        <f t="shared" si="553"/>
        <v>0</v>
      </c>
      <c r="HJ70" s="10">
        <f t="shared" si="554"/>
        <v>8</v>
      </c>
      <c r="HK70" s="539">
        <f t="shared" si="555"/>
        <v>79.2</v>
      </c>
      <c r="HL70" s="19">
        <f t="shared" si="556"/>
        <v>0</v>
      </c>
      <c r="HM70" s="10">
        <f t="shared" si="557"/>
        <v>0</v>
      </c>
      <c r="HN70" s="10">
        <f t="shared" si="558"/>
        <v>8</v>
      </c>
      <c r="HO70" s="539">
        <f t="shared" si="559"/>
        <v>79.2</v>
      </c>
      <c r="HP70" s="19">
        <f t="shared" si="560"/>
        <v>0</v>
      </c>
      <c r="HQ70" s="10">
        <f t="shared" si="561"/>
        <v>0</v>
      </c>
      <c r="HR70" s="10">
        <f t="shared" si="562"/>
        <v>8</v>
      </c>
      <c r="HS70" s="539">
        <f t="shared" si="563"/>
        <v>79.2</v>
      </c>
      <c r="HT70" s="19">
        <f t="shared" si="564"/>
        <v>0</v>
      </c>
      <c r="HU70" s="10">
        <f t="shared" si="565"/>
        <v>0</v>
      </c>
      <c r="HV70" s="10">
        <f t="shared" si="566"/>
        <v>8</v>
      </c>
      <c r="HW70" s="539">
        <f t="shared" si="567"/>
        <v>79.2</v>
      </c>
      <c r="HX70" s="19">
        <f t="shared" si="568"/>
        <v>0</v>
      </c>
      <c r="HY70" s="10">
        <f t="shared" si="569"/>
        <v>0</v>
      </c>
      <c r="HZ70" s="10">
        <f t="shared" si="570"/>
        <v>8</v>
      </c>
      <c r="IA70" s="539">
        <f t="shared" si="571"/>
        <v>79.2</v>
      </c>
      <c r="IB70" s="19">
        <f t="shared" si="572"/>
        <v>0</v>
      </c>
      <c r="IP70" s="11">
        <v>29</v>
      </c>
      <c r="IQ70" s="19">
        <f t="shared" si="358"/>
        <v>82.108781312625979</v>
      </c>
      <c r="IR70" s="20">
        <f t="shared" si="351"/>
        <v>5.1760890173834282</v>
      </c>
    </row>
    <row r="71" spans="1:252" ht="13.5" thickBot="1">
      <c r="A71" s="8"/>
      <c r="C71" s="826" t="s">
        <v>2342</v>
      </c>
      <c r="D71" s="47" t="s">
        <v>602</v>
      </c>
      <c r="E71" s="396">
        <f t="shared" ref="E71:E105" si="600">F71+O71</f>
        <v>36.140299999999996</v>
      </c>
      <c r="F71" s="242">
        <v>2.1402999999999999</v>
      </c>
      <c r="G71" s="48">
        <f>'Update Stock Prices'!S71</f>
        <v>69521035.5987055</v>
      </c>
      <c r="H71" s="991">
        <f t="shared" si="27"/>
        <v>3.0786365329112742E-8</v>
      </c>
      <c r="I71" s="49">
        <f>'Update Stock Prices'!D71</f>
        <v>9.27</v>
      </c>
      <c r="J71" s="49">
        <f t="shared" si="404"/>
        <v>19.840580999999997</v>
      </c>
      <c r="K71" s="30">
        <v>18.23</v>
      </c>
      <c r="L71" s="49">
        <f t="shared" si="28"/>
        <v>1.6105809999999963</v>
      </c>
      <c r="M71" s="50">
        <f t="shared" si="29"/>
        <v>8.834783324190873E-2</v>
      </c>
      <c r="N71" s="49">
        <f t="shared" si="30"/>
        <v>8.5174975470728409</v>
      </c>
      <c r="O71" s="48">
        <f t="shared" ref="O71:O105" si="601">IF(INT(($B$11-$B$12)/I71)&lt;0,0,INT(($B$11-$B$12)/I71))</f>
        <v>34</v>
      </c>
      <c r="P71" s="49">
        <f t="shared" ref="P71:P105" si="602">IF(($B$11-$B$12)-(O71*I71)&lt;0,0,($B$11-$B$12)-(O71*I71))</f>
        <v>5.8299999999999841</v>
      </c>
      <c r="Q71" s="30">
        <f>0.06*12</f>
        <v>0.72</v>
      </c>
      <c r="R71" s="49">
        <f>S71/365.25</f>
        <v>4.2190718685831624E-3</v>
      </c>
      <c r="S71" s="49">
        <f t="shared" ref="S71:S105" si="603">F71*Q71</f>
        <v>1.5410159999999999</v>
      </c>
      <c r="T71" s="49">
        <f>S71/12</f>
        <v>0.128418</v>
      </c>
      <c r="U71" s="49" t="s">
        <v>56</v>
      </c>
      <c r="V71" s="50">
        <f t="shared" ref="V71:V105" si="604">Q71/I71</f>
        <v>7.7669902912621366E-2</v>
      </c>
      <c r="W71" s="50">
        <f t="shared" si="575"/>
        <v>8.4531870543060883E-2</v>
      </c>
      <c r="X71" s="49">
        <f>12*((E71*Q71)/12-T71)</f>
        <v>24.479999999999997</v>
      </c>
      <c r="Y71" s="49">
        <f t="shared" si="32"/>
        <v>0.128418</v>
      </c>
      <c r="Z71" s="860">
        <f t="shared" ref="Z71:Z105" si="605">IF(Y71/I71&gt;1,1,0)</f>
        <v>0</v>
      </c>
      <c r="AA71" s="860">
        <f t="shared" ref="AA71:AA105" si="606">IF(Z71=1,"",IF(AND(U71&lt;&gt;"",Z71=0),I71/(Y71/F71)-F71,""))</f>
        <v>152.35969999999998</v>
      </c>
      <c r="AB71" s="49">
        <f t="shared" ref="AB71:AB105" si="607">IF(AA71&lt;&gt;"",AA71*I71,"")</f>
        <v>1412.3744189999998</v>
      </c>
      <c r="AC71" s="48">
        <v>1</v>
      </c>
      <c r="AD71" s="47" t="str">
        <f t="shared" ref="AD71:AD105" si="608">D71</f>
        <v>IRT</v>
      </c>
      <c r="AE71" s="49">
        <f t="shared" ref="AE71:AE105" si="609">J71</f>
        <v>19.840580999999997</v>
      </c>
      <c r="AF71" s="50" t="e">
        <f t="shared" si="405"/>
        <v>#REF!</v>
      </c>
      <c r="AG71" s="890" t="e">
        <f t="shared" si="599"/>
        <v>#REF!</v>
      </c>
      <c r="AH71" s="207" t="s">
        <v>321</v>
      </c>
      <c r="AI71" s="240">
        <f t="shared" si="406"/>
        <v>8.9362869039546892E-4</v>
      </c>
      <c r="AJ71" s="11">
        <f t="shared" si="595"/>
        <v>3</v>
      </c>
      <c r="AK71" s="11"/>
      <c r="AL71" s="11"/>
      <c r="AM71" s="11"/>
      <c r="AN71" s="11"/>
      <c r="AO71" s="11"/>
      <c r="AP71" s="11"/>
      <c r="AQ71" s="11" t="str">
        <f>'Update Stock Prices'!Q71</f>
        <v>small</v>
      </c>
      <c r="AR71" s="11"/>
      <c r="AS71" s="11"/>
      <c r="AT71" s="176"/>
      <c r="AU71" s="835"/>
      <c r="AV71" s="841">
        <f>AV84/AV65</f>
        <v>5.8098002622149515E-2</v>
      </c>
      <c r="AW71" s="628">
        <f>AV84/AW65</f>
        <v>0.11619600524429903</v>
      </c>
      <c r="AX71" s="238"/>
      <c r="AY71" s="432"/>
      <c r="AZ71" s="432"/>
      <c r="BA71" s="432"/>
      <c r="BB71" s="432"/>
      <c r="BC71" s="977">
        <v>2017</v>
      </c>
      <c r="BD71" s="238"/>
      <c r="BE71" s="646"/>
      <c r="BF71" s="74"/>
      <c r="BS71" s="420" t="str">
        <f t="shared" si="407"/>
        <v>IRT</v>
      </c>
      <c r="BT71" s="425">
        <f t="shared" si="408"/>
        <v>2.1402999999999999</v>
      </c>
      <c r="BU71" s="19">
        <f t="shared" si="409"/>
        <v>9.27</v>
      </c>
      <c r="BV71" s="19">
        <f t="shared" si="410"/>
        <v>19.840580999999997</v>
      </c>
      <c r="BW71" s="539">
        <f t="shared" si="411"/>
        <v>0.72</v>
      </c>
      <c r="BX71" s="19">
        <f t="shared" si="412"/>
        <v>1.5410159999999999</v>
      </c>
      <c r="BY71" s="10">
        <f t="shared" si="413"/>
        <v>0.16623689320388349</v>
      </c>
      <c r="BZ71" s="10">
        <f t="shared" si="414"/>
        <v>2.3065368932038832</v>
      </c>
      <c r="CA71" s="539">
        <f t="shared" si="415"/>
        <v>21.381596999999996</v>
      </c>
      <c r="CB71" s="19">
        <f t="shared" si="416"/>
        <v>1.6607065631067959</v>
      </c>
      <c r="CC71" s="10">
        <f t="shared" si="417"/>
        <v>0.17914849655952492</v>
      </c>
      <c r="CD71" s="10">
        <f t="shared" si="418"/>
        <v>2.4856853897634084</v>
      </c>
      <c r="CE71" s="539">
        <f t="shared" si="419"/>
        <v>23.042303563106795</v>
      </c>
      <c r="CF71" s="19">
        <f t="shared" si="420"/>
        <v>1.7896934806296541</v>
      </c>
      <c r="CG71" s="10">
        <f t="shared" si="421"/>
        <v>0.19306294289424533</v>
      </c>
      <c r="CH71" s="10">
        <f t="shared" si="422"/>
        <v>2.6787483326576536</v>
      </c>
      <c r="CI71" s="539">
        <f t="shared" si="423"/>
        <v>24.831997043736447</v>
      </c>
      <c r="CJ71" s="19">
        <f t="shared" si="424"/>
        <v>1.9286987995135105</v>
      </c>
      <c r="CK71" s="10">
        <f t="shared" si="425"/>
        <v>0.20805812292486631</v>
      </c>
      <c r="CL71" s="10">
        <f t="shared" si="426"/>
        <v>2.8868064555825197</v>
      </c>
      <c r="CM71" s="539">
        <f t="shared" si="427"/>
        <v>26.760695843249955</v>
      </c>
      <c r="CN71" s="19">
        <f t="shared" si="428"/>
        <v>2.0785006480194141</v>
      </c>
      <c r="CO71" s="10">
        <f t="shared" si="429"/>
        <v>0.2242179771326229</v>
      </c>
      <c r="CP71" s="10">
        <f t="shared" si="430"/>
        <v>3.1110244327151424</v>
      </c>
      <c r="CQ71" s="539">
        <f t="shared" si="431"/>
        <v>28.839196491269369</v>
      </c>
      <c r="CR71" s="19">
        <f t="shared" si="432"/>
        <v>2.2399375915549022</v>
      </c>
      <c r="CS71" s="10">
        <f t="shared" si="433"/>
        <v>0.24163296564777803</v>
      </c>
      <c r="CT71" s="10">
        <f t="shared" si="434"/>
        <v>3.3526573983629202</v>
      </c>
      <c r="CU71" s="539">
        <f t="shared" si="435"/>
        <v>31.079134082824268</v>
      </c>
      <c r="CV71" s="19">
        <f t="shared" si="436"/>
        <v>2.4139133268213024</v>
      </c>
      <c r="CW71" s="10">
        <f t="shared" si="437"/>
        <v>0.26040057463012972</v>
      </c>
      <c r="CX71" s="10">
        <f t="shared" si="438"/>
        <v>3.6130579729930501</v>
      </c>
      <c r="CY71" s="539">
        <f t="shared" si="439"/>
        <v>33.49304740964557</v>
      </c>
      <c r="CZ71" s="19">
        <f t="shared" si="440"/>
        <v>2.6014017405549961</v>
      </c>
      <c r="DA71" s="10">
        <f t="shared" si="441"/>
        <v>0.28062586198004275</v>
      </c>
      <c r="DB71" s="10">
        <f t="shared" si="442"/>
        <v>3.8936838349730927</v>
      </c>
      <c r="DC71" s="539">
        <f t="shared" si="443"/>
        <v>36.094449150200568</v>
      </c>
      <c r="DD71" s="19">
        <f t="shared" si="444"/>
        <v>2.8034523611806268</v>
      </c>
      <c r="DE71" s="10">
        <f t="shared" si="445"/>
        <v>0.30242204543480333</v>
      </c>
      <c r="DF71" s="10">
        <f t="shared" si="446"/>
        <v>4.1961058804078961</v>
      </c>
      <c r="DG71" s="539">
        <f t="shared" si="447"/>
        <v>38.897901511381193</v>
      </c>
      <c r="DH71" s="19">
        <f t="shared" si="448"/>
        <v>3.0211962338936851</v>
      </c>
      <c r="DI71" s="10">
        <f t="shared" si="449"/>
        <v>0.32591113634236085</v>
      </c>
      <c r="DJ71" s="10">
        <f t="shared" si="450"/>
        <v>4.5220170167502571</v>
      </c>
      <c r="DK71" s="539">
        <f t="shared" si="451"/>
        <v>41.919097745274883</v>
      </c>
      <c r="DL71" s="19">
        <f t="shared" si="452"/>
        <v>3.2558522520601851</v>
      </c>
      <c r="DM71" s="10">
        <f t="shared" si="453"/>
        <v>0.35122462266021415</v>
      </c>
      <c r="DN71" s="10">
        <f t="shared" si="454"/>
        <v>4.8732416394104714</v>
      </c>
      <c r="DO71" s="539">
        <f t="shared" si="455"/>
        <v>45.174949997335069</v>
      </c>
      <c r="DP71" s="19">
        <f t="shared" si="456"/>
        <v>3.5087339803755393</v>
      </c>
      <c r="DQ71" s="10">
        <f t="shared" si="457"/>
        <v>0.37850420500275506</v>
      </c>
      <c r="DR71" s="10">
        <f t="shared" si="458"/>
        <v>5.2517458444132261</v>
      </c>
      <c r="DS71" s="539">
        <f t="shared" si="459"/>
        <v>48.683683977710601</v>
      </c>
      <c r="DT71" s="19">
        <f t="shared" si="460"/>
        <v>3.7812570079775227</v>
      </c>
      <c r="DU71" s="10">
        <f t="shared" si="461"/>
        <v>0.40790258985733796</v>
      </c>
      <c r="DV71" s="10">
        <f t="shared" si="462"/>
        <v>5.6596484342705642</v>
      </c>
      <c r="DW71" s="539">
        <f t="shared" si="463"/>
        <v>52.464940985688131</v>
      </c>
      <c r="DX71" s="19">
        <f t="shared" si="464"/>
        <v>4.0749468726748059</v>
      </c>
      <c r="DY71" s="10">
        <f t="shared" si="465"/>
        <v>0.43958434440936422</v>
      </c>
      <c r="DZ71" s="10">
        <f t="shared" si="466"/>
        <v>6.0992327786799283</v>
      </c>
      <c r="EA71" s="539">
        <f t="shared" si="467"/>
        <v>56.539887858362931</v>
      </c>
      <c r="EB71" s="19">
        <f t="shared" si="468"/>
        <v>4.3914476006495482</v>
      </c>
      <c r="EC71" s="10">
        <f t="shared" si="469"/>
        <v>0.47372681776154785</v>
      </c>
      <c r="ED71" s="10">
        <f t="shared" si="470"/>
        <v>6.5729595964414758</v>
      </c>
      <c r="EE71" s="539">
        <f t="shared" si="471"/>
        <v>60.93133545901248</v>
      </c>
      <c r="EF71" s="19">
        <f t="shared" si="472"/>
        <v>4.7325309094378625</v>
      </c>
      <c r="EG71" s="10">
        <f t="shared" si="473"/>
        <v>0.51052113370419228</v>
      </c>
      <c r="EH71" s="10">
        <f t="shared" si="474"/>
        <v>7.0834807301456681</v>
      </c>
      <c r="EI71" s="539">
        <f t="shared" si="475"/>
        <v>65.663866368450343</v>
      </c>
      <c r="EJ71" s="19">
        <f t="shared" si="476"/>
        <v>5.1001061257048805</v>
      </c>
      <c r="EK71" s="10">
        <f t="shared" si="477"/>
        <v>0.55017326059383831</v>
      </c>
      <c r="EL71" s="10">
        <f t="shared" si="478"/>
        <v>7.6336539907395062</v>
      </c>
      <c r="EM71" s="539">
        <f t="shared" si="479"/>
        <v>70.763972494155226</v>
      </c>
      <c r="EN71" s="19">
        <f t="shared" si="480"/>
        <v>5.4962308733324443</v>
      </c>
      <c r="EO71" s="10">
        <f t="shared" si="481"/>
        <v>0.59290516432928209</v>
      </c>
      <c r="EP71" s="10">
        <f t="shared" si="482"/>
        <v>8.226559155068788</v>
      </c>
      <c r="EQ71" s="539">
        <f t="shared" si="483"/>
        <v>76.260203367487662</v>
      </c>
      <c r="ER71" s="19">
        <f t="shared" si="484"/>
        <v>5.9231225916495269</v>
      </c>
      <c r="ES71" s="10">
        <f t="shared" si="485"/>
        <v>0.6389560508791291</v>
      </c>
      <c r="ET71" s="10">
        <f t="shared" si="486"/>
        <v>8.8655152059479168</v>
      </c>
      <c r="EU71" s="539">
        <f t="shared" si="487"/>
        <v>82.183325959137179</v>
      </c>
      <c r="EV71" s="19">
        <f t="shared" si="488"/>
        <v>6.3831709482824994</v>
      </c>
      <c r="EW71" s="10">
        <f t="shared" si="489"/>
        <v>0.68858370531634305</v>
      </c>
      <c r="EX71" s="10">
        <f t="shared" si="490"/>
        <v>9.5540989112642603</v>
      </c>
      <c r="EY71" s="539">
        <f t="shared" si="491"/>
        <v>88.56649690741969</v>
      </c>
      <c r="EZ71" s="19">
        <f t="shared" si="492"/>
        <v>6.8789512161102673</v>
      </c>
      <c r="FA71" s="10">
        <f t="shared" si="493"/>
        <v>0.74206593485547656</v>
      </c>
      <c r="FB71" s="10">
        <f t="shared" si="494"/>
        <v>10.296164846119737</v>
      </c>
      <c r="FC71" s="539">
        <f t="shared" si="495"/>
        <v>95.445448123529957</v>
      </c>
      <c r="FD71" s="19">
        <f t="shared" si="496"/>
        <v>7.4132386892062101</v>
      </c>
      <c r="FE71" s="10">
        <f t="shared" si="497"/>
        <v>0.79970212397046503</v>
      </c>
      <c r="FF71" s="10">
        <f t="shared" si="498"/>
        <v>11.095866970090203</v>
      </c>
      <c r="FG71" s="539">
        <f t="shared" si="499"/>
        <v>102.85868681273618</v>
      </c>
      <c r="FH71" s="19">
        <f t="shared" si="500"/>
        <v>7.9890242184649454</v>
      </c>
      <c r="FI71" s="10">
        <f t="shared" si="501"/>
        <v>0.86181491029826818</v>
      </c>
      <c r="FJ71" s="10">
        <f t="shared" si="502"/>
        <v>11.957681880388471</v>
      </c>
      <c r="FK71" s="539">
        <f t="shared" si="503"/>
        <v>110.84771103120111</v>
      </c>
      <c r="FL71" s="19">
        <f t="shared" si="504"/>
        <v>8.6095309538796982</v>
      </c>
      <c r="FM71" s="10">
        <f t="shared" si="505"/>
        <v>0.92875199070978409</v>
      </c>
      <c r="FN71" s="10">
        <f t="shared" si="506"/>
        <v>12.886433871098255</v>
      </c>
      <c r="FO71" s="539">
        <f t="shared" si="507"/>
        <v>119.45724198508081</v>
      </c>
      <c r="FP71" s="19">
        <f t="shared" si="508"/>
        <v>9.2782323871907426</v>
      </c>
      <c r="FQ71" s="10">
        <f t="shared" si="509"/>
        <v>1.0008880676581169</v>
      </c>
      <c r="FR71" s="10">
        <f t="shared" si="510"/>
        <v>13.887321938756372</v>
      </c>
      <c r="FS71" s="539">
        <f t="shared" si="511"/>
        <v>128.73547437227157</v>
      </c>
      <c r="FT71" s="19">
        <f t="shared" si="512"/>
        <v>9.9988717959045879</v>
      </c>
      <c r="FU71" s="10">
        <f t="shared" si="513"/>
        <v>1.0786269466995242</v>
      </c>
      <c r="FV71" s="10">
        <f t="shared" si="514"/>
        <v>14.965948885455896</v>
      </c>
      <c r="FW71" s="539">
        <f t="shared" si="515"/>
        <v>138.73434616817616</v>
      </c>
      <c r="FX71" s="19">
        <f t="shared" si="516"/>
        <v>10.775483197528246</v>
      </c>
      <c r="FY71" s="10">
        <f t="shared" si="517"/>
        <v>1.1624037969286134</v>
      </c>
      <c r="FZ71" s="10">
        <f t="shared" si="518"/>
        <v>16.128352682384509</v>
      </c>
      <c r="GA71" s="539">
        <f t="shared" si="519"/>
        <v>149.50982936570441</v>
      </c>
      <c r="GB71" s="19">
        <f t="shared" si="520"/>
        <v>11.612413931316846</v>
      </c>
      <c r="GC71" s="10">
        <f t="shared" si="521"/>
        <v>1.252687586981321</v>
      </c>
      <c r="GD71" s="10">
        <f t="shared" si="522"/>
        <v>17.38104026936583</v>
      </c>
      <c r="GE71" s="539">
        <f t="shared" si="523"/>
        <v>161.12224329702124</v>
      </c>
      <c r="GF71" s="19">
        <f t="shared" si="524"/>
        <v>12.514348993943397</v>
      </c>
      <c r="GG71" s="10">
        <f t="shared" si="525"/>
        <v>1.3499837102420063</v>
      </c>
      <c r="GH71" s="10">
        <f t="shared" si="526"/>
        <v>18.731023979607837</v>
      </c>
      <c r="GI71" s="539">
        <f t="shared" si="527"/>
        <v>173.63659229096464</v>
      </c>
      <c r="GJ71" s="19">
        <f t="shared" si="528"/>
        <v>13.486337265317642</v>
      </c>
      <c r="GK71" s="10">
        <f t="shared" si="529"/>
        <v>1.4548368139501233</v>
      </c>
      <c r="GL71" s="10">
        <f t="shared" si="530"/>
        <v>20.185860793557961</v>
      </c>
      <c r="GM71" s="539">
        <f t="shared" si="531"/>
        <v>187.12292955628229</v>
      </c>
      <c r="GN71" s="19">
        <f t="shared" si="532"/>
        <v>14.533819771361731</v>
      </c>
      <c r="GO71" s="10">
        <f t="shared" si="533"/>
        <v>1.5678338480433367</v>
      </c>
      <c r="GP71" s="10">
        <f t="shared" si="534"/>
        <v>21.753694641601296</v>
      </c>
      <c r="GQ71" s="539">
        <f t="shared" si="535"/>
        <v>201.65674932764401</v>
      </c>
      <c r="GR71" s="19">
        <f t="shared" si="536"/>
        <v>15.662660141952932</v>
      </c>
      <c r="GS71" s="10">
        <f t="shared" si="537"/>
        <v>1.6896073508039842</v>
      </c>
      <c r="GT71" s="10">
        <f t="shared" si="538"/>
        <v>23.443301992405281</v>
      </c>
      <c r="GU71" s="539">
        <f t="shared" si="539"/>
        <v>217.31940946959696</v>
      </c>
      <c r="GV71" s="19">
        <f t="shared" si="540"/>
        <v>16.879177434531801</v>
      </c>
      <c r="GW71" s="10">
        <f t="shared" si="541"/>
        <v>1.820838989701381</v>
      </c>
      <c r="GX71" s="10">
        <f t="shared" si="542"/>
        <v>25.264140982106664</v>
      </c>
      <c r="GY71" s="539">
        <f t="shared" si="543"/>
        <v>234.19858690412877</v>
      </c>
      <c r="GZ71" s="19">
        <f t="shared" si="544"/>
        <v>18.190181507116797</v>
      </c>
      <c r="HA71" s="10">
        <f t="shared" si="545"/>
        <v>1.962263377251003</v>
      </c>
      <c r="HB71" s="10">
        <f t="shared" si="546"/>
        <v>27.226404359357666</v>
      </c>
      <c r="HC71" s="539">
        <f t="shared" si="547"/>
        <v>252.38876841124556</v>
      </c>
      <c r="HD71" s="19">
        <f t="shared" si="548"/>
        <v>19.603011138737518</v>
      </c>
      <c r="HE71" s="10">
        <f t="shared" si="549"/>
        <v>2.1146721832510806</v>
      </c>
      <c r="HF71" s="10">
        <f t="shared" si="550"/>
        <v>29.341076542608747</v>
      </c>
      <c r="HG71" s="539">
        <f t="shared" si="551"/>
        <v>271.99177954998305</v>
      </c>
      <c r="HH71" s="19">
        <f t="shared" si="552"/>
        <v>21.125575110678298</v>
      </c>
      <c r="HI71" s="10">
        <f t="shared" si="553"/>
        <v>2.2789185664162135</v>
      </c>
      <c r="HJ71" s="10">
        <f t="shared" si="554"/>
        <v>31.619995109024959</v>
      </c>
      <c r="HK71" s="539">
        <f t="shared" si="555"/>
        <v>293.11735466066136</v>
      </c>
      <c r="HL71" s="19">
        <f t="shared" si="556"/>
        <v>22.76639647849797</v>
      </c>
      <c r="HM71" s="10">
        <f t="shared" si="557"/>
        <v>2.4559219502155307</v>
      </c>
      <c r="HN71" s="10">
        <f t="shared" si="558"/>
        <v>34.075917059240489</v>
      </c>
      <c r="HO71" s="539">
        <f t="shared" si="559"/>
        <v>315.8837511391593</v>
      </c>
      <c r="HP71" s="19">
        <f t="shared" si="560"/>
        <v>24.534660282653149</v>
      </c>
      <c r="HQ71" s="10">
        <f t="shared" si="561"/>
        <v>2.6466731696497465</v>
      </c>
      <c r="HR71" s="10">
        <f t="shared" si="562"/>
        <v>36.722590228890233</v>
      </c>
      <c r="HS71" s="539">
        <f t="shared" si="563"/>
        <v>340.41841142181244</v>
      </c>
      <c r="HT71" s="19">
        <f t="shared" si="564"/>
        <v>26.440264964800967</v>
      </c>
      <c r="HU71" s="10">
        <f t="shared" si="565"/>
        <v>2.8522400177778824</v>
      </c>
      <c r="HV71" s="10">
        <f t="shared" si="566"/>
        <v>39.574830246668114</v>
      </c>
      <c r="HW71" s="539">
        <f t="shared" si="567"/>
        <v>366.85867638661341</v>
      </c>
      <c r="HX71" s="19">
        <f t="shared" si="568"/>
        <v>28.493877777601043</v>
      </c>
      <c r="HY71" s="10">
        <f t="shared" si="569"/>
        <v>3.0737732230421839</v>
      </c>
      <c r="HZ71" s="10">
        <f t="shared" si="570"/>
        <v>42.648603469710295</v>
      </c>
      <c r="IA71" s="539">
        <f t="shared" si="571"/>
        <v>395.35255416421444</v>
      </c>
      <c r="IB71" s="19">
        <f t="shared" si="572"/>
        <v>30.70699449819141</v>
      </c>
      <c r="IP71" s="11">
        <v>30</v>
      </c>
      <c r="IQ71" s="19">
        <f t="shared" si="358"/>
        <v>88.677483817636059</v>
      </c>
      <c r="IR71" s="20">
        <f t="shared" si="351"/>
        <v>5.0819783079764553</v>
      </c>
    </row>
    <row r="72" spans="1:252" ht="13.5" thickBot="1">
      <c r="C72" s="177" t="s">
        <v>2342</v>
      </c>
      <c r="D72" s="47" t="s">
        <v>150</v>
      </c>
      <c r="E72" s="396">
        <f t="shared" si="600"/>
        <v>46.7517</v>
      </c>
      <c r="F72" s="242">
        <v>20.7517</v>
      </c>
      <c r="G72" s="48">
        <f>'Update Stock Prices'!S72</f>
        <v>6203445447.0877771</v>
      </c>
      <c r="H72" s="991">
        <f t="shared" ref="H72:H142" si="610">F72/G72</f>
        <v>3.3451894075641361E-9</v>
      </c>
      <c r="I72" s="49">
        <f>'Update Stock Prices'!D72</f>
        <v>12.19</v>
      </c>
      <c r="J72" s="49">
        <f t="shared" si="404"/>
        <v>252.96322299999997</v>
      </c>
      <c r="K72" s="30">
        <v>214.51</v>
      </c>
      <c r="L72" s="49">
        <f t="shared" ref="L72:L141" si="611">J72-K72</f>
        <v>38.45322299999998</v>
      </c>
      <c r="M72" s="50">
        <f>L72/K72</f>
        <v>0.17926074775068754</v>
      </c>
      <c r="N72" s="49">
        <f t="shared" ref="N72:N142" si="612">K72/F72</f>
        <v>10.336984439829026</v>
      </c>
      <c r="O72" s="48">
        <f t="shared" si="601"/>
        <v>26</v>
      </c>
      <c r="P72" s="49">
        <f>IF(($B$11-$B$12)-(O72*I72)&lt;0,0,($B$11-$B$12)-(O72*I72))</f>
        <v>4.0699999999999932</v>
      </c>
      <c r="Q72" s="30">
        <f>0.007409*12</f>
        <v>8.8908000000000001E-2</v>
      </c>
      <c r="R72" s="49">
        <f t="shared" si="242"/>
        <v>5.051313192607803E-3</v>
      </c>
      <c r="S72" s="49">
        <f t="shared" si="603"/>
        <v>1.8449921436000001</v>
      </c>
      <c r="T72" s="49">
        <f t="shared" si="399"/>
        <v>0.15374934530000001</v>
      </c>
      <c r="U72" s="49" t="s">
        <v>56</v>
      </c>
      <c r="V72" s="50">
        <f t="shared" si="604"/>
        <v>7.2935192780968008E-3</v>
      </c>
      <c r="W72" s="50">
        <f t="shared" si="575"/>
        <v>8.6009609976224893E-3</v>
      </c>
      <c r="X72" s="49">
        <f>12*((E72*Q72)/12-T72)</f>
        <v>2.3116080000000006</v>
      </c>
      <c r="Y72" s="49">
        <f t="shared" si="32"/>
        <v>0.15374934530000001</v>
      </c>
      <c r="Z72" s="860">
        <f t="shared" si="605"/>
        <v>0</v>
      </c>
      <c r="AA72" s="860">
        <f t="shared" si="606"/>
        <v>1624.5445613038194</v>
      </c>
      <c r="AB72" s="49">
        <f t="shared" si="607"/>
        <v>19803.198202293559</v>
      </c>
      <c r="AC72" s="48">
        <v>1</v>
      </c>
      <c r="AD72" s="47" t="str">
        <f t="shared" si="608"/>
        <v>ITUB</v>
      </c>
      <c r="AE72" s="49">
        <f t="shared" si="609"/>
        <v>252.96322299999997</v>
      </c>
      <c r="AF72" s="50" t="e">
        <f t="shared" si="405"/>
        <v>#REF!</v>
      </c>
      <c r="AG72" s="890" t="e">
        <f t="shared" si="599"/>
        <v>#REF!</v>
      </c>
      <c r="AH72" s="207" t="s">
        <v>149</v>
      </c>
      <c r="AI72" s="240">
        <f t="shared" si="406"/>
        <v>0.14526570770511088</v>
      </c>
      <c r="AJ72" s="11">
        <f t="shared" si="595"/>
        <v>4</v>
      </c>
      <c r="AK72" s="11"/>
      <c r="AL72" s="11"/>
      <c r="AM72" s="11"/>
      <c r="AN72" s="11"/>
      <c r="AO72" s="11"/>
      <c r="AP72" s="11"/>
      <c r="AQ72" s="11" t="str">
        <f>'Update Stock Prices'!Q72</f>
        <v>big</v>
      </c>
      <c r="AR72" s="11"/>
      <c r="AS72" s="11"/>
      <c r="AT72" s="176"/>
      <c r="AW72" s="420"/>
      <c r="AY72" s="19"/>
      <c r="AZ72" s="19"/>
      <c r="BA72" s="19"/>
      <c r="BB72" s="19"/>
      <c r="BE72" s="74"/>
      <c r="BF72" s="74"/>
      <c r="BS72" s="420" t="str">
        <f t="shared" si="407"/>
        <v>ITUB</v>
      </c>
      <c r="BT72" s="425">
        <f t="shared" si="408"/>
        <v>20.7517</v>
      </c>
      <c r="BU72" s="19">
        <f t="shared" si="409"/>
        <v>12.19</v>
      </c>
      <c r="BV72" s="19">
        <f t="shared" si="410"/>
        <v>252.96322299999997</v>
      </c>
      <c r="BW72" s="539">
        <f t="shared" si="411"/>
        <v>8.8908000000000001E-2</v>
      </c>
      <c r="BX72" s="19">
        <f t="shared" si="412"/>
        <v>1.8449921436000001</v>
      </c>
      <c r="BY72" s="10">
        <f t="shared" si="413"/>
        <v>0.1513529240032814</v>
      </c>
      <c r="BZ72" s="10">
        <f t="shared" si="414"/>
        <v>20.90305292400328</v>
      </c>
      <c r="CA72" s="539">
        <f t="shared" si="415"/>
        <v>254.80821514359997</v>
      </c>
      <c r="CB72" s="19">
        <f t="shared" si="416"/>
        <v>1.8584486293672837</v>
      </c>
      <c r="CC72" s="10">
        <f t="shared" si="417"/>
        <v>0.15245681947229564</v>
      </c>
      <c r="CD72" s="10">
        <f t="shared" si="418"/>
        <v>21.055509743475575</v>
      </c>
      <c r="CE72" s="539">
        <f t="shared" si="419"/>
        <v>256.66666377296724</v>
      </c>
      <c r="CF72" s="19">
        <f t="shared" si="420"/>
        <v>1.8720032602729264</v>
      </c>
      <c r="CG72" s="10">
        <f t="shared" si="421"/>
        <v>0.15356876622419413</v>
      </c>
      <c r="CH72" s="10">
        <f t="shared" si="422"/>
        <v>21.209078509699768</v>
      </c>
      <c r="CI72" s="539">
        <f t="shared" si="423"/>
        <v>258.53866703324019</v>
      </c>
      <c r="CJ72" s="19">
        <f t="shared" si="424"/>
        <v>1.8856567521403871</v>
      </c>
      <c r="CK72" s="10">
        <f t="shared" si="425"/>
        <v>0.15468882298116385</v>
      </c>
      <c r="CL72" s="10">
        <f t="shared" si="426"/>
        <v>21.363767332680933</v>
      </c>
      <c r="CM72" s="539">
        <f t="shared" si="427"/>
        <v>260.42432378538058</v>
      </c>
      <c r="CN72" s="19">
        <f t="shared" si="428"/>
        <v>1.8994098260139964</v>
      </c>
      <c r="CO72" s="10">
        <f t="shared" si="429"/>
        <v>0.15581704889368306</v>
      </c>
      <c r="CP72" s="10">
        <f t="shared" si="430"/>
        <v>21.519584381574617</v>
      </c>
      <c r="CQ72" s="539">
        <f t="shared" si="431"/>
        <v>262.32373361139457</v>
      </c>
      <c r="CR72" s="19">
        <f t="shared" si="432"/>
        <v>1.913263208197036</v>
      </c>
      <c r="CS72" s="10">
        <f t="shared" si="433"/>
        <v>0.15695350354364529</v>
      </c>
      <c r="CT72" s="10">
        <f t="shared" si="434"/>
        <v>21.676537885118261</v>
      </c>
      <c r="CU72" s="539">
        <f t="shared" si="435"/>
        <v>264.23699681959158</v>
      </c>
      <c r="CV72" s="19">
        <f t="shared" si="436"/>
        <v>1.9272176302900943</v>
      </c>
      <c r="CW72" s="10">
        <f t="shared" si="437"/>
        <v>0.15809824694750568</v>
      </c>
      <c r="CX72" s="10">
        <f t="shared" si="438"/>
        <v>21.834636132065768</v>
      </c>
      <c r="CY72" s="539">
        <f t="shared" si="439"/>
        <v>266.16421444988168</v>
      </c>
      <c r="CZ72" s="19">
        <f t="shared" si="440"/>
        <v>1.9412738292297034</v>
      </c>
      <c r="DA72" s="10">
        <f t="shared" si="441"/>
        <v>0.15925133955945064</v>
      </c>
      <c r="DB72" s="10">
        <f t="shared" si="442"/>
        <v>21.993887471625218</v>
      </c>
      <c r="DC72" s="539">
        <f t="shared" si="443"/>
        <v>268.1054882791114</v>
      </c>
      <c r="DD72" s="19">
        <f t="shared" si="444"/>
        <v>1.9554325473272549</v>
      </c>
      <c r="DE72" s="10">
        <f t="shared" si="445"/>
        <v>0.16041284227459024</v>
      </c>
      <c r="DF72" s="10">
        <f t="shared" si="446"/>
        <v>22.154300313899807</v>
      </c>
      <c r="DG72" s="539">
        <f t="shared" si="447"/>
        <v>270.06092082643863</v>
      </c>
      <c r="DH72" s="19">
        <f t="shared" si="448"/>
        <v>1.969694532308204</v>
      </c>
      <c r="DI72" s="10">
        <f t="shared" si="449"/>
        <v>0.16158281643217426</v>
      </c>
      <c r="DJ72" s="10">
        <f t="shared" si="450"/>
        <v>22.315883130331979</v>
      </c>
      <c r="DK72" s="539">
        <f t="shared" si="451"/>
        <v>272.03061535874684</v>
      </c>
      <c r="DL72" s="19">
        <f t="shared" si="452"/>
        <v>1.9840605373515556</v>
      </c>
      <c r="DM72" s="10">
        <f t="shared" si="453"/>
        <v>0.16276132381883149</v>
      </c>
      <c r="DN72" s="10">
        <f t="shared" si="454"/>
        <v>22.47864445415081</v>
      </c>
      <c r="DO72" s="539">
        <f t="shared" si="455"/>
        <v>274.01467589609837</v>
      </c>
      <c r="DP72" s="19">
        <f t="shared" si="456"/>
        <v>1.9985313211296403</v>
      </c>
      <c r="DQ72" s="10">
        <f t="shared" si="457"/>
        <v>0.16394842667183268</v>
      </c>
      <c r="DR72" s="10">
        <f t="shared" si="458"/>
        <v>22.642592880822644</v>
      </c>
      <c r="DS72" s="539">
        <f t="shared" si="459"/>
        <v>276.013207217228</v>
      </c>
      <c r="DT72" s="19">
        <f t="shared" si="460"/>
        <v>2.0131076478481797</v>
      </c>
      <c r="DU72" s="10">
        <f t="shared" si="461"/>
        <v>0.16514418768237735</v>
      </c>
      <c r="DV72" s="10">
        <f t="shared" si="462"/>
        <v>22.80773706850502</v>
      </c>
      <c r="DW72" s="539">
        <f t="shared" si="463"/>
        <v>278.02631486507619</v>
      </c>
      <c r="DX72" s="19">
        <f t="shared" si="464"/>
        <v>2.0277902872866442</v>
      </c>
      <c r="DY72" s="10">
        <f t="shared" si="465"/>
        <v>0.16634866999890438</v>
      </c>
      <c r="DZ72" s="10">
        <f t="shared" si="466"/>
        <v>22.974085738503923</v>
      </c>
      <c r="EA72" s="539">
        <f t="shared" si="467"/>
        <v>280.05410515236281</v>
      </c>
      <c r="EB72" s="19">
        <f t="shared" si="468"/>
        <v>2.0425800148389071</v>
      </c>
      <c r="EC72" s="10">
        <f t="shared" si="469"/>
        <v>0.16756193723042717</v>
      </c>
      <c r="ED72" s="10">
        <f t="shared" si="470"/>
        <v>23.141647675734351</v>
      </c>
      <c r="EE72" s="539">
        <f t="shared" si="471"/>
        <v>282.09668516720171</v>
      </c>
      <c r="EF72" s="19">
        <f t="shared" si="472"/>
        <v>2.0574776115541895</v>
      </c>
      <c r="EG72" s="10">
        <f t="shared" si="473"/>
        <v>0.1687840534498925</v>
      </c>
      <c r="EH72" s="10">
        <f t="shared" si="474"/>
        <v>23.310431729184245</v>
      </c>
      <c r="EI72" s="539">
        <f t="shared" si="475"/>
        <v>284.15416277875596</v>
      </c>
      <c r="EJ72" s="19">
        <f t="shared" si="476"/>
        <v>2.072483864178313</v>
      </c>
      <c r="EK72" s="10">
        <f t="shared" si="477"/>
        <v>0.17001508319756464</v>
      </c>
      <c r="EL72" s="10">
        <f t="shared" si="478"/>
        <v>23.48044681238181</v>
      </c>
      <c r="EM72" s="539">
        <f t="shared" si="479"/>
        <v>286.22664664293427</v>
      </c>
      <c r="EN72" s="19">
        <f t="shared" si="480"/>
        <v>2.0875995651952421</v>
      </c>
      <c r="EO72" s="10">
        <f t="shared" si="481"/>
        <v>0.17125509148443332</v>
      </c>
      <c r="EP72" s="10">
        <f t="shared" si="482"/>
        <v>23.651701903866243</v>
      </c>
      <c r="EQ72" s="539">
        <f t="shared" si="483"/>
        <v>288.31424620812948</v>
      </c>
      <c r="ER72" s="19">
        <f t="shared" si="484"/>
        <v>2.1028255128689399</v>
      </c>
      <c r="ES72" s="10">
        <f t="shared" si="485"/>
        <v>0.17250414379564724</v>
      </c>
      <c r="ET72" s="10">
        <f t="shared" si="486"/>
        <v>23.824206047661889</v>
      </c>
      <c r="EU72" s="539">
        <f t="shared" si="487"/>
        <v>290.41707172099842</v>
      </c>
      <c r="EV72" s="19">
        <f t="shared" si="488"/>
        <v>2.1181625112855231</v>
      </c>
      <c r="EW72" s="10">
        <f t="shared" si="489"/>
        <v>0.17376230609397236</v>
      </c>
      <c r="EX72" s="10">
        <f t="shared" si="490"/>
        <v>23.997968353755862</v>
      </c>
      <c r="EY72" s="539">
        <f t="shared" si="491"/>
        <v>292.53523423228393</v>
      </c>
      <c r="EZ72" s="19">
        <f t="shared" si="492"/>
        <v>2.1336113703957262</v>
      </c>
      <c r="FA72" s="10">
        <f t="shared" si="493"/>
        <v>0.17502964482327532</v>
      </c>
      <c r="FB72" s="10">
        <f t="shared" si="494"/>
        <v>24.172997998579138</v>
      </c>
      <c r="FC72" s="539">
        <f t="shared" si="495"/>
        <v>294.66884560267971</v>
      </c>
      <c r="FD72" s="19">
        <f t="shared" si="496"/>
        <v>2.1491729060576739</v>
      </c>
      <c r="FE72" s="10">
        <f t="shared" si="497"/>
        <v>0.17630622691203232</v>
      </c>
      <c r="FF72" s="10">
        <f t="shared" si="498"/>
        <v>24.349304225491171</v>
      </c>
      <c r="FG72" s="539">
        <f t="shared" si="499"/>
        <v>296.81801850873734</v>
      </c>
      <c r="FH72" s="19">
        <f t="shared" si="500"/>
        <v>2.1648479400799689</v>
      </c>
      <c r="FI72" s="10">
        <f t="shared" si="501"/>
        <v>0.17759211977686373</v>
      </c>
      <c r="FJ72" s="10">
        <f t="shared" si="502"/>
        <v>24.526896345268035</v>
      </c>
      <c r="FK72" s="539">
        <f t="shared" si="503"/>
        <v>298.98286644881733</v>
      </c>
      <c r="FL72" s="19">
        <f t="shared" si="504"/>
        <v>2.1806373002650905</v>
      </c>
      <c r="FM72" s="10">
        <f t="shared" si="505"/>
        <v>0.17888739132609438</v>
      </c>
      <c r="FN72" s="10">
        <f t="shared" si="506"/>
        <v>24.705783736594128</v>
      </c>
      <c r="FO72" s="539">
        <f t="shared" si="507"/>
        <v>301.16350374908239</v>
      </c>
      <c r="FP72" s="19">
        <f t="shared" si="508"/>
        <v>2.1965418204531106</v>
      </c>
      <c r="FQ72" s="10">
        <f t="shared" si="509"/>
        <v>0.18019210996333968</v>
      </c>
      <c r="FR72" s="10">
        <f t="shared" si="510"/>
        <v>24.885975846557468</v>
      </c>
      <c r="FS72" s="539">
        <f t="shared" si="511"/>
        <v>303.36004556953554</v>
      </c>
      <c r="FT72" s="19">
        <f t="shared" si="512"/>
        <v>2.2125623405657313</v>
      </c>
      <c r="FU72" s="10">
        <f t="shared" si="513"/>
        <v>0.18150634459111825</v>
      </c>
      <c r="FV72" s="10">
        <f t="shared" si="514"/>
        <v>25.067482191148585</v>
      </c>
      <c r="FW72" s="539">
        <f t="shared" si="515"/>
        <v>305.57260791010123</v>
      </c>
      <c r="FX72" s="19">
        <f t="shared" si="516"/>
        <v>2.2286997066506382</v>
      </c>
      <c r="FY72" s="10">
        <f t="shared" si="517"/>
        <v>0.18283016461449042</v>
      </c>
      <c r="FZ72" s="10">
        <f t="shared" si="518"/>
        <v>25.250312355763075</v>
      </c>
      <c r="GA72" s="539">
        <f t="shared" si="519"/>
        <v>307.8013076167519</v>
      </c>
      <c r="GB72" s="19">
        <f t="shared" si="520"/>
        <v>2.2449547709261837</v>
      </c>
      <c r="GC72" s="10">
        <f t="shared" si="521"/>
        <v>0.18416363994472384</v>
      </c>
      <c r="GD72" s="10">
        <f t="shared" si="522"/>
        <v>25.4344759957078</v>
      </c>
      <c r="GE72" s="539">
        <f t="shared" si="523"/>
        <v>310.04626238767804</v>
      </c>
      <c r="GF72" s="19">
        <f t="shared" si="524"/>
        <v>2.2613283918263889</v>
      </c>
      <c r="GG72" s="10">
        <f t="shared" si="525"/>
        <v>0.18550684100298515</v>
      </c>
      <c r="GH72" s="10">
        <f t="shared" si="526"/>
        <v>25.619982836710786</v>
      </c>
      <c r="GI72" s="539">
        <f t="shared" si="527"/>
        <v>312.30759077950449</v>
      </c>
      <c r="GJ72" s="19">
        <f t="shared" si="528"/>
        <v>2.2778214340462828</v>
      </c>
      <c r="GK72" s="10">
        <f t="shared" si="529"/>
        <v>0.18685983872405931</v>
      </c>
      <c r="GL72" s="10">
        <f t="shared" si="530"/>
        <v>25.806842675434847</v>
      </c>
      <c r="GM72" s="539">
        <f t="shared" si="531"/>
        <v>314.5854122135508</v>
      </c>
      <c r="GN72" s="19">
        <f t="shared" si="532"/>
        <v>2.2944347685875615</v>
      </c>
      <c r="GO72" s="10">
        <f t="shared" si="533"/>
        <v>0.18822270456009529</v>
      </c>
      <c r="GP72" s="10">
        <f t="shared" si="534"/>
        <v>25.995065379994944</v>
      </c>
      <c r="GQ72" s="539">
        <f t="shared" si="535"/>
        <v>316.87984698213836</v>
      </c>
      <c r="GR72" s="19">
        <f t="shared" si="536"/>
        <v>2.3111692728045905</v>
      </c>
      <c r="GS72" s="10">
        <f t="shared" si="537"/>
        <v>0.18959551048437986</v>
      </c>
      <c r="GT72" s="10">
        <f t="shared" si="538"/>
        <v>26.184660890479325</v>
      </c>
      <c r="GU72" s="539">
        <f t="shared" si="539"/>
        <v>319.19101625494295</v>
      </c>
      <c r="GV72" s="19">
        <f t="shared" si="540"/>
        <v>2.328025830450736</v>
      </c>
      <c r="GW72" s="10">
        <f t="shared" si="541"/>
        <v>0.19097832899513831</v>
      </c>
      <c r="GX72" s="10">
        <f t="shared" si="542"/>
        <v>26.375639219474465</v>
      </c>
      <c r="GY72" s="539">
        <f t="shared" si="543"/>
        <v>321.51904208539372</v>
      </c>
      <c r="GZ72" s="19">
        <f t="shared" si="544"/>
        <v>2.3450053317250359</v>
      </c>
      <c r="HA72" s="10">
        <f t="shared" si="545"/>
        <v>0.19237123311936308</v>
      </c>
      <c r="HB72" s="10">
        <f t="shared" si="546"/>
        <v>26.568010452593828</v>
      </c>
      <c r="HC72" s="539">
        <f t="shared" si="547"/>
        <v>323.86404741711874</v>
      </c>
      <c r="HD72" s="19">
        <f t="shared" si="548"/>
        <v>2.362108673319212</v>
      </c>
      <c r="HE72" s="10">
        <f t="shared" si="549"/>
        <v>0.19377429641667041</v>
      </c>
      <c r="HF72" s="10">
        <f t="shared" si="550"/>
        <v>26.761784749010499</v>
      </c>
      <c r="HG72" s="539">
        <f t="shared" si="551"/>
        <v>326.22615609043794</v>
      </c>
      <c r="HH72" s="19">
        <f t="shared" si="552"/>
        <v>2.3793367584650253</v>
      </c>
      <c r="HI72" s="10">
        <f t="shared" si="553"/>
        <v>0.19518759298318503</v>
      </c>
      <c r="HJ72" s="10">
        <f t="shared" si="554"/>
        <v>26.956972341993684</v>
      </c>
      <c r="HK72" s="539">
        <f t="shared" si="555"/>
        <v>328.605492848903</v>
      </c>
      <c r="HL72" s="19">
        <f t="shared" si="556"/>
        <v>2.3966904969819742</v>
      </c>
      <c r="HM72" s="10">
        <f t="shared" si="557"/>
        <v>0.19661119745545319</v>
      </c>
      <c r="HN72" s="10">
        <f t="shared" si="558"/>
        <v>27.153583539449137</v>
      </c>
      <c r="HO72" s="539">
        <f t="shared" si="559"/>
        <v>331.00218334588499</v>
      </c>
      <c r="HP72" s="19">
        <f t="shared" si="560"/>
        <v>2.4141708053253441</v>
      </c>
      <c r="HQ72" s="10">
        <f t="shared" si="561"/>
        <v>0.19804518501438426</v>
      </c>
      <c r="HR72" s="10">
        <f t="shared" si="562"/>
        <v>27.35162872446352</v>
      </c>
      <c r="HS72" s="539">
        <f t="shared" si="563"/>
        <v>333.41635415121027</v>
      </c>
      <c r="HT72" s="19">
        <f t="shared" si="564"/>
        <v>2.4317786066346025</v>
      </c>
      <c r="HU72" s="10">
        <f t="shared" si="565"/>
        <v>0.19948963138922088</v>
      </c>
      <c r="HV72" s="10">
        <f t="shared" si="566"/>
        <v>27.55111835585274</v>
      </c>
      <c r="HW72" s="539">
        <f t="shared" si="567"/>
        <v>335.84813275784489</v>
      </c>
      <c r="HX72" s="19">
        <f t="shared" si="568"/>
        <v>2.4495148307821553</v>
      </c>
      <c r="HY72" s="10">
        <f t="shared" si="569"/>
        <v>0.20094461286153859</v>
      </c>
      <c r="HZ72" s="10">
        <f t="shared" si="570"/>
        <v>27.752062968714277</v>
      </c>
      <c r="IA72" s="539">
        <f t="shared" si="571"/>
        <v>338.297647588627</v>
      </c>
      <c r="IB72" s="19">
        <f t="shared" si="572"/>
        <v>2.4673804144224492</v>
      </c>
      <c r="IP72" s="11">
        <v>31</v>
      </c>
      <c r="IQ72" s="19">
        <f t="shared" si="358"/>
        <v>95.771682523046948</v>
      </c>
      <c r="IR72" s="20">
        <f t="shared" si="351"/>
        <v>4.9895787023768836</v>
      </c>
    </row>
    <row r="73" spans="1:252">
      <c r="C73" s="177" t="s">
        <v>2343</v>
      </c>
      <c r="D73" s="47" t="s">
        <v>710</v>
      </c>
      <c r="E73" s="396">
        <f t="shared" si="600"/>
        <v>59.483400000000003</v>
      </c>
      <c r="F73" s="242">
        <v>5.4833999999999996</v>
      </c>
      <c r="G73" s="48">
        <f>'Update Stock Prices'!S73</f>
        <v>147822934.23271501</v>
      </c>
      <c r="H73" s="991">
        <f t="shared" si="610"/>
        <v>3.7094379356369564E-8</v>
      </c>
      <c r="I73" s="49">
        <f>'Update Stock Prices'!D73</f>
        <v>5.93</v>
      </c>
      <c r="J73" s="49">
        <f t="shared" si="404"/>
        <v>32.516561999999993</v>
      </c>
      <c r="K73" s="30">
        <v>29.69</v>
      </c>
      <c r="L73" s="49">
        <f t="shared" si="611"/>
        <v>2.826561999999992</v>
      </c>
      <c r="M73" s="50">
        <f t="shared" ref="M73:M142" si="613">L73/K73</f>
        <v>9.5202492421690529E-2</v>
      </c>
      <c r="N73" s="49">
        <f t="shared" si="612"/>
        <v>5.4145238355764675</v>
      </c>
      <c r="O73" s="48">
        <f t="shared" si="601"/>
        <v>54</v>
      </c>
      <c r="P73" s="49">
        <f t="shared" si="602"/>
        <v>0.79000000000002046</v>
      </c>
      <c r="Q73" s="30">
        <f>0.125*4</f>
        <v>0.5</v>
      </c>
      <c r="R73" s="49">
        <f t="shared" ref="R73" si="614">S73/365.25</f>
        <v>7.506365503080082E-3</v>
      </c>
      <c r="S73" s="49">
        <f t="shared" si="603"/>
        <v>2.7416999999999998</v>
      </c>
      <c r="T73" s="49">
        <f t="shared" ref="T73" si="615">S73/12</f>
        <v>0.22847499999999998</v>
      </c>
      <c r="U73" s="49" t="s">
        <v>54</v>
      </c>
      <c r="V73" s="50">
        <f t="shared" si="604"/>
        <v>8.4317032040472181E-2</v>
      </c>
      <c r="W73" s="50">
        <f t="shared" si="575"/>
        <v>9.234422364432468E-2</v>
      </c>
      <c r="X73" s="49">
        <f>12*((E73*Q73)/12-T73)</f>
        <v>27</v>
      </c>
      <c r="Y73" s="49">
        <f t="shared" si="32"/>
        <v>0.68542499999999995</v>
      </c>
      <c r="Z73" s="860">
        <f t="shared" si="605"/>
        <v>0</v>
      </c>
      <c r="AA73" s="860">
        <f t="shared" si="606"/>
        <v>41.956599999999995</v>
      </c>
      <c r="AB73" s="49">
        <f t="shared" si="607"/>
        <v>248.80263799999994</v>
      </c>
      <c r="AC73" s="48">
        <v>1</v>
      </c>
      <c r="AD73" s="47" t="str">
        <f t="shared" si="608"/>
        <v>JE</v>
      </c>
      <c r="AE73" s="49">
        <f t="shared" si="609"/>
        <v>32.516561999999993</v>
      </c>
      <c r="AF73" s="50" t="e">
        <f t="shared" si="405"/>
        <v>#REF!</v>
      </c>
      <c r="AG73" s="890" t="e">
        <f t="shared" si="599"/>
        <v>#REF!</v>
      </c>
      <c r="AH73" s="207" t="s">
        <v>711</v>
      </c>
      <c r="AI73" s="240">
        <f t="shared" si="406"/>
        <v>2.4002560578912659E-3</v>
      </c>
      <c r="AJ73" s="11">
        <f t="shared" si="595"/>
        <v>2</v>
      </c>
      <c r="AK73" s="11"/>
      <c r="AL73" s="11"/>
      <c r="AM73" s="11"/>
      <c r="AN73" s="11"/>
      <c r="AO73" s="11"/>
      <c r="AP73" s="11"/>
      <c r="AQ73" s="11" t="str">
        <f>'Update Stock Prices'!Q73</f>
        <v>small</v>
      </c>
      <c r="AR73" s="11"/>
      <c r="AS73" s="11"/>
      <c r="AT73" s="176"/>
      <c r="AU73" s="491"/>
      <c r="AV73" s="19"/>
      <c r="AW73" s="420"/>
      <c r="AY73" s="19"/>
      <c r="AZ73" s="19"/>
      <c r="BA73" s="19"/>
      <c r="BB73" s="915" t="s">
        <v>1936</v>
      </c>
      <c r="BC73" s="1043">
        <v>0.2</v>
      </c>
      <c r="BE73" s="74"/>
      <c r="BF73" s="74"/>
      <c r="BS73" s="420" t="str">
        <f t="shared" si="407"/>
        <v>JE</v>
      </c>
      <c r="BT73" s="425">
        <f t="shared" si="408"/>
        <v>5.4833999999999996</v>
      </c>
      <c r="BU73" s="19">
        <f t="shared" si="409"/>
        <v>5.93</v>
      </c>
      <c r="BV73" s="19">
        <f t="shared" si="410"/>
        <v>32.516561999999993</v>
      </c>
      <c r="BW73" s="539">
        <f t="shared" si="411"/>
        <v>0.5</v>
      </c>
      <c r="BX73" s="19">
        <f t="shared" si="412"/>
        <v>2.7416999999999998</v>
      </c>
      <c r="BY73" s="10">
        <f t="shared" si="413"/>
        <v>0.46234401349072513</v>
      </c>
      <c r="BZ73" s="10">
        <f t="shared" si="414"/>
        <v>5.9457440134907245</v>
      </c>
      <c r="CA73" s="539">
        <f t="shared" si="415"/>
        <v>35.258261999999995</v>
      </c>
      <c r="CB73" s="19">
        <f t="shared" si="416"/>
        <v>2.9728720067453622</v>
      </c>
      <c r="CC73" s="10">
        <f t="shared" si="417"/>
        <v>0.50132748848994302</v>
      </c>
      <c r="CD73" s="10">
        <f t="shared" si="418"/>
        <v>6.4470715019806679</v>
      </c>
      <c r="CE73" s="539">
        <f t="shared" si="419"/>
        <v>38.231134006745357</v>
      </c>
      <c r="CF73" s="19">
        <f t="shared" si="420"/>
        <v>3.223535750990334</v>
      </c>
      <c r="CG73" s="10">
        <f t="shared" si="421"/>
        <v>0.54359793439971904</v>
      </c>
      <c r="CH73" s="10">
        <f t="shared" si="422"/>
        <v>6.9906694363803865</v>
      </c>
      <c r="CI73" s="539">
        <f t="shared" si="423"/>
        <v>41.454669757735687</v>
      </c>
      <c r="CJ73" s="19">
        <f t="shared" si="424"/>
        <v>3.4953347181901933</v>
      </c>
      <c r="CK73" s="10">
        <f t="shared" si="425"/>
        <v>0.58943249885163462</v>
      </c>
      <c r="CL73" s="10">
        <f t="shared" si="426"/>
        <v>7.5801019352320207</v>
      </c>
      <c r="CM73" s="539">
        <f t="shared" si="427"/>
        <v>44.95000447592588</v>
      </c>
      <c r="CN73" s="19">
        <f t="shared" si="428"/>
        <v>3.7900509676160103</v>
      </c>
      <c r="CO73" s="10">
        <f t="shared" si="429"/>
        <v>0.63913169774300349</v>
      </c>
      <c r="CP73" s="10">
        <f t="shared" si="430"/>
        <v>8.2192336329750244</v>
      </c>
      <c r="CQ73" s="539">
        <f t="shared" si="431"/>
        <v>48.740055443541891</v>
      </c>
      <c r="CR73" s="19">
        <f t="shared" si="432"/>
        <v>4.1096168164875122</v>
      </c>
      <c r="CS73" s="10">
        <f t="shared" si="433"/>
        <v>0.69302138557968174</v>
      </c>
      <c r="CT73" s="10">
        <f t="shared" si="434"/>
        <v>8.9122550185547063</v>
      </c>
      <c r="CU73" s="539">
        <f t="shared" si="435"/>
        <v>52.849672260029408</v>
      </c>
      <c r="CV73" s="19">
        <f t="shared" si="436"/>
        <v>4.4561275092773531</v>
      </c>
      <c r="CW73" s="10">
        <f t="shared" si="437"/>
        <v>0.75145489195233617</v>
      </c>
      <c r="CX73" s="10">
        <f t="shared" si="438"/>
        <v>9.663709910507043</v>
      </c>
      <c r="CY73" s="539">
        <f t="shared" si="439"/>
        <v>57.305799769306759</v>
      </c>
      <c r="CZ73" s="19">
        <f t="shared" si="440"/>
        <v>4.8318549552535215</v>
      </c>
      <c r="DA73" s="10">
        <f t="shared" si="441"/>
        <v>0.81481533815405083</v>
      </c>
      <c r="DB73" s="10">
        <f t="shared" si="442"/>
        <v>10.478525248661093</v>
      </c>
      <c r="DC73" s="539">
        <f t="shared" si="443"/>
        <v>62.137654724560278</v>
      </c>
      <c r="DD73" s="19">
        <f t="shared" si="444"/>
        <v>5.2392626243305465</v>
      </c>
      <c r="DE73" s="10">
        <f t="shared" si="445"/>
        <v>0.8835181491282541</v>
      </c>
      <c r="DF73" s="10">
        <f t="shared" si="446"/>
        <v>11.362043397789346</v>
      </c>
      <c r="DG73" s="539">
        <f t="shared" si="447"/>
        <v>67.376917348890814</v>
      </c>
      <c r="DH73" s="19">
        <f t="shared" si="448"/>
        <v>5.6810216988946731</v>
      </c>
      <c r="DI73" s="10">
        <f t="shared" si="449"/>
        <v>0.95801377721663972</v>
      </c>
      <c r="DJ73" s="10">
        <f t="shared" si="450"/>
        <v>12.320057175005985</v>
      </c>
      <c r="DK73" s="539">
        <f t="shared" si="451"/>
        <v>73.057939047785482</v>
      </c>
      <c r="DL73" s="19">
        <f t="shared" si="452"/>
        <v>6.1600285875029925</v>
      </c>
      <c r="DM73" s="10">
        <f t="shared" si="453"/>
        <v>1.0387906555654287</v>
      </c>
      <c r="DN73" s="10">
        <f t="shared" si="454"/>
        <v>13.358847830571413</v>
      </c>
      <c r="DO73" s="539">
        <f t="shared" si="455"/>
        <v>79.217967635288474</v>
      </c>
      <c r="DP73" s="19">
        <f t="shared" si="456"/>
        <v>6.6794239152857067</v>
      </c>
      <c r="DQ73" s="10">
        <f t="shared" si="457"/>
        <v>1.1263784005540822</v>
      </c>
      <c r="DR73" s="10">
        <f t="shared" si="458"/>
        <v>14.485226231125495</v>
      </c>
      <c r="DS73" s="539">
        <f t="shared" si="459"/>
        <v>85.897391550574184</v>
      </c>
      <c r="DT73" s="19">
        <f t="shared" si="460"/>
        <v>7.2426131155627473</v>
      </c>
      <c r="DU73" s="10">
        <f t="shared" si="461"/>
        <v>1.2213512842432963</v>
      </c>
      <c r="DV73" s="10">
        <f t="shared" si="462"/>
        <v>15.706577515368791</v>
      </c>
      <c r="DW73" s="539">
        <f t="shared" si="463"/>
        <v>93.140004666136917</v>
      </c>
      <c r="DX73" s="19">
        <f t="shared" si="464"/>
        <v>7.8532887576843953</v>
      </c>
      <c r="DY73" s="10">
        <f t="shared" si="465"/>
        <v>1.3243319996095102</v>
      </c>
      <c r="DZ73" s="10">
        <f t="shared" si="466"/>
        <v>17.030909514978301</v>
      </c>
      <c r="EA73" s="539">
        <f t="shared" si="467"/>
        <v>100.99329342382133</v>
      </c>
      <c r="EB73" s="19">
        <f t="shared" si="468"/>
        <v>8.5154547574891506</v>
      </c>
      <c r="EC73" s="10">
        <f t="shared" si="469"/>
        <v>1.4359957432528079</v>
      </c>
      <c r="ED73" s="10">
        <f t="shared" si="470"/>
        <v>18.466905258231108</v>
      </c>
      <c r="EE73" s="539">
        <f t="shared" si="471"/>
        <v>109.50874818131047</v>
      </c>
      <c r="EF73" s="19">
        <f t="shared" si="472"/>
        <v>9.2334526291155541</v>
      </c>
      <c r="EG73" s="10">
        <f t="shared" si="473"/>
        <v>1.5570746423466366</v>
      </c>
      <c r="EH73" s="10">
        <f t="shared" si="474"/>
        <v>20.023979900577746</v>
      </c>
      <c r="EI73" s="539">
        <f t="shared" si="475"/>
        <v>118.74220081042603</v>
      </c>
      <c r="EJ73" s="19">
        <f t="shared" si="476"/>
        <v>10.011989950288873</v>
      </c>
      <c r="EK73" s="10">
        <f t="shared" si="477"/>
        <v>1.6883625548547847</v>
      </c>
      <c r="EL73" s="10">
        <f t="shared" si="478"/>
        <v>21.71234245543253</v>
      </c>
      <c r="EM73" s="539">
        <f t="shared" si="479"/>
        <v>128.75419076071489</v>
      </c>
      <c r="EN73" s="19">
        <f t="shared" si="480"/>
        <v>10.856171227716265</v>
      </c>
      <c r="EO73" s="10">
        <f t="shared" si="481"/>
        <v>1.830720274488409</v>
      </c>
      <c r="EP73" s="10">
        <f t="shared" si="482"/>
        <v>23.543062729920941</v>
      </c>
      <c r="EQ73" s="539">
        <f t="shared" si="483"/>
        <v>139.61036198843118</v>
      </c>
      <c r="ER73" s="19">
        <f t="shared" si="484"/>
        <v>11.77153136496047</v>
      </c>
      <c r="ES73" s="10">
        <f t="shared" si="485"/>
        <v>1.9850811745295904</v>
      </c>
      <c r="ET73" s="10">
        <f t="shared" si="486"/>
        <v>25.52814390445053</v>
      </c>
      <c r="EU73" s="539">
        <f t="shared" si="487"/>
        <v>151.38189335339163</v>
      </c>
      <c r="EV73" s="19">
        <f t="shared" si="488"/>
        <v>12.764071952225265</v>
      </c>
      <c r="EW73" s="10">
        <f t="shared" si="489"/>
        <v>2.1524573275253398</v>
      </c>
      <c r="EX73" s="10">
        <f t="shared" si="490"/>
        <v>27.680601231975871</v>
      </c>
      <c r="EY73" s="539">
        <f t="shared" si="491"/>
        <v>164.1459653056169</v>
      </c>
      <c r="EZ73" s="19">
        <f t="shared" si="492"/>
        <v>13.840300615987935</v>
      </c>
      <c r="FA73" s="10">
        <f t="shared" si="493"/>
        <v>2.3339461409760434</v>
      </c>
      <c r="FB73" s="10">
        <f t="shared" si="494"/>
        <v>30.014547372951913</v>
      </c>
      <c r="FC73" s="539">
        <f t="shared" si="495"/>
        <v>177.98626592160483</v>
      </c>
      <c r="FD73" s="19">
        <f t="shared" si="496"/>
        <v>15.007273686475957</v>
      </c>
      <c r="FE73" s="10">
        <f t="shared" si="497"/>
        <v>2.5307375525254567</v>
      </c>
      <c r="FF73" s="10">
        <f t="shared" si="498"/>
        <v>32.545284925477368</v>
      </c>
      <c r="FG73" s="539">
        <f t="shared" si="499"/>
        <v>192.99353960808079</v>
      </c>
      <c r="FH73" s="19">
        <f t="shared" si="500"/>
        <v>16.272642462738684</v>
      </c>
      <c r="FI73" s="10">
        <f t="shared" si="501"/>
        <v>2.7441218318277714</v>
      </c>
      <c r="FJ73" s="10">
        <f t="shared" si="502"/>
        <v>35.289406757305137</v>
      </c>
      <c r="FK73" s="539">
        <f t="shared" si="503"/>
        <v>209.26618207081947</v>
      </c>
      <c r="FL73" s="19">
        <f t="shared" si="504"/>
        <v>17.644703378652569</v>
      </c>
      <c r="FM73" s="10">
        <f t="shared" si="505"/>
        <v>2.9754980402449527</v>
      </c>
      <c r="FN73" s="10">
        <f t="shared" si="506"/>
        <v>38.264904797550088</v>
      </c>
      <c r="FO73" s="539">
        <f t="shared" si="507"/>
        <v>226.910885449472</v>
      </c>
      <c r="FP73" s="19">
        <f t="shared" si="508"/>
        <v>19.132452398775044</v>
      </c>
      <c r="FQ73" s="10">
        <f t="shared" si="509"/>
        <v>3.2263832038406486</v>
      </c>
      <c r="FR73" s="10">
        <f t="shared" si="510"/>
        <v>41.491288001390735</v>
      </c>
      <c r="FS73" s="539">
        <f t="shared" si="511"/>
        <v>246.04333784824706</v>
      </c>
      <c r="FT73" s="19">
        <f t="shared" si="512"/>
        <v>20.745644000695368</v>
      </c>
      <c r="FU73" s="10">
        <f t="shared" si="513"/>
        <v>3.4984222598137213</v>
      </c>
      <c r="FV73" s="10">
        <f t="shared" si="514"/>
        <v>44.989710261204458</v>
      </c>
      <c r="FW73" s="539">
        <f t="shared" si="515"/>
        <v>266.7889818489424</v>
      </c>
      <c r="FX73" s="19">
        <f t="shared" si="516"/>
        <v>22.494855130602229</v>
      </c>
      <c r="FY73" s="10">
        <f t="shared" si="517"/>
        <v>3.7933988415855362</v>
      </c>
      <c r="FZ73" s="10">
        <f t="shared" si="518"/>
        <v>48.783109102789993</v>
      </c>
      <c r="GA73" s="539">
        <f t="shared" si="519"/>
        <v>289.28383697954462</v>
      </c>
      <c r="GB73" s="19">
        <f t="shared" si="520"/>
        <v>24.391554551394997</v>
      </c>
      <c r="GC73" s="10">
        <f t="shared" si="521"/>
        <v>4.1132469732537942</v>
      </c>
      <c r="GD73" s="10">
        <f t="shared" si="522"/>
        <v>52.896356076043787</v>
      </c>
      <c r="GE73" s="539">
        <f t="shared" si="523"/>
        <v>313.67539153093963</v>
      </c>
      <c r="GF73" s="19">
        <f t="shared" si="524"/>
        <v>26.448178038021894</v>
      </c>
      <c r="GG73" s="10">
        <f t="shared" si="525"/>
        <v>4.4600637500880094</v>
      </c>
      <c r="GH73" s="10">
        <f t="shared" si="526"/>
        <v>57.356419826131798</v>
      </c>
      <c r="GI73" s="539">
        <f t="shared" si="527"/>
        <v>340.12356956896156</v>
      </c>
      <c r="GJ73" s="19">
        <f t="shared" si="528"/>
        <v>28.678209913065899</v>
      </c>
      <c r="GK73" s="10">
        <f t="shared" si="529"/>
        <v>4.8361230882067288</v>
      </c>
      <c r="GL73" s="10">
        <f t="shared" si="530"/>
        <v>62.192542914338524</v>
      </c>
      <c r="GM73" s="539">
        <f t="shared" si="531"/>
        <v>368.80177948202743</v>
      </c>
      <c r="GN73" s="19">
        <f t="shared" si="532"/>
        <v>31.096271457169262</v>
      </c>
      <c r="GO73" s="10">
        <f t="shared" si="533"/>
        <v>5.2438906335867221</v>
      </c>
      <c r="GP73" s="10">
        <f t="shared" si="534"/>
        <v>67.436433547925247</v>
      </c>
      <c r="GQ73" s="539">
        <f t="shared" si="535"/>
        <v>399.89805093919671</v>
      </c>
      <c r="GR73" s="19">
        <f t="shared" si="536"/>
        <v>33.718216773962624</v>
      </c>
      <c r="GS73" s="10">
        <f t="shared" si="537"/>
        <v>5.6860399281555862</v>
      </c>
      <c r="GT73" s="10">
        <f t="shared" si="538"/>
        <v>73.122473476080827</v>
      </c>
      <c r="GU73" s="539">
        <f t="shared" si="539"/>
        <v>433.61626771315929</v>
      </c>
      <c r="GV73" s="19">
        <f t="shared" si="540"/>
        <v>36.561236738040414</v>
      </c>
      <c r="GW73" s="10">
        <f t="shared" si="541"/>
        <v>6.1654699389612846</v>
      </c>
      <c r="GX73" s="10">
        <f t="shared" si="542"/>
        <v>79.287943415042108</v>
      </c>
      <c r="GY73" s="539">
        <f t="shared" si="543"/>
        <v>470.1775044511997</v>
      </c>
      <c r="GZ73" s="19">
        <f t="shared" si="544"/>
        <v>39.643971707521054</v>
      </c>
      <c r="HA73" s="10">
        <f t="shared" si="545"/>
        <v>6.6853240653492509</v>
      </c>
      <c r="HB73" s="10">
        <f t="shared" si="546"/>
        <v>85.973267480391357</v>
      </c>
      <c r="HC73" s="539">
        <f t="shared" si="547"/>
        <v>509.82147615872071</v>
      </c>
      <c r="HD73" s="19">
        <f t="shared" si="548"/>
        <v>42.986633740195678</v>
      </c>
      <c r="HE73" s="10">
        <f t="shared" si="549"/>
        <v>7.2490107487682431</v>
      </c>
      <c r="HF73" s="10">
        <f t="shared" si="550"/>
        <v>93.222278229159599</v>
      </c>
      <c r="HG73" s="539">
        <f t="shared" si="551"/>
        <v>552.80810989891643</v>
      </c>
      <c r="HH73" s="19">
        <f t="shared" si="552"/>
        <v>46.6111391145798</v>
      </c>
      <c r="HI73" s="10">
        <f t="shared" si="553"/>
        <v>7.860225820333862</v>
      </c>
      <c r="HJ73" s="10">
        <f t="shared" si="554"/>
        <v>101.08250404949347</v>
      </c>
      <c r="HK73" s="539">
        <f t="shared" si="555"/>
        <v>599.41924901349626</v>
      </c>
      <c r="HL73" s="19">
        <f t="shared" si="556"/>
        <v>50.541252024746733</v>
      </c>
      <c r="HM73" s="10">
        <f t="shared" si="557"/>
        <v>8.5229767326722996</v>
      </c>
      <c r="HN73" s="10">
        <f t="shared" si="558"/>
        <v>109.60548078216577</v>
      </c>
      <c r="HO73" s="539">
        <f t="shared" si="559"/>
        <v>649.96050103824302</v>
      </c>
      <c r="HP73" s="19">
        <f t="shared" si="560"/>
        <v>54.802740391082885</v>
      </c>
      <c r="HQ73" s="10">
        <f t="shared" si="561"/>
        <v>9.2416088349212284</v>
      </c>
      <c r="HR73" s="10">
        <f t="shared" si="562"/>
        <v>118.84708961708699</v>
      </c>
      <c r="HS73" s="539">
        <f t="shared" si="563"/>
        <v>704.76324142932583</v>
      </c>
      <c r="HT73" s="19">
        <f t="shared" si="564"/>
        <v>59.423544808543497</v>
      </c>
      <c r="HU73" s="10">
        <f t="shared" si="565"/>
        <v>10.020833863160792</v>
      </c>
      <c r="HV73" s="10">
        <f t="shared" si="566"/>
        <v>128.86792348024778</v>
      </c>
      <c r="HW73" s="539">
        <f t="shared" si="567"/>
        <v>764.18678623786934</v>
      </c>
      <c r="HX73" s="19">
        <f t="shared" si="568"/>
        <v>64.433961740123891</v>
      </c>
      <c r="HY73" s="10">
        <f t="shared" si="569"/>
        <v>10.865760833073169</v>
      </c>
      <c r="HZ73" s="10">
        <f t="shared" si="570"/>
        <v>139.73368431332096</v>
      </c>
      <c r="IA73" s="539">
        <f t="shared" si="571"/>
        <v>828.62074797799323</v>
      </c>
      <c r="IB73" s="19">
        <f t="shared" si="572"/>
        <v>69.866842156660482</v>
      </c>
      <c r="IP73" s="11">
        <v>32</v>
      </c>
      <c r="IQ73" s="19">
        <f t="shared" si="358"/>
        <v>103.43341712489071</v>
      </c>
      <c r="IR73" s="20">
        <f t="shared" si="351"/>
        <v>4.898859089606395</v>
      </c>
    </row>
    <row r="74" spans="1:252" ht="13.5" thickBot="1">
      <c r="C74" s="177" t="s">
        <v>2350</v>
      </c>
      <c r="D74" s="47" t="s">
        <v>1366</v>
      </c>
      <c r="E74" s="396">
        <f t="shared" si="600"/>
        <v>3.0364</v>
      </c>
      <c r="F74" s="242">
        <v>1.0364</v>
      </c>
      <c r="G74" s="48">
        <f>'Update Stock Prices'!S74</f>
        <v>2722192889.8275256</v>
      </c>
      <c r="H74" s="991">
        <f t="shared" si="610"/>
        <v>3.8072246969452075E-10</v>
      </c>
      <c r="I74" s="49">
        <f>'Update Stock Prices'!D74</f>
        <v>113.64</v>
      </c>
      <c r="J74" s="49">
        <f t="shared" si="404"/>
        <v>117.77649599999999</v>
      </c>
      <c r="K74" s="30">
        <v>104.11</v>
      </c>
      <c r="L74" s="49">
        <f t="shared" si="611"/>
        <v>13.666495999999995</v>
      </c>
      <c r="M74" s="50">
        <f t="shared" si="613"/>
        <v>0.13126977235616172</v>
      </c>
      <c r="N74" s="49">
        <f t="shared" si="612"/>
        <v>100.45349285989965</v>
      </c>
      <c r="O74" s="48">
        <f t="shared" si="601"/>
        <v>2</v>
      </c>
      <c r="P74" s="49">
        <f t="shared" si="602"/>
        <v>93.72999999999999</v>
      </c>
      <c r="Q74" s="30">
        <f>0.8*4</f>
        <v>3.2</v>
      </c>
      <c r="R74" s="49">
        <f t="shared" ref="R74" si="616">S74/365.25</f>
        <v>9.0800273785078718E-3</v>
      </c>
      <c r="S74" s="49">
        <f t="shared" si="603"/>
        <v>3.3164800000000003</v>
      </c>
      <c r="T74" s="49">
        <f t="shared" ref="T74" si="617">S74/12</f>
        <v>0.27637333333333336</v>
      </c>
      <c r="U74" s="49" t="s">
        <v>54</v>
      </c>
      <c r="V74" s="50">
        <f t="shared" si="604"/>
        <v>2.8159098908834918E-2</v>
      </c>
      <c r="W74" s="50">
        <f t="shared" si="575"/>
        <v>3.1855537412352322E-2</v>
      </c>
      <c r="X74" s="49">
        <f t="shared" ref="X74:X105" si="618">12*((E74*Q74)/12-T74)</f>
        <v>6.4</v>
      </c>
      <c r="Y74" s="49">
        <f t="shared" ref="Y74" si="619">IF(U74="Q",3*T74,IF(U74="Y",12*T74,IF(U74="B",6*T74,IF(U74="M",T74,0))))</f>
        <v>0.82912000000000008</v>
      </c>
      <c r="Z74" s="860">
        <f t="shared" si="605"/>
        <v>0</v>
      </c>
      <c r="AA74" s="860">
        <f t="shared" si="606"/>
        <v>141.0136</v>
      </c>
      <c r="AB74" s="49">
        <f t="shared" si="607"/>
        <v>16024.785503999999</v>
      </c>
      <c r="AC74" s="48">
        <v>1</v>
      </c>
      <c r="AD74" s="47" t="str">
        <f t="shared" si="608"/>
        <v>JNJ</v>
      </c>
      <c r="AE74" s="49">
        <f t="shared" si="609"/>
        <v>117.77649599999999</v>
      </c>
      <c r="AF74" s="50" t="e">
        <f t="shared" si="405"/>
        <v>#REF!</v>
      </c>
      <c r="AG74" s="890" t="e">
        <f t="shared" si="599"/>
        <v>#REF!</v>
      </c>
      <c r="AH74" s="207" t="s">
        <v>1388</v>
      </c>
      <c r="AI74" s="240">
        <f t="shared" si="406"/>
        <v>3.1489487399060732E-2</v>
      </c>
      <c r="AJ74" s="11">
        <f t="shared" si="595"/>
        <v>3</v>
      </c>
      <c r="AK74" s="11"/>
      <c r="AL74" s="11"/>
      <c r="AM74" s="11"/>
      <c r="AN74" s="11"/>
      <c r="AO74" s="11"/>
      <c r="AP74" s="11"/>
      <c r="AQ74" s="11" t="str">
        <f>'Update Stock Prices'!Q74</f>
        <v>mega</v>
      </c>
      <c r="AR74" s="11"/>
      <c r="AS74" s="11"/>
      <c r="AT74" s="176"/>
      <c r="AU74" s="491"/>
      <c r="AV74" s="491"/>
      <c r="BB74" s="441" t="s">
        <v>2163</v>
      </c>
      <c r="BC74" s="628">
        <v>0.1</v>
      </c>
      <c r="BE74" s="74"/>
      <c r="BS74" s="420" t="str">
        <f t="shared" si="407"/>
        <v>JNJ</v>
      </c>
      <c r="BT74" s="425">
        <f t="shared" si="408"/>
        <v>1.0364</v>
      </c>
      <c r="BU74" s="19">
        <f t="shared" si="409"/>
        <v>113.64</v>
      </c>
      <c r="BV74" s="19">
        <f t="shared" si="410"/>
        <v>117.77649599999999</v>
      </c>
      <c r="BW74" s="539">
        <f t="shared" si="411"/>
        <v>3.2</v>
      </c>
      <c r="BX74" s="19">
        <f t="shared" si="412"/>
        <v>3.3164800000000003</v>
      </c>
      <c r="BY74" s="10">
        <f t="shared" si="413"/>
        <v>2.918409010911651E-2</v>
      </c>
      <c r="BZ74" s="10">
        <f t="shared" si="414"/>
        <v>1.0655840901091165</v>
      </c>
      <c r="CA74" s="539">
        <f t="shared" si="415"/>
        <v>121.09297599999999</v>
      </c>
      <c r="CB74" s="19">
        <f t="shared" si="416"/>
        <v>3.4098690883491729</v>
      </c>
      <c r="CC74" s="10">
        <f t="shared" si="417"/>
        <v>3.0005887789063473E-2</v>
      </c>
      <c r="CD74" s="10">
        <f t="shared" si="418"/>
        <v>1.0955899778981799</v>
      </c>
      <c r="CE74" s="539">
        <f t="shared" si="419"/>
        <v>124.50284508834916</v>
      </c>
      <c r="CF74" s="19">
        <f t="shared" si="420"/>
        <v>3.5058879292741758</v>
      </c>
      <c r="CG74" s="10">
        <f t="shared" si="421"/>
        <v>3.085082655116311E-2</v>
      </c>
      <c r="CH74" s="10">
        <f t="shared" si="422"/>
        <v>1.126440804449343</v>
      </c>
      <c r="CI74" s="539">
        <f t="shared" si="423"/>
        <v>128.00873301762334</v>
      </c>
      <c r="CJ74" s="19">
        <f t="shared" si="424"/>
        <v>3.6046105742378978</v>
      </c>
      <c r="CK74" s="10">
        <f t="shared" si="425"/>
        <v>3.1719558027436624E-2</v>
      </c>
      <c r="CL74" s="10">
        <f t="shared" si="426"/>
        <v>1.1581603624767796</v>
      </c>
      <c r="CM74" s="539">
        <f t="shared" si="427"/>
        <v>131.61334359186122</v>
      </c>
      <c r="CN74" s="19">
        <f t="shared" si="428"/>
        <v>3.7061131599256947</v>
      </c>
      <c r="CO74" s="10">
        <f t="shared" si="429"/>
        <v>3.2612752199275737E-2</v>
      </c>
      <c r="CP74" s="10">
        <f t="shared" si="430"/>
        <v>1.1907731146760554</v>
      </c>
      <c r="CQ74" s="539">
        <f t="shared" si="431"/>
        <v>135.31945675178693</v>
      </c>
      <c r="CR74" s="19">
        <f t="shared" si="432"/>
        <v>3.8104739669633774</v>
      </c>
      <c r="CS74" s="10">
        <f t="shared" si="433"/>
        <v>3.3531097914144471E-2</v>
      </c>
      <c r="CT74" s="10">
        <f t="shared" si="434"/>
        <v>1.2243042125901999</v>
      </c>
      <c r="CU74" s="539">
        <f t="shared" si="435"/>
        <v>139.12993071875033</v>
      </c>
      <c r="CV74" s="19">
        <f t="shared" si="436"/>
        <v>3.9177734802886399</v>
      </c>
      <c r="CW74" s="10">
        <f t="shared" si="437"/>
        <v>3.4475303416830694E-2</v>
      </c>
      <c r="CX74" s="10">
        <f t="shared" si="438"/>
        <v>1.2587795160070305</v>
      </c>
      <c r="CY74" s="539">
        <f t="shared" si="439"/>
        <v>143.04770419903895</v>
      </c>
      <c r="CZ74" s="19">
        <f t="shared" si="440"/>
        <v>4.0280944512224979</v>
      </c>
      <c r="DA74" s="10">
        <f t="shared" si="441"/>
        <v>3.5446096895657322E-2</v>
      </c>
      <c r="DB74" s="10">
        <f t="shared" si="442"/>
        <v>1.2942256129026879</v>
      </c>
      <c r="DC74" s="539">
        <f t="shared" si="443"/>
        <v>147.07579865026145</v>
      </c>
      <c r="DD74" s="19">
        <f t="shared" si="444"/>
        <v>4.1415219612886016</v>
      </c>
      <c r="DE74" s="10">
        <f t="shared" si="445"/>
        <v>3.6444227044074282E-2</v>
      </c>
      <c r="DF74" s="10">
        <f t="shared" si="446"/>
        <v>1.3306698399467622</v>
      </c>
      <c r="DG74" s="539">
        <f t="shared" si="447"/>
        <v>151.21732061155006</v>
      </c>
      <c r="DH74" s="19">
        <f t="shared" si="448"/>
        <v>4.2581434878296394</v>
      </c>
      <c r="DI74" s="10">
        <f t="shared" si="449"/>
        <v>3.7470463638064409E-2</v>
      </c>
      <c r="DJ74" s="10">
        <f t="shared" si="450"/>
        <v>1.3681403035848267</v>
      </c>
      <c r="DK74" s="539">
        <f t="shared" si="451"/>
        <v>155.47546409937971</v>
      </c>
      <c r="DL74" s="19">
        <f t="shared" si="452"/>
        <v>4.3780489714714461</v>
      </c>
      <c r="DM74" s="10">
        <f t="shared" si="453"/>
        <v>3.8525598129808575E-2</v>
      </c>
      <c r="DN74" s="10">
        <f t="shared" si="454"/>
        <v>1.4066659017146352</v>
      </c>
      <c r="DO74" s="539">
        <f t="shared" si="455"/>
        <v>159.85351307085114</v>
      </c>
      <c r="DP74" s="19">
        <f t="shared" si="456"/>
        <v>4.5013308854868326</v>
      </c>
      <c r="DQ74" s="10">
        <f t="shared" si="457"/>
        <v>3.9610444258067867E-2</v>
      </c>
      <c r="DR74" s="10">
        <f t="shared" si="458"/>
        <v>1.446276345972703</v>
      </c>
      <c r="DS74" s="539">
        <f t="shared" si="459"/>
        <v>164.35484395633799</v>
      </c>
      <c r="DT74" s="19">
        <f t="shared" si="460"/>
        <v>4.6280843071126503</v>
      </c>
      <c r="DU74" s="10">
        <f t="shared" si="461"/>
        <v>4.0725838675753696E-2</v>
      </c>
      <c r="DV74" s="10">
        <f t="shared" si="462"/>
        <v>1.4870021846484567</v>
      </c>
      <c r="DW74" s="539">
        <f t="shared" si="463"/>
        <v>168.98292826345062</v>
      </c>
      <c r="DX74" s="19">
        <f t="shared" si="464"/>
        <v>4.7584069908750619</v>
      </c>
      <c r="DY74" s="10">
        <f t="shared" si="465"/>
        <v>4.1872641595169499E-2</v>
      </c>
      <c r="DZ74" s="10">
        <f t="shared" si="466"/>
        <v>1.5288748262436263</v>
      </c>
      <c r="EA74" s="539">
        <f t="shared" si="467"/>
        <v>173.74133525432569</v>
      </c>
      <c r="EB74" s="19">
        <f t="shared" si="468"/>
        <v>4.8923994439796044</v>
      </c>
      <c r="EC74" s="10">
        <f t="shared" si="469"/>
        <v>4.3051737451422073E-2</v>
      </c>
      <c r="ED74" s="10">
        <f t="shared" si="470"/>
        <v>1.5719265636950484</v>
      </c>
      <c r="EE74" s="539">
        <f t="shared" si="471"/>
        <v>178.63373469830529</v>
      </c>
      <c r="EF74" s="19">
        <f t="shared" si="472"/>
        <v>5.0301650038241554</v>
      </c>
      <c r="EG74" s="10">
        <f t="shared" si="473"/>
        <v>4.4264035584513861E-2</v>
      </c>
      <c r="EH74" s="10">
        <f t="shared" si="474"/>
        <v>1.6161905992795622</v>
      </c>
      <c r="EI74" s="539">
        <f t="shared" si="475"/>
        <v>183.66389970212944</v>
      </c>
      <c r="EJ74" s="19">
        <f t="shared" si="476"/>
        <v>5.1718099176945991</v>
      </c>
      <c r="EK74" s="10">
        <f t="shared" si="477"/>
        <v>4.5510470940642374E-2</v>
      </c>
      <c r="EL74" s="10">
        <f t="shared" si="478"/>
        <v>1.6617010702202046</v>
      </c>
      <c r="EM74" s="539">
        <f t="shared" si="479"/>
        <v>188.83570961982406</v>
      </c>
      <c r="EN74" s="19">
        <f t="shared" si="480"/>
        <v>5.3174434247046554</v>
      </c>
      <c r="EO74" s="10">
        <f t="shared" si="481"/>
        <v>4.6792004793247584E-2</v>
      </c>
      <c r="EP74" s="10">
        <f t="shared" si="482"/>
        <v>1.7084930750134522</v>
      </c>
      <c r="EQ74" s="539">
        <f t="shared" si="483"/>
        <v>194.15315304452869</v>
      </c>
      <c r="ER74" s="19">
        <f t="shared" si="484"/>
        <v>5.4671778400430471</v>
      </c>
      <c r="ES74" s="10">
        <f t="shared" si="485"/>
        <v>4.8109625484363316E-2</v>
      </c>
      <c r="ET74" s="10">
        <f t="shared" si="486"/>
        <v>1.7566027004978155</v>
      </c>
      <c r="EU74" s="539">
        <f t="shared" si="487"/>
        <v>199.62033088457176</v>
      </c>
      <c r="EV74" s="19">
        <f t="shared" si="488"/>
        <v>5.6211286415930104</v>
      </c>
      <c r="EW74" s="10">
        <f t="shared" si="489"/>
        <v>4.946434918684451E-2</v>
      </c>
      <c r="EX74" s="10">
        <f t="shared" si="490"/>
        <v>1.80606704968466</v>
      </c>
      <c r="EY74" s="539">
        <f t="shared" si="491"/>
        <v>205.24145952616476</v>
      </c>
      <c r="EZ74" s="19">
        <f t="shared" si="492"/>
        <v>5.7794145589909123</v>
      </c>
      <c r="FA74" s="10">
        <f t="shared" si="493"/>
        <v>5.0857220688058008E-2</v>
      </c>
      <c r="FB74" s="10">
        <f t="shared" si="494"/>
        <v>1.856924270372718</v>
      </c>
      <c r="FC74" s="539">
        <f t="shared" si="495"/>
        <v>211.02087408515567</v>
      </c>
      <c r="FD74" s="19">
        <f t="shared" si="496"/>
        <v>5.9421576651926982</v>
      </c>
      <c r="FE74" s="10">
        <f t="shared" si="497"/>
        <v>5.2289314195641486E-2</v>
      </c>
      <c r="FF74" s="10">
        <f t="shared" si="498"/>
        <v>1.9092135845683595</v>
      </c>
      <c r="FG74" s="539">
        <f t="shared" si="499"/>
        <v>216.96303175034839</v>
      </c>
      <c r="FH74" s="19">
        <f t="shared" si="500"/>
        <v>6.1094834706187511</v>
      </c>
      <c r="FI74" s="10">
        <f t="shared" si="501"/>
        <v>5.3761734165951695E-2</v>
      </c>
      <c r="FJ74" s="10">
        <f t="shared" si="502"/>
        <v>1.9629753187343113</v>
      </c>
      <c r="FK74" s="539">
        <f t="shared" si="503"/>
        <v>223.07251522096715</v>
      </c>
      <c r="FL74" s="19">
        <f t="shared" si="504"/>
        <v>6.2815210199497962</v>
      </c>
      <c r="FM74" s="10">
        <f t="shared" si="505"/>
        <v>5.5275616155841222E-2</v>
      </c>
      <c r="FN74" s="10">
        <f t="shared" si="506"/>
        <v>2.0182509348901525</v>
      </c>
      <c r="FO74" s="539">
        <f t="shared" si="507"/>
        <v>229.35403624091694</v>
      </c>
      <c r="FP74" s="19">
        <f t="shared" si="508"/>
        <v>6.4584029916484882</v>
      </c>
      <c r="FQ74" s="10">
        <f t="shared" si="509"/>
        <v>5.6832127698420346E-2</v>
      </c>
      <c r="FR74" s="10">
        <f t="shared" si="510"/>
        <v>2.0750830625885728</v>
      </c>
      <c r="FS74" s="539">
        <f t="shared" si="511"/>
        <v>235.81243923256542</v>
      </c>
      <c r="FT74" s="19">
        <f t="shared" si="512"/>
        <v>6.6402658002834336</v>
      </c>
      <c r="FU74" s="10">
        <f t="shared" si="513"/>
        <v>5.8432469203479706E-2</v>
      </c>
      <c r="FV74" s="10">
        <f t="shared" si="514"/>
        <v>2.1335155317920527</v>
      </c>
      <c r="FW74" s="539">
        <f t="shared" si="515"/>
        <v>242.45270503284885</v>
      </c>
      <c r="FX74" s="19">
        <f t="shared" si="516"/>
        <v>6.8272497017345692</v>
      </c>
      <c r="FY74" s="10">
        <f t="shared" si="517"/>
        <v>6.0077874883267941E-2</v>
      </c>
      <c r="FZ74" s="10">
        <f t="shared" si="518"/>
        <v>2.1935934066753204</v>
      </c>
      <c r="GA74" s="539">
        <f t="shared" si="519"/>
        <v>249.27995473458341</v>
      </c>
      <c r="GB74" s="19">
        <f t="shared" si="520"/>
        <v>7.0194989013610254</v>
      </c>
      <c r="GC74" s="10">
        <f t="shared" si="521"/>
        <v>6.1769613704338484E-2</v>
      </c>
      <c r="GD74" s="10">
        <f t="shared" si="522"/>
        <v>2.2553630203796589</v>
      </c>
      <c r="GE74" s="539">
        <f t="shared" si="523"/>
        <v>256.29945363594442</v>
      </c>
      <c r="GF74" s="19">
        <f t="shared" si="524"/>
        <v>7.2171616652149089</v>
      </c>
      <c r="GG74" s="10">
        <f t="shared" si="525"/>
        <v>6.3508990366199475E-2</v>
      </c>
      <c r="GH74" s="10">
        <f t="shared" si="526"/>
        <v>2.3188720107458582</v>
      </c>
      <c r="GI74" s="539">
        <f t="shared" si="527"/>
        <v>263.51661530115933</v>
      </c>
      <c r="GJ74" s="19">
        <f t="shared" si="528"/>
        <v>7.4203904343867464</v>
      </c>
      <c r="GK74" s="10">
        <f t="shared" si="529"/>
        <v>6.5297346307521528E-2</v>
      </c>
      <c r="GL74" s="10">
        <f t="shared" si="530"/>
        <v>2.3841693570533797</v>
      </c>
      <c r="GM74" s="539">
        <f t="shared" si="531"/>
        <v>270.93700573554605</v>
      </c>
      <c r="GN74" s="19">
        <f t="shared" si="532"/>
        <v>7.6293419425708153</v>
      </c>
      <c r="GO74" s="10">
        <f t="shared" si="533"/>
        <v>6.7136060740679473E-2</v>
      </c>
      <c r="GP74" s="10">
        <f t="shared" si="534"/>
        <v>2.4513054177940594</v>
      </c>
      <c r="GQ74" s="539">
        <f t="shared" si="535"/>
        <v>278.56634767811693</v>
      </c>
      <c r="GR74" s="19">
        <f t="shared" si="536"/>
        <v>7.8441773369409908</v>
      </c>
      <c r="GS74" s="10">
        <f t="shared" si="537"/>
        <v>6.9026551715425821E-2</v>
      </c>
      <c r="GT74" s="10">
        <f t="shared" si="538"/>
        <v>2.5203319695094852</v>
      </c>
      <c r="GU74" s="539">
        <f t="shared" si="539"/>
        <v>286.41052501505789</v>
      </c>
      <c r="GV74" s="19">
        <f t="shared" si="540"/>
        <v>8.0650623024303538</v>
      </c>
      <c r="GW74" s="10">
        <f t="shared" si="541"/>
        <v>7.0970277212516308E-2</v>
      </c>
      <c r="GX74" s="10">
        <f t="shared" si="542"/>
        <v>2.5913022467220017</v>
      </c>
      <c r="GY74" s="539">
        <f t="shared" si="543"/>
        <v>294.47558731748825</v>
      </c>
      <c r="GZ74" s="19">
        <f t="shared" si="544"/>
        <v>8.2921671895104065</v>
      </c>
      <c r="HA74" s="10">
        <f t="shared" si="545"/>
        <v>7.2968736268130996E-2</v>
      </c>
      <c r="HB74" s="10">
        <f t="shared" si="546"/>
        <v>2.6642709829901325</v>
      </c>
      <c r="HC74" s="539">
        <f t="shared" si="547"/>
        <v>302.76775450699864</v>
      </c>
      <c r="HD74" s="19">
        <f t="shared" si="548"/>
        <v>8.5256671455684252</v>
      </c>
      <c r="HE74" s="10">
        <f t="shared" si="549"/>
        <v>7.5023470129957984E-2</v>
      </c>
      <c r="HF74" s="10">
        <f t="shared" si="550"/>
        <v>2.7392944531200905</v>
      </c>
      <c r="HG74" s="539">
        <f t="shared" si="551"/>
        <v>311.29342165256708</v>
      </c>
      <c r="HH74" s="19">
        <f t="shared" si="552"/>
        <v>8.7657422499842905</v>
      </c>
      <c r="HI74" s="10">
        <f t="shared" si="553"/>
        <v>7.7136063445831488E-2</v>
      </c>
      <c r="HJ74" s="10">
        <f t="shared" si="554"/>
        <v>2.816430516565922</v>
      </c>
      <c r="HK74" s="539">
        <f t="shared" si="555"/>
        <v>320.0591639025514</v>
      </c>
      <c r="HL74" s="19">
        <f t="shared" si="556"/>
        <v>9.0125776530109505</v>
      </c>
      <c r="HM74" s="10">
        <f t="shared" si="557"/>
        <v>7.9308145485840822E-2</v>
      </c>
      <c r="HN74" s="10">
        <f t="shared" si="558"/>
        <v>2.8957386620517629</v>
      </c>
      <c r="HO74" s="539">
        <f t="shared" si="559"/>
        <v>329.07174155556231</v>
      </c>
      <c r="HP74" s="19">
        <f t="shared" si="560"/>
        <v>9.2663637185656409</v>
      </c>
      <c r="HQ74" s="10">
        <f t="shared" si="561"/>
        <v>8.1541391398852872E-2</v>
      </c>
      <c r="HR74" s="10">
        <f t="shared" si="562"/>
        <v>2.9772800534506159</v>
      </c>
      <c r="HS74" s="539">
        <f t="shared" si="563"/>
        <v>338.338105274128</v>
      </c>
      <c r="HT74" s="19">
        <f t="shared" si="564"/>
        <v>9.5272961710419715</v>
      </c>
      <c r="HU74" s="10">
        <f t="shared" si="565"/>
        <v>8.3837523504417213E-2</v>
      </c>
      <c r="HV74" s="10">
        <f t="shared" si="566"/>
        <v>3.0611175769550329</v>
      </c>
      <c r="HW74" s="539">
        <f t="shared" si="567"/>
        <v>347.86540144516994</v>
      </c>
      <c r="HX74" s="19">
        <f t="shared" si="568"/>
        <v>9.7955762462561058</v>
      </c>
      <c r="HY74" s="10">
        <f t="shared" si="569"/>
        <v>8.6198312621049863E-2</v>
      </c>
      <c r="HZ74" s="10">
        <f t="shared" si="570"/>
        <v>3.1473158895760829</v>
      </c>
      <c r="IA74" s="539">
        <f t="shared" si="571"/>
        <v>357.66097769142607</v>
      </c>
      <c r="IB74" s="19">
        <f t="shared" si="572"/>
        <v>10.071410846643467</v>
      </c>
      <c r="IP74" s="11">
        <v>33</v>
      </c>
      <c r="IQ74" s="19">
        <f t="shared" si="358"/>
        <v>111.70809049488197</v>
      </c>
      <c r="IR74" s="20">
        <f t="shared" ref="IR74:IR91" si="620">IQ74/(1+$IP$18)^IP74</f>
        <v>4.8097889243408245</v>
      </c>
    </row>
    <row r="75" spans="1:252" ht="13.5" thickBot="1">
      <c r="C75" s="177" t="s">
        <v>2342</v>
      </c>
      <c r="D75" s="47" t="s">
        <v>695</v>
      </c>
      <c r="E75" s="396">
        <f t="shared" si="600"/>
        <v>5.0937999999999999</v>
      </c>
      <c r="F75" s="242">
        <v>2.0937999999999999</v>
      </c>
      <c r="G75" s="48">
        <f>'Update Stock Prices'!S75</f>
        <v>3687772424.8680887</v>
      </c>
      <c r="H75" s="991">
        <f t="shared" si="610"/>
        <v>5.677682239502333E-10</v>
      </c>
      <c r="I75" s="49">
        <f>'Update Stock Prices'!D75</f>
        <v>87.18</v>
      </c>
      <c r="J75" s="49">
        <f t="shared" si="404"/>
        <v>182.53748400000001</v>
      </c>
      <c r="K75" s="30">
        <v>125.22</v>
      </c>
      <c r="L75" s="49">
        <f t="shared" si="611"/>
        <v>57.317484000000007</v>
      </c>
      <c r="M75" s="50">
        <f t="shared" si="613"/>
        <v>0.45773425970292292</v>
      </c>
      <c r="N75" s="49">
        <f t="shared" si="612"/>
        <v>59.805138981755661</v>
      </c>
      <c r="O75" s="48">
        <f t="shared" si="601"/>
        <v>3</v>
      </c>
      <c r="P75" s="49">
        <f t="shared" si="602"/>
        <v>59.46999999999997</v>
      </c>
      <c r="Q75" s="30">
        <f>0.48*4</f>
        <v>1.92</v>
      </c>
      <c r="R75" s="49">
        <f t="shared" ref="R75" si="621">S75/365.25</f>
        <v>1.1006422997946611E-2</v>
      </c>
      <c r="S75" s="49">
        <f t="shared" si="603"/>
        <v>4.0200959999999997</v>
      </c>
      <c r="T75" s="49">
        <f t="shared" ref="T75" si="622">S75/12</f>
        <v>0.33500799999999997</v>
      </c>
      <c r="U75" s="49" t="s">
        <v>54</v>
      </c>
      <c r="V75" s="50">
        <f t="shared" si="604"/>
        <v>2.202339986235375E-2</v>
      </c>
      <c r="W75" s="50">
        <f t="shared" si="575"/>
        <v>3.2104264494489693E-2</v>
      </c>
      <c r="X75" s="49">
        <f t="shared" si="618"/>
        <v>5.759999999999998</v>
      </c>
      <c r="Y75" s="49">
        <f t="shared" si="32"/>
        <v>1.0050239999999999</v>
      </c>
      <c r="Z75" s="860">
        <f t="shared" si="605"/>
        <v>0</v>
      </c>
      <c r="AA75" s="860">
        <f t="shared" si="606"/>
        <v>179.53120000000004</v>
      </c>
      <c r="AB75" s="49">
        <f t="shared" si="607"/>
        <v>15651.530016000004</v>
      </c>
      <c r="AC75" s="48">
        <v>1</v>
      </c>
      <c r="AD75" s="47" t="str">
        <f t="shared" si="608"/>
        <v>JPM</v>
      </c>
      <c r="AE75" s="49">
        <f t="shared" si="609"/>
        <v>182.53748400000001</v>
      </c>
      <c r="AF75" s="50" t="e">
        <f t="shared" si="405"/>
        <v>#REF!</v>
      </c>
      <c r="AG75" s="890" t="e">
        <f t="shared" si="599"/>
        <v>#REF!</v>
      </c>
      <c r="AH75" s="207" t="s">
        <v>696</v>
      </c>
      <c r="AI75" s="240">
        <f t="shared" si="406"/>
        <v>7.5640162400761504E-2</v>
      </c>
      <c r="AJ75" s="11">
        <f t="shared" si="595"/>
        <v>3</v>
      </c>
      <c r="AK75" s="11"/>
      <c r="AL75" s="11"/>
      <c r="AM75" s="11"/>
      <c r="AN75" s="11"/>
      <c r="AO75" s="11"/>
      <c r="AP75" s="11"/>
      <c r="AQ75" s="11" t="str">
        <f>'Update Stock Prices'!Q75</f>
        <v>mega</v>
      </c>
      <c r="AR75" s="11"/>
      <c r="AS75" s="11"/>
      <c r="AT75" s="176"/>
      <c r="AU75" s="376"/>
      <c r="AV75" s="217" t="s">
        <v>430</v>
      </c>
      <c r="AW75" s="217" t="s">
        <v>430</v>
      </c>
      <c r="AX75" s="217" t="s">
        <v>843</v>
      </c>
      <c r="AY75" s="217" t="s">
        <v>843</v>
      </c>
      <c r="AZ75" s="428"/>
      <c r="BA75" s="428"/>
      <c r="BB75" s="1461" t="s">
        <v>679</v>
      </c>
      <c r="BC75" s="1462"/>
      <c r="BD75" s="74"/>
      <c r="BE75" s="74"/>
      <c r="BS75" s="420" t="str">
        <f t="shared" si="407"/>
        <v>JPM</v>
      </c>
      <c r="BT75" s="425">
        <f t="shared" si="408"/>
        <v>2.0937999999999999</v>
      </c>
      <c r="BU75" s="19">
        <f t="shared" si="409"/>
        <v>87.18</v>
      </c>
      <c r="BV75" s="19">
        <f t="shared" si="410"/>
        <v>182.53748400000001</v>
      </c>
      <c r="BW75" s="539">
        <f t="shared" si="411"/>
        <v>1.92</v>
      </c>
      <c r="BX75" s="19">
        <f t="shared" si="412"/>
        <v>4.0200959999999997</v>
      </c>
      <c r="BY75" s="10">
        <f t="shared" si="413"/>
        <v>4.6112594631796275E-2</v>
      </c>
      <c r="BZ75" s="10">
        <f t="shared" si="414"/>
        <v>2.1399125946317961</v>
      </c>
      <c r="CA75" s="539">
        <f t="shared" si="415"/>
        <v>186.55758</v>
      </c>
      <c r="CB75" s="19">
        <f t="shared" si="416"/>
        <v>4.1086321816930482</v>
      </c>
      <c r="CC75" s="10">
        <f t="shared" si="417"/>
        <v>4.7128150742062946E-2</v>
      </c>
      <c r="CD75" s="10">
        <f t="shared" si="418"/>
        <v>2.1870407453738592</v>
      </c>
      <c r="CE75" s="539">
        <f t="shared" si="419"/>
        <v>190.66621218169306</v>
      </c>
      <c r="CF75" s="19">
        <f t="shared" si="420"/>
        <v>4.1991182311178097</v>
      </c>
      <c r="CG75" s="10">
        <f t="shared" si="421"/>
        <v>4.816607285062869E-2</v>
      </c>
      <c r="CH75" s="10">
        <f t="shared" si="422"/>
        <v>2.235206818224488</v>
      </c>
      <c r="CI75" s="539">
        <f t="shared" si="423"/>
        <v>194.86533041281086</v>
      </c>
      <c r="CJ75" s="19">
        <f t="shared" si="424"/>
        <v>4.2915970909910168</v>
      </c>
      <c r="CK75" s="10">
        <f t="shared" si="425"/>
        <v>4.9226853532817347E-2</v>
      </c>
      <c r="CL75" s="10">
        <f t="shared" si="426"/>
        <v>2.2844336717573053</v>
      </c>
      <c r="CM75" s="539">
        <f t="shared" si="427"/>
        <v>199.15692750380188</v>
      </c>
      <c r="CN75" s="19">
        <f t="shared" si="428"/>
        <v>4.3861126497740264</v>
      </c>
      <c r="CO75" s="10">
        <f t="shared" si="429"/>
        <v>5.0310996212136111E-2</v>
      </c>
      <c r="CP75" s="10">
        <f t="shared" si="430"/>
        <v>2.3347446679694412</v>
      </c>
      <c r="CQ75" s="539">
        <f t="shared" si="431"/>
        <v>203.5430401535759</v>
      </c>
      <c r="CR75" s="19">
        <f t="shared" si="432"/>
        <v>4.4827097625013268</v>
      </c>
      <c r="CS75" s="10">
        <f t="shared" si="433"/>
        <v>5.141901539918934E-2</v>
      </c>
      <c r="CT75" s="10">
        <f t="shared" si="434"/>
        <v>2.3861636833686304</v>
      </c>
      <c r="CU75" s="539">
        <f t="shared" si="435"/>
        <v>208.02574991607722</v>
      </c>
      <c r="CV75" s="19">
        <f t="shared" si="436"/>
        <v>4.5814342720677699</v>
      </c>
      <c r="CW75" s="10">
        <f t="shared" si="437"/>
        <v>5.2551436935854207E-2</v>
      </c>
      <c r="CX75" s="10">
        <f t="shared" si="438"/>
        <v>2.4387151203044848</v>
      </c>
      <c r="CY75" s="539">
        <f t="shared" si="439"/>
        <v>212.607184188145</v>
      </c>
      <c r="CZ75" s="19">
        <f t="shared" si="440"/>
        <v>4.6823330309846103</v>
      </c>
      <c r="DA75" s="10">
        <f t="shared" si="441"/>
        <v>5.3708798244833794E-2</v>
      </c>
      <c r="DB75" s="10">
        <f t="shared" si="442"/>
        <v>2.4924239185493184</v>
      </c>
      <c r="DC75" s="539">
        <f t="shared" si="443"/>
        <v>217.28951721912961</v>
      </c>
      <c r="DD75" s="19">
        <f t="shared" si="444"/>
        <v>4.7854539236146909</v>
      </c>
      <c r="DE75" s="10">
        <f t="shared" si="445"/>
        <v>5.4891648584706243E-2</v>
      </c>
      <c r="DF75" s="10">
        <f t="shared" si="446"/>
        <v>2.5473155671340248</v>
      </c>
      <c r="DG75" s="539">
        <f t="shared" si="447"/>
        <v>222.07497114274432</v>
      </c>
      <c r="DH75" s="19">
        <f t="shared" si="448"/>
        <v>4.8908458888973279</v>
      </c>
      <c r="DI75" s="10">
        <f t="shared" si="449"/>
        <v>5.6100549310591045E-2</v>
      </c>
      <c r="DJ75" s="10">
        <f t="shared" si="450"/>
        <v>2.6034161164446159</v>
      </c>
      <c r="DK75" s="539">
        <f t="shared" si="451"/>
        <v>226.96581703164162</v>
      </c>
      <c r="DL75" s="19">
        <f t="shared" si="452"/>
        <v>4.9985589435736619</v>
      </c>
      <c r="DM75" s="10">
        <f t="shared" si="453"/>
        <v>5.733607414055588E-2</v>
      </c>
      <c r="DN75" s="10">
        <f t="shared" si="454"/>
        <v>2.6607521905851717</v>
      </c>
      <c r="DO75" s="539">
        <f t="shared" si="455"/>
        <v>231.96437597521529</v>
      </c>
      <c r="DP75" s="19">
        <f t="shared" si="456"/>
        <v>5.1086442059235297</v>
      </c>
      <c r="DQ75" s="10">
        <f t="shared" si="457"/>
        <v>5.8598809427890905E-2</v>
      </c>
      <c r="DR75" s="10">
        <f t="shared" si="458"/>
        <v>2.7193510000130625</v>
      </c>
      <c r="DS75" s="539">
        <f t="shared" si="459"/>
        <v>237.07302018113882</v>
      </c>
      <c r="DT75" s="19">
        <f t="shared" si="460"/>
        <v>5.2211539200250803</v>
      </c>
      <c r="DU75" s="10">
        <f t="shared" si="461"/>
        <v>5.9889354439379212E-2</v>
      </c>
      <c r="DV75" s="10">
        <f t="shared" si="462"/>
        <v>2.7792403544524418</v>
      </c>
      <c r="DW75" s="539">
        <f t="shared" si="463"/>
        <v>242.29417410116389</v>
      </c>
      <c r="DX75" s="19">
        <f t="shared" si="464"/>
        <v>5.3361414805486884</v>
      </c>
      <c r="DY75" s="10">
        <f t="shared" si="465"/>
        <v>6.1208321639695897E-2</v>
      </c>
      <c r="DZ75" s="10">
        <f t="shared" si="466"/>
        <v>2.8404486760921377</v>
      </c>
      <c r="EA75" s="539">
        <f t="shared" si="467"/>
        <v>247.63031558171258</v>
      </c>
      <c r="EB75" s="19">
        <f t="shared" si="468"/>
        <v>5.4536614580969038</v>
      </c>
      <c r="EC75" s="10">
        <f t="shared" si="469"/>
        <v>6.2556336982070471E-2</v>
      </c>
      <c r="ED75" s="10">
        <f t="shared" si="470"/>
        <v>2.9030050130742082</v>
      </c>
      <c r="EE75" s="539">
        <f t="shared" si="471"/>
        <v>253.0839770398095</v>
      </c>
      <c r="EF75" s="19">
        <f t="shared" si="472"/>
        <v>5.5737696251024795</v>
      </c>
      <c r="EG75" s="10">
        <f t="shared" si="473"/>
        <v>6.3934040205350762E-2</v>
      </c>
      <c r="EH75" s="10">
        <f t="shared" si="474"/>
        <v>2.966939053279559</v>
      </c>
      <c r="EI75" s="539">
        <f t="shared" si="475"/>
        <v>258.657746664912</v>
      </c>
      <c r="EJ75" s="19">
        <f t="shared" si="476"/>
        <v>5.6965229822967531</v>
      </c>
      <c r="EK75" s="10">
        <f t="shared" si="477"/>
        <v>6.5342085137609002E-2</v>
      </c>
      <c r="EL75" s="10">
        <f t="shared" si="478"/>
        <v>3.0322811384171682</v>
      </c>
      <c r="EM75" s="539">
        <f t="shared" si="479"/>
        <v>264.35426964720875</v>
      </c>
      <c r="EN75" s="19">
        <f t="shared" si="480"/>
        <v>5.8219797857609628</v>
      </c>
      <c r="EO75" s="10">
        <f t="shared" si="481"/>
        <v>6.6781140006434536E-2</v>
      </c>
      <c r="EP75" s="10">
        <f t="shared" si="482"/>
        <v>3.0990622784236028</v>
      </c>
      <c r="EQ75" s="539">
        <f t="shared" si="483"/>
        <v>270.17624943296971</v>
      </c>
      <c r="ER75" s="19">
        <f t="shared" si="484"/>
        <v>5.9501995745733174</v>
      </c>
      <c r="ES75" s="10">
        <f t="shared" si="485"/>
        <v>6.8251887756060073E-2</v>
      </c>
      <c r="ET75" s="10">
        <f t="shared" si="486"/>
        <v>3.1673141661796631</v>
      </c>
      <c r="EU75" s="539">
        <f t="shared" si="487"/>
        <v>276.12644900754304</v>
      </c>
      <c r="EV75" s="19">
        <f t="shared" si="488"/>
        <v>6.0812431990649527</v>
      </c>
      <c r="EW75" s="10">
        <f t="shared" si="489"/>
        <v>6.9755026371472267E-2</v>
      </c>
      <c r="EX75" s="10">
        <f t="shared" si="490"/>
        <v>3.2370691925511355</v>
      </c>
      <c r="EY75" s="539">
        <f t="shared" si="491"/>
        <v>282.20769220660799</v>
      </c>
      <c r="EZ75" s="19">
        <f t="shared" si="492"/>
        <v>6.2151728496981802</v>
      </c>
      <c r="FA75" s="10">
        <f t="shared" si="493"/>
        <v>7.1291269209660238E-2</v>
      </c>
      <c r="FB75" s="10">
        <f t="shared" si="494"/>
        <v>3.3083604617607958</v>
      </c>
      <c r="FC75" s="539">
        <f t="shared" si="495"/>
        <v>288.42286505630619</v>
      </c>
      <c r="FD75" s="19">
        <f t="shared" si="496"/>
        <v>6.352052086580728</v>
      </c>
      <c r="FE75" s="10">
        <f t="shared" si="497"/>
        <v>7.28613453381593E-2</v>
      </c>
      <c r="FF75" s="10">
        <f t="shared" si="498"/>
        <v>3.3812218070989553</v>
      </c>
      <c r="FG75" s="539">
        <f t="shared" si="499"/>
        <v>294.77491714288692</v>
      </c>
      <c r="FH75" s="19">
        <f t="shared" si="500"/>
        <v>6.4919458696299941</v>
      </c>
      <c r="FI75" s="10">
        <f t="shared" si="501"/>
        <v>7.4465999881050626E-2</v>
      </c>
      <c r="FJ75" s="10">
        <f t="shared" si="502"/>
        <v>3.4556878069800057</v>
      </c>
      <c r="FK75" s="539">
        <f t="shared" si="503"/>
        <v>301.26686301251692</v>
      </c>
      <c r="FL75" s="19">
        <f t="shared" si="504"/>
        <v>6.6349205894016103</v>
      </c>
      <c r="FM75" s="10">
        <f t="shared" si="505"/>
        <v>7.6105994372580976E-2</v>
      </c>
      <c r="FN75" s="10">
        <f t="shared" si="506"/>
        <v>3.5317938013525865</v>
      </c>
      <c r="FO75" s="539">
        <f t="shared" si="507"/>
        <v>307.90178360191851</v>
      </c>
      <c r="FP75" s="19">
        <f t="shared" si="508"/>
        <v>6.7810440985969658</v>
      </c>
      <c r="FQ75" s="10">
        <f t="shared" si="509"/>
        <v>7.7782107118570379E-2</v>
      </c>
      <c r="FR75" s="10">
        <f t="shared" si="510"/>
        <v>3.6095759084711569</v>
      </c>
      <c r="FS75" s="539">
        <f t="shared" si="511"/>
        <v>314.68282770051547</v>
      </c>
      <c r="FT75" s="19">
        <f t="shared" si="512"/>
        <v>6.9303857442646208</v>
      </c>
      <c r="FU75" s="10">
        <f t="shared" si="513"/>
        <v>7.9495133565779086E-2</v>
      </c>
      <c r="FV75" s="10">
        <f t="shared" si="514"/>
        <v>3.6890710420369359</v>
      </c>
      <c r="FW75" s="539">
        <f t="shared" si="515"/>
        <v>321.61321344478011</v>
      </c>
      <c r="FX75" s="19">
        <f t="shared" si="516"/>
        <v>7.0830164007109166</v>
      </c>
      <c r="FY75" s="10">
        <f t="shared" si="517"/>
        <v>8.1245886679409449E-2</v>
      </c>
      <c r="FZ75" s="10">
        <f t="shared" si="518"/>
        <v>3.7703169287163454</v>
      </c>
      <c r="GA75" s="539">
        <f t="shared" si="519"/>
        <v>328.69622984549102</v>
      </c>
      <c r="GB75" s="19">
        <f t="shared" si="520"/>
        <v>7.2390085031353832</v>
      </c>
      <c r="GC75" s="10">
        <f t="shared" si="521"/>
        <v>8.3035197328921576E-2</v>
      </c>
      <c r="GD75" s="10">
        <f t="shared" si="522"/>
        <v>3.8533521260452668</v>
      </c>
      <c r="GE75" s="539">
        <f t="shared" si="523"/>
        <v>335.9352383486264</v>
      </c>
      <c r="GF75" s="19">
        <f t="shared" si="524"/>
        <v>7.3984360820069117</v>
      </c>
      <c r="GG75" s="10">
        <f t="shared" si="525"/>
        <v>8.4863914682345845E-2</v>
      </c>
      <c r="GH75" s="10">
        <f t="shared" si="526"/>
        <v>3.9382160407276126</v>
      </c>
      <c r="GI75" s="539">
        <f t="shared" si="527"/>
        <v>343.33367443063327</v>
      </c>
      <c r="GJ75" s="19">
        <f t="shared" si="528"/>
        <v>7.5613747981970159</v>
      </c>
      <c r="GK75" s="10">
        <f t="shared" si="529"/>
        <v>8.673290660927982E-2</v>
      </c>
      <c r="GL75" s="10">
        <f t="shared" si="530"/>
        <v>4.0249489473368927</v>
      </c>
      <c r="GM75" s="539">
        <f t="shared" si="531"/>
        <v>350.89504922883032</v>
      </c>
      <c r="GN75" s="19">
        <f t="shared" si="532"/>
        <v>7.7279019788868339</v>
      </c>
      <c r="GO75" s="10">
        <f t="shared" si="533"/>
        <v>8.8643060092760184E-2</v>
      </c>
      <c r="GP75" s="10">
        <f t="shared" si="534"/>
        <v>4.113592007429653</v>
      </c>
      <c r="GQ75" s="539">
        <f t="shared" si="535"/>
        <v>358.62295120771716</v>
      </c>
      <c r="GR75" s="19">
        <f t="shared" si="536"/>
        <v>7.8980966542649336</v>
      </c>
      <c r="GS75" s="10">
        <f t="shared" si="537"/>
        <v>9.0595281650205695E-2</v>
      </c>
      <c r="GT75" s="10">
        <f t="shared" si="538"/>
        <v>4.2041872890798588</v>
      </c>
      <c r="GU75" s="539">
        <f t="shared" si="539"/>
        <v>366.52104786198214</v>
      </c>
      <c r="GV75" s="19">
        <f t="shared" si="540"/>
        <v>8.0720395950333295</v>
      </c>
      <c r="GW75" s="10">
        <f t="shared" si="541"/>
        <v>9.259049776363075E-2</v>
      </c>
      <c r="GX75" s="10">
        <f t="shared" si="542"/>
        <v>4.2967777868434895</v>
      </c>
      <c r="GY75" s="539">
        <f t="shared" si="543"/>
        <v>374.59308745701543</v>
      </c>
      <c r="GZ75" s="19">
        <f t="shared" si="544"/>
        <v>8.2498133507394993</v>
      </c>
      <c r="HA75" s="10">
        <f t="shared" si="545"/>
        <v>9.4629655319333553E-2</v>
      </c>
      <c r="HB75" s="10">
        <f t="shared" si="546"/>
        <v>4.3914074421628229</v>
      </c>
      <c r="HC75" s="539">
        <f t="shared" si="547"/>
        <v>382.84290080775492</v>
      </c>
      <c r="HD75" s="19">
        <f t="shared" si="548"/>
        <v>8.4315022889526201</v>
      </c>
      <c r="HE75" s="10">
        <f t="shared" si="549"/>
        <v>9.6713722057267942E-2</v>
      </c>
      <c r="HF75" s="10">
        <f t="shared" si="550"/>
        <v>4.4881211642200904</v>
      </c>
      <c r="HG75" s="539">
        <f t="shared" si="551"/>
        <v>391.27440309670749</v>
      </c>
      <c r="HH75" s="19">
        <f t="shared" si="552"/>
        <v>8.6171926353025725</v>
      </c>
      <c r="HI75" s="10">
        <f t="shared" si="553"/>
        <v>9.8843687030311669E-2</v>
      </c>
      <c r="HJ75" s="10">
        <f t="shared" si="554"/>
        <v>4.5869648512504018</v>
      </c>
      <c r="HK75" s="539">
        <f t="shared" si="555"/>
        <v>399.89159573201005</v>
      </c>
      <c r="HL75" s="19">
        <f t="shared" si="556"/>
        <v>8.8069725144007709</v>
      </c>
      <c r="HM75" s="10">
        <f t="shared" si="557"/>
        <v>0.10102056107364958</v>
      </c>
      <c r="HN75" s="10">
        <f t="shared" si="558"/>
        <v>4.6879854123240516</v>
      </c>
      <c r="HO75" s="539">
        <f t="shared" si="559"/>
        <v>408.69856824641084</v>
      </c>
      <c r="HP75" s="19">
        <f t="shared" si="560"/>
        <v>9.0009319916621795</v>
      </c>
      <c r="HQ75" s="10">
        <f t="shared" si="561"/>
        <v>0.1032453772844939</v>
      </c>
      <c r="HR75" s="10">
        <f t="shared" si="562"/>
        <v>4.7912307896085453</v>
      </c>
      <c r="HS75" s="539">
        <f t="shared" si="563"/>
        <v>417.69950023807303</v>
      </c>
      <c r="HT75" s="19">
        <f t="shared" si="564"/>
        <v>9.1991631160484069</v>
      </c>
      <c r="HU75" s="10">
        <f t="shared" si="565"/>
        <v>0.10551919151236988</v>
      </c>
      <c r="HV75" s="10">
        <f t="shared" si="566"/>
        <v>4.896749981120915</v>
      </c>
      <c r="HW75" s="539">
        <f t="shared" si="567"/>
        <v>426.89866335412142</v>
      </c>
      <c r="HX75" s="19">
        <f t="shared" si="568"/>
        <v>9.4017599637521556</v>
      </c>
      <c r="HY75" s="10">
        <f t="shared" si="569"/>
        <v>0.10784308286019907</v>
      </c>
      <c r="HZ75" s="10">
        <f t="shared" si="570"/>
        <v>5.0045930639811145</v>
      </c>
      <c r="IA75" s="539">
        <f t="shared" si="571"/>
        <v>436.30042331787359</v>
      </c>
      <c r="IB75" s="19">
        <f t="shared" si="572"/>
        <v>9.6088186828437401</v>
      </c>
      <c r="IP75" s="11">
        <v>34</v>
      </c>
      <c r="IQ75" s="19">
        <f t="shared" si="358"/>
        <v>120.64473773447254</v>
      </c>
      <c r="IR75" s="20">
        <f t="shared" si="620"/>
        <v>4.7223382166255368</v>
      </c>
    </row>
    <row r="76" spans="1:252">
      <c r="B76" s="20"/>
      <c r="C76" s="177" t="s">
        <v>2348</v>
      </c>
      <c r="D76" s="47" t="s">
        <v>2395</v>
      </c>
      <c r="E76" s="396">
        <f t="shared" ref="E76" si="623">F76+O76</f>
        <v>5</v>
      </c>
      <c r="F76" s="242">
        <v>1</v>
      </c>
      <c r="G76" s="48">
        <f>'Update Stock Prices'!S76</f>
        <v>353735005.45256269</v>
      </c>
      <c r="H76" s="991">
        <f t="shared" ref="H76" si="624">F76/G76</f>
        <v>2.8269749518304433E-9</v>
      </c>
      <c r="I76" s="49">
        <f>'Update Stock Prices'!D76</f>
        <v>73.36</v>
      </c>
      <c r="J76" s="49">
        <f t="shared" si="404"/>
        <v>73.36</v>
      </c>
      <c r="K76" s="30">
        <v>83.28</v>
      </c>
      <c r="L76" s="49">
        <f t="shared" ref="L76" si="625">J76-K76</f>
        <v>-9.9200000000000017</v>
      </c>
      <c r="M76" s="50">
        <f t="shared" ref="M76" si="626">L76/K76</f>
        <v>-0.11911623439000962</v>
      </c>
      <c r="N76" s="49">
        <f t="shared" ref="N76" si="627">K76/F76</f>
        <v>83.28</v>
      </c>
      <c r="O76" s="48">
        <f t="shared" ref="O76" si="628">IF(INT(($B$11-$B$12)/I76)&lt;0,0,INT(($B$11-$B$12)/I76))</f>
        <v>4</v>
      </c>
      <c r="P76" s="49">
        <f t="shared" ref="P76" si="629">IF(($B$11-$B$12)-(O76*I76)&lt;0,0,($B$11-$B$12)-(O76*I76))</f>
        <v>27.569999999999993</v>
      </c>
      <c r="Q76" s="30">
        <f>0.52*4</f>
        <v>2.08</v>
      </c>
      <c r="R76" s="49">
        <f t="shared" ref="R76" si="630">S76/365.25</f>
        <v>5.694729637234771E-3</v>
      </c>
      <c r="S76" s="49">
        <f t="shared" ref="S76" si="631">F76*Q76</f>
        <v>2.08</v>
      </c>
      <c r="T76" s="49">
        <f t="shared" ref="T76" si="632">S76/12</f>
        <v>0.17333333333333334</v>
      </c>
      <c r="U76" s="49" t="s">
        <v>54</v>
      </c>
      <c r="V76" s="50">
        <f t="shared" ref="V76" si="633">Q76/I76</f>
        <v>2.835332606324973E-2</v>
      </c>
      <c r="W76" s="50">
        <f t="shared" ref="W76" si="634">S76/K76</f>
        <v>2.4975984630163307E-2</v>
      </c>
      <c r="X76" s="49">
        <f t="shared" ref="X76" si="635">12*((E76*Q76)/12-T76)</f>
        <v>8.32</v>
      </c>
      <c r="Y76" s="49">
        <f t="shared" ref="Y76" si="636">IF(U76="Q",3*T76,IF(U76="Y",12*T76,IF(U76="B",6*T76,IF(U76="M",T76,0))))</f>
        <v>0.52</v>
      </c>
      <c r="Z76" s="860">
        <f t="shared" ref="Z76" si="637">IF(Y76/I76&gt;1,1,0)</f>
        <v>0</v>
      </c>
      <c r="AA76" s="860">
        <f t="shared" ref="AA76" si="638">IF(Z76=1,"",IF(AND(U76&lt;&gt;"",Z76=0),I76/(Y76/F76)-F76,""))</f>
        <v>140.07692307692307</v>
      </c>
      <c r="AB76" s="49">
        <f t="shared" ref="AB76" si="639">IF(AA76&lt;&gt;"",AA76*I76,"")</f>
        <v>10276.043076923075</v>
      </c>
      <c r="AC76" s="48">
        <v>1</v>
      </c>
      <c r="AD76" s="47" t="str">
        <f t="shared" ref="AD76" si="640">D76</f>
        <v>K</v>
      </c>
      <c r="AE76" s="49">
        <f t="shared" ref="AE76" si="641">J76</f>
        <v>73.36</v>
      </c>
      <c r="AF76" s="50" t="e">
        <f t="shared" si="405"/>
        <v>#REF!</v>
      </c>
      <c r="AG76" s="890" t="e">
        <f t="shared" ref="AG76" si="642">(100*AF76)^2</f>
        <v>#REF!</v>
      </c>
      <c r="AH76" s="207" t="s">
        <v>2399</v>
      </c>
      <c r="AI76" s="240">
        <f t="shared" si="406"/>
        <v>1.2217067619546709E-2</v>
      </c>
      <c r="AJ76" s="11">
        <f t="shared" ref="AJ76" si="643">LEN(D76)</f>
        <v>1</v>
      </c>
      <c r="AK76" s="11"/>
      <c r="AL76" s="11"/>
      <c r="AM76" s="11"/>
      <c r="AN76" s="11"/>
      <c r="AO76" s="11"/>
      <c r="AP76" s="11"/>
      <c r="AQ76" s="11" t="str">
        <f>'Update Stock Prices'!Q76</f>
        <v>big</v>
      </c>
      <c r="AR76" s="11"/>
      <c r="AS76" s="11"/>
      <c r="AT76" s="176" t="s">
        <v>1718</v>
      </c>
      <c r="AU76" s="445" t="s">
        <v>449</v>
      </c>
      <c r="AV76" s="46">
        <f ca="1">TODAY()</f>
        <v>42772</v>
      </c>
      <c r="AW76" s="46">
        <f ca="1">TODAY()</f>
        <v>42772</v>
      </c>
      <c r="AX76" s="46">
        <v>42770</v>
      </c>
      <c r="AY76" s="46">
        <v>42770</v>
      </c>
      <c r="AZ76" s="7" t="s">
        <v>422</v>
      </c>
      <c r="BA76" s="7" t="s">
        <v>458</v>
      </c>
      <c r="BB76" s="445" t="s">
        <v>677</v>
      </c>
      <c r="BC76" s="632" t="s">
        <v>678</v>
      </c>
      <c r="BD76" s="720" t="s">
        <v>1266</v>
      </c>
      <c r="BE76" s="630" t="s">
        <v>1865</v>
      </c>
      <c r="BF76" s="428"/>
      <c r="BG76" s="428"/>
      <c r="BH76" s="216" t="s">
        <v>1925</v>
      </c>
      <c r="BI76" s="592" t="s">
        <v>1924</v>
      </c>
      <c r="BJ76" s="997" t="s">
        <v>1926</v>
      </c>
      <c r="BK76" s="7"/>
      <c r="BL76" s="7"/>
      <c r="BM76" s="7"/>
      <c r="BN76" s="7"/>
      <c r="BO76" s="7"/>
      <c r="BP76" s="7"/>
      <c r="BS76" s="420" t="str">
        <f t="shared" si="407"/>
        <v>K</v>
      </c>
      <c r="BT76" s="425">
        <f t="shared" si="408"/>
        <v>1</v>
      </c>
      <c r="BU76" s="19">
        <f t="shared" si="409"/>
        <v>73.36</v>
      </c>
      <c r="BV76" s="19">
        <f t="shared" si="410"/>
        <v>73.36</v>
      </c>
      <c r="BW76" s="539">
        <f t="shared" si="411"/>
        <v>2.08</v>
      </c>
      <c r="BX76" s="19">
        <f t="shared" si="412"/>
        <v>2.08</v>
      </c>
      <c r="BY76" s="10">
        <f t="shared" si="413"/>
        <v>2.835332606324973E-2</v>
      </c>
      <c r="BZ76" s="10">
        <f t="shared" si="414"/>
        <v>1.0283533260632498</v>
      </c>
      <c r="CA76" s="539">
        <f t="shared" si="415"/>
        <v>75.440000000000012</v>
      </c>
      <c r="CB76" s="19">
        <f t="shared" si="416"/>
        <v>2.1389749182115598</v>
      </c>
      <c r="CC76" s="10">
        <f t="shared" si="417"/>
        <v>2.9157237162098688E-2</v>
      </c>
      <c r="CD76" s="10">
        <f t="shared" si="418"/>
        <v>1.0575105632253485</v>
      </c>
      <c r="CE76" s="539">
        <f t="shared" si="419"/>
        <v>77.578974918211571</v>
      </c>
      <c r="CF76" s="19">
        <f t="shared" si="420"/>
        <v>2.1996219715087251</v>
      </c>
      <c r="CG76" s="10">
        <f t="shared" si="421"/>
        <v>2.9983941814459174E-2</v>
      </c>
      <c r="CH76" s="10">
        <f t="shared" si="422"/>
        <v>1.0874945050398077</v>
      </c>
      <c r="CI76" s="539">
        <f t="shared" si="423"/>
        <v>79.778596889720291</v>
      </c>
      <c r="CJ76" s="19">
        <f t="shared" si="424"/>
        <v>2.2619885704828002</v>
      </c>
      <c r="CK76" s="10">
        <f t="shared" si="425"/>
        <v>3.0834086293386045E-2</v>
      </c>
      <c r="CL76" s="10">
        <f t="shared" si="426"/>
        <v>1.1183285913331937</v>
      </c>
      <c r="CM76" s="539">
        <f t="shared" si="427"/>
        <v>82.04058546020309</v>
      </c>
      <c r="CN76" s="19">
        <f t="shared" si="428"/>
        <v>2.3261234699730431</v>
      </c>
      <c r="CO76" s="10">
        <f t="shared" si="429"/>
        <v>3.1708335195924794E-2</v>
      </c>
      <c r="CP76" s="10">
        <f t="shared" si="430"/>
        <v>1.1500369265291186</v>
      </c>
      <c r="CQ76" s="539">
        <f t="shared" si="431"/>
        <v>84.366708930176145</v>
      </c>
      <c r="CR76" s="19">
        <f t="shared" si="432"/>
        <v>2.3920768071805667</v>
      </c>
      <c r="CS76" s="10">
        <f t="shared" si="433"/>
        <v>3.2607371962657672E-2</v>
      </c>
      <c r="CT76" s="10">
        <f t="shared" si="434"/>
        <v>1.1826442984917762</v>
      </c>
      <c r="CU76" s="539">
        <f t="shared" si="435"/>
        <v>86.758785737356703</v>
      </c>
      <c r="CV76" s="19">
        <f t="shared" si="436"/>
        <v>2.4599001408628944</v>
      </c>
      <c r="CW76" s="10">
        <f t="shared" si="437"/>
        <v>3.3531899411980565E-2</v>
      </c>
      <c r="CX76" s="10">
        <f t="shared" si="438"/>
        <v>1.2161761979037569</v>
      </c>
      <c r="CY76" s="539">
        <f t="shared" si="439"/>
        <v>89.218685878219603</v>
      </c>
      <c r="CZ76" s="19">
        <f t="shared" si="440"/>
        <v>2.5296464916398143</v>
      </c>
      <c r="DA76" s="10">
        <f t="shared" si="441"/>
        <v>3.4482640289528549E-2</v>
      </c>
      <c r="DB76" s="10">
        <f t="shared" si="442"/>
        <v>1.2506588381932855</v>
      </c>
      <c r="DC76" s="539">
        <f t="shared" si="443"/>
        <v>91.748332369859426</v>
      </c>
      <c r="DD76" s="19">
        <f t="shared" si="444"/>
        <v>2.6013703834420339</v>
      </c>
      <c r="DE76" s="10">
        <f t="shared" si="445"/>
        <v>3.5460337833179305E-2</v>
      </c>
      <c r="DF76" s="10">
        <f t="shared" si="446"/>
        <v>1.2861191760264647</v>
      </c>
      <c r="DG76" s="539">
        <f t="shared" si="447"/>
        <v>94.349702753301457</v>
      </c>
      <c r="DH76" s="19">
        <f t="shared" si="448"/>
        <v>2.6751278861350469</v>
      </c>
      <c r="DI76" s="10">
        <f t="shared" si="449"/>
        <v>3.646575635407643E-2</v>
      </c>
      <c r="DJ76" s="10">
        <f t="shared" si="450"/>
        <v>1.3225849323805412</v>
      </c>
      <c r="DK76" s="539">
        <f t="shared" si="451"/>
        <v>97.024830639436502</v>
      </c>
      <c r="DL76" s="19">
        <f t="shared" si="452"/>
        <v>2.7509766593515259</v>
      </c>
      <c r="DM76" s="10">
        <f t="shared" si="453"/>
        <v>3.749968183412658E-2</v>
      </c>
      <c r="DN76" s="10">
        <f t="shared" si="454"/>
        <v>1.3600846142146679</v>
      </c>
      <c r="DO76" s="539">
        <f t="shared" si="455"/>
        <v>99.775807298788038</v>
      </c>
      <c r="DP76" s="19">
        <f t="shared" si="456"/>
        <v>2.8289759975665092</v>
      </c>
      <c r="DQ76" s="10">
        <f t="shared" si="457"/>
        <v>3.8562922540437694E-2</v>
      </c>
      <c r="DR76" s="10">
        <f t="shared" si="458"/>
        <v>1.3986475367551057</v>
      </c>
      <c r="DS76" s="539">
        <f t="shared" si="459"/>
        <v>102.60478329635455</v>
      </c>
      <c r="DT76" s="19">
        <f t="shared" si="460"/>
        <v>2.9091868764506197</v>
      </c>
      <c r="DU76" s="10">
        <f t="shared" si="461"/>
        <v>3.9656309657178569E-2</v>
      </c>
      <c r="DV76" s="10">
        <f t="shared" si="462"/>
        <v>1.4383038464122841</v>
      </c>
      <c r="DW76" s="539">
        <f t="shared" si="463"/>
        <v>105.51397017280516</v>
      </c>
      <c r="DX76" s="19">
        <f t="shared" si="464"/>
        <v>2.9916720005375512</v>
      </c>
      <c r="DY76" s="10">
        <f t="shared" si="465"/>
        <v>4.078069793535375E-2</v>
      </c>
      <c r="DZ76" s="10">
        <f t="shared" si="466"/>
        <v>1.4790845443476379</v>
      </c>
      <c r="EA76" s="539">
        <f t="shared" si="467"/>
        <v>108.50564217334272</v>
      </c>
      <c r="EB76" s="19">
        <f t="shared" si="468"/>
        <v>3.0764958522430872</v>
      </c>
      <c r="EC76" s="10">
        <f t="shared" si="469"/>
        <v>4.1936966361001735E-2</v>
      </c>
      <c r="ED76" s="10">
        <f t="shared" si="470"/>
        <v>1.5210215107086396</v>
      </c>
      <c r="EE76" s="539">
        <f t="shared" si="471"/>
        <v>111.58213802558579</v>
      </c>
      <c r="EF76" s="19">
        <f t="shared" si="472"/>
        <v>3.1637247422739705</v>
      </c>
      <c r="EG76" s="10">
        <f t="shared" si="473"/>
        <v>4.3126018842338749E-2</v>
      </c>
      <c r="EH76" s="10">
        <f t="shared" si="474"/>
        <v>1.5641475295509784</v>
      </c>
      <c r="EI76" s="539">
        <f t="shared" si="475"/>
        <v>114.74586276785978</v>
      </c>
      <c r="EJ76" s="19">
        <f t="shared" si="476"/>
        <v>3.2534268614660351</v>
      </c>
      <c r="EK76" s="10">
        <f t="shared" si="477"/>
        <v>4.4348784916385428E-2</v>
      </c>
      <c r="EL76" s="10">
        <f t="shared" si="478"/>
        <v>1.6084963144673639</v>
      </c>
      <c r="EM76" s="539">
        <f t="shared" si="479"/>
        <v>117.99928962932582</v>
      </c>
      <c r="EN76" s="19">
        <f t="shared" si="480"/>
        <v>3.3456723340921171</v>
      </c>
      <c r="EO76" s="10">
        <f t="shared" si="481"/>
        <v>4.5606220475628644E-2</v>
      </c>
      <c r="EP76" s="10">
        <f t="shared" si="482"/>
        <v>1.6541025349429925</v>
      </c>
      <c r="EQ76" s="539">
        <f t="shared" si="483"/>
        <v>121.34496196341793</v>
      </c>
      <c r="ER76" s="19">
        <f t="shared" si="484"/>
        <v>3.4405332726814244</v>
      </c>
      <c r="ES76" s="10">
        <f t="shared" si="485"/>
        <v>4.6899308515286592E-2</v>
      </c>
      <c r="ET76" s="10">
        <f t="shared" si="486"/>
        <v>1.7010018434582792</v>
      </c>
      <c r="EU76" s="539">
        <f t="shared" si="487"/>
        <v>124.78549523609937</v>
      </c>
      <c r="EV76" s="19">
        <f t="shared" si="488"/>
        <v>3.538083834393221</v>
      </c>
      <c r="EW76" s="10">
        <f t="shared" si="489"/>
        <v>4.8229059901761462E-2</v>
      </c>
      <c r="EX76" s="10">
        <f t="shared" si="490"/>
        <v>1.7492309033600406</v>
      </c>
      <c r="EY76" s="539">
        <f t="shared" si="491"/>
        <v>128.32357907049257</v>
      </c>
      <c r="EZ76" s="19">
        <f t="shared" si="492"/>
        <v>3.6384002789888847</v>
      </c>
      <c r="FA76" s="10">
        <f t="shared" si="493"/>
        <v>4.9596514162880107E-2</v>
      </c>
      <c r="FB76" s="10">
        <f t="shared" si="494"/>
        <v>1.7988274175229206</v>
      </c>
      <c r="FC76" s="539">
        <f t="shared" si="495"/>
        <v>131.96197934948145</v>
      </c>
      <c r="FD76" s="19">
        <f t="shared" si="496"/>
        <v>3.7415610284476752</v>
      </c>
      <c r="FE76" s="10">
        <f t="shared" si="497"/>
        <v>5.1002740300540833E-2</v>
      </c>
      <c r="FF76" s="10">
        <f t="shared" si="498"/>
        <v>1.8498301578234615</v>
      </c>
      <c r="FG76" s="539">
        <f t="shared" si="499"/>
        <v>135.70354037792913</v>
      </c>
      <c r="FH76" s="19">
        <f t="shared" si="500"/>
        <v>3.8476467282728</v>
      </c>
      <c r="FI76" s="10">
        <f t="shared" si="501"/>
        <v>5.2448837626401311E-2</v>
      </c>
      <c r="FJ76" s="10">
        <f t="shared" si="502"/>
        <v>1.9022789954498629</v>
      </c>
      <c r="FK76" s="539">
        <f t="shared" si="503"/>
        <v>139.55118710620195</v>
      </c>
      <c r="FL76" s="19">
        <f t="shared" si="504"/>
        <v>3.9567403105357148</v>
      </c>
      <c r="FM76" s="10">
        <f t="shared" si="505"/>
        <v>5.3935936621261109E-2</v>
      </c>
      <c r="FN76" s="10">
        <f t="shared" si="506"/>
        <v>1.956214932071124</v>
      </c>
      <c r="FO76" s="539">
        <f t="shared" si="507"/>
        <v>143.50792741673766</v>
      </c>
      <c r="FP76" s="19">
        <f t="shared" si="508"/>
        <v>4.0689270587079376</v>
      </c>
      <c r="FQ76" s="10">
        <f t="shared" si="509"/>
        <v>5.5465199818810491E-2</v>
      </c>
      <c r="FR76" s="10">
        <f t="shared" si="510"/>
        <v>2.0116801318899347</v>
      </c>
      <c r="FS76" s="539">
        <f t="shared" si="511"/>
        <v>147.5768544754456</v>
      </c>
      <c r="FT76" s="19">
        <f t="shared" si="512"/>
        <v>4.1842946743310643</v>
      </c>
      <c r="FU76" s="10">
        <f t="shared" si="513"/>
        <v>5.703782271443654E-2</v>
      </c>
      <c r="FV76" s="10">
        <f t="shared" si="514"/>
        <v>2.068717954604371</v>
      </c>
      <c r="FW76" s="539">
        <f t="shared" si="515"/>
        <v>151.76114914977666</v>
      </c>
      <c r="FX76" s="19">
        <f t="shared" si="516"/>
        <v>4.3029333455770917</v>
      </c>
      <c r="FY76" s="10">
        <f t="shared" si="517"/>
        <v>5.8655034699796778E-2</v>
      </c>
      <c r="FZ76" s="10">
        <f t="shared" si="518"/>
        <v>2.1273729893041677</v>
      </c>
      <c r="GA76" s="539">
        <f t="shared" si="519"/>
        <v>156.06408249535374</v>
      </c>
      <c r="GB76" s="19">
        <f t="shared" si="520"/>
        <v>4.4249358177526688</v>
      </c>
      <c r="GC76" s="10">
        <f t="shared" si="521"/>
        <v>6.031810002389134E-2</v>
      </c>
      <c r="GD76" s="10">
        <f t="shared" si="522"/>
        <v>2.1876910893280592</v>
      </c>
      <c r="GE76" s="539">
        <f t="shared" si="523"/>
        <v>160.48901831310641</v>
      </c>
      <c r="GF76" s="19">
        <f t="shared" si="524"/>
        <v>4.5503974658023632</v>
      </c>
      <c r="GG76" s="10">
        <f t="shared" si="525"/>
        <v>6.2028318781384449E-2</v>
      </c>
      <c r="GH76" s="10">
        <f t="shared" si="526"/>
        <v>2.2497194081094438</v>
      </c>
      <c r="GI76" s="539">
        <f t="shared" si="527"/>
        <v>165.03941577890879</v>
      </c>
      <c r="GJ76" s="19">
        <f t="shared" si="528"/>
        <v>4.6794163688676429</v>
      </c>
      <c r="GK76" s="10">
        <f t="shared" si="529"/>
        <v>6.3787027928948234E-2</v>
      </c>
      <c r="GL76" s="10">
        <f t="shared" si="530"/>
        <v>2.3135064360383919</v>
      </c>
      <c r="GM76" s="539">
        <f t="shared" si="531"/>
        <v>169.71883214777642</v>
      </c>
      <c r="GN76" s="19">
        <f t="shared" si="532"/>
        <v>4.8120933869598552</v>
      </c>
      <c r="GO76" s="10">
        <f t="shared" si="533"/>
        <v>6.559560233042333E-2</v>
      </c>
      <c r="GP76" s="10">
        <f t="shared" si="534"/>
        <v>2.3791020383688153</v>
      </c>
      <c r="GQ76" s="539">
        <f t="shared" si="535"/>
        <v>174.5309255347363</v>
      </c>
      <c r="GR76" s="19">
        <f t="shared" si="536"/>
        <v>4.9485322398071361</v>
      </c>
      <c r="GS76" s="10">
        <f t="shared" si="537"/>
        <v>6.7455455831613081E-2</v>
      </c>
      <c r="GT76" s="10">
        <f t="shared" si="538"/>
        <v>2.4465574942004285</v>
      </c>
      <c r="GU76" s="539">
        <f t="shared" si="539"/>
        <v>179.47945777454342</v>
      </c>
      <c r="GV76" s="19">
        <f t="shared" si="540"/>
        <v>5.0888395879368913</v>
      </c>
      <c r="GW76" s="10">
        <f t="shared" si="541"/>
        <v>6.9368042365551955E-2</v>
      </c>
      <c r="GX76" s="10">
        <f t="shared" si="542"/>
        <v>2.5159255365659803</v>
      </c>
      <c r="GY76" s="539">
        <f t="shared" si="543"/>
        <v>184.56829736248031</v>
      </c>
      <c r="GZ76" s="19">
        <f t="shared" si="544"/>
        <v>5.2331251160572387</v>
      </c>
      <c r="HA76" s="10">
        <f t="shared" si="545"/>
        <v>7.1334857089111761E-2</v>
      </c>
      <c r="HB76" s="10">
        <f t="shared" si="546"/>
        <v>2.5872603936550922</v>
      </c>
      <c r="HC76" s="539">
        <f t="shared" si="547"/>
        <v>189.80142247853757</v>
      </c>
      <c r="HD76" s="19">
        <f t="shared" si="548"/>
        <v>5.3815016188025924</v>
      </c>
      <c r="HE76" s="10">
        <f t="shared" si="549"/>
        <v>7.3357437551834687E-2</v>
      </c>
      <c r="HF76" s="10">
        <f t="shared" si="550"/>
        <v>2.6606178312069271</v>
      </c>
      <c r="HG76" s="539">
        <f t="shared" si="551"/>
        <v>195.18292409734016</v>
      </c>
      <c r="HH76" s="19">
        <f t="shared" si="552"/>
        <v>5.5340850889104081</v>
      </c>
      <c r="HI76" s="10">
        <f t="shared" si="553"/>
        <v>7.5437364897906325E-2</v>
      </c>
      <c r="HJ76" s="10">
        <f t="shared" si="554"/>
        <v>2.7360551961048336</v>
      </c>
      <c r="HK76" s="539">
        <f t="shared" si="555"/>
        <v>200.71700918625058</v>
      </c>
      <c r="HL76" s="19">
        <f t="shared" si="556"/>
        <v>5.6909948078980541</v>
      </c>
      <c r="HM76" s="10">
        <f t="shared" si="557"/>
        <v>7.7576265102209024E-2</v>
      </c>
      <c r="HN76" s="10">
        <f t="shared" si="558"/>
        <v>2.8136314612070428</v>
      </c>
      <c r="HO76" s="539">
        <f t="shared" si="559"/>
        <v>206.40800399414866</v>
      </c>
      <c r="HP76" s="19">
        <f t="shared" si="560"/>
        <v>5.8523534393106491</v>
      </c>
      <c r="HQ76" s="10">
        <f t="shared" si="561"/>
        <v>7.9775810241421066E-2</v>
      </c>
      <c r="HR76" s="10">
        <f t="shared" si="562"/>
        <v>2.893407271448464</v>
      </c>
      <c r="HS76" s="539">
        <f t="shared" si="563"/>
        <v>212.26035743345932</v>
      </c>
      <c r="HT76" s="19">
        <f t="shared" si="564"/>
        <v>6.0182871246128053</v>
      </c>
      <c r="HU76" s="10">
        <f t="shared" si="565"/>
        <v>8.2037719801156012E-2</v>
      </c>
      <c r="HV76" s="10">
        <f t="shared" si="566"/>
        <v>2.9754449912496201</v>
      </c>
      <c r="HW76" s="539">
        <f t="shared" si="567"/>
        <v>218.27864455807213</v>
      </c>
      <c r="HX76" s="19">
        <f t="shared" si="568"/>
        <v>6.1889255817992099</v>
      </c>
      <c r="HY76" s="10">
        <f t="shared" si="569"/>
        <v>8.4363762020163713E-2</v>
      </c>
      <c r="HZ76" s="10">
        <f t="shared" si="570"/>
        <v>3.0598087532697837</v>
      </c>
      <c r="IA76" s="539">
        <f t="shared" si="571"/>
        <v>224.46757013987133</v>
      </c>
      <c r="IB76" s="19">
        <f t="shared" si="572"/>
        <v>6.3644022068011505</v>
      </c>
      <c r="IP76" s="11">
        <v>35</v>
      </c>
      <c r="IQ76" s="19">
        <f t="shared" si="358"/>
        <v>130.29631675323034</v>
      </c>
      <c r="IR76" s="20">
        <f t="shared" si="620"/>
        <v>4.6364775217777989</v>
      </c>
    </row>
    <row r="77" spans="1:252">
      <c r="B77" s="20"/>
      <c r="C77" s="177" t="s">
        <v>2348</v>
      </c>
      <c r="D77" s="47" t="s">
        <v>1648</v>
      </c>
      <c r="E77" s="396">
        <f t="shared" si="600"/>
        <v>4.0065</v>
      </c>
      <c r="F77" s="242">
        <v>1.0065</v>
      </c>
      <c r="G77" s="48">
        <f>'Update Stock Prices'!S77</f>
        <v>1226391844.9647138</v>
      </c>
      <c r="H77" s="991">
        <f t="shared" si="610"/>
        <v>8.2070017354767983E-10</v>
      </c>
      <c r="I77" s="49">
        <f>'Update Stock Prices'!D77</f>
        <v>89.27</v>
      </c>
      <c r="J77" s="49">
        <f t="shared" si="404"/>
        <v>89.85025499999999</v>
      </c>
      <c r="K77" s="30">
        <v>72.63</v>
      </c>
      <c r="L77" s="49">
        <f t="shared" si="611"/>
        <v>17.220254999999995</v>
      </c>
      <c r="M77" s="50">
        <f t="shared" si="613"/>
        <v>0.23709562164394873</v>
      </c>
      <c r="N77" s="49">
        <f t="shared" si="612"/>
        <v>72.16095380029806</v>
      </c>
      <c r="O77" s="48">
        <f t="shared" si="601"/>
        <v>3</v>
      </c>
      <c r="P77" s="49">
        <f t="shared" si="602"/>
        <v>53.199999999999989</v>
      </c>
      <c r="Q77" s="30">
        <f>0.6*4</f>
        <v>2.4</v>
      </c>
      <c r="R77" s="49">
        <f t="shared" ref="R77" si="644">S77/365.25</f>
        <v>6.6135523613963035E-3</v>
      </c>
      <c r="S77" s="49">
        <f t="shared" si="603"/>
        <v>2.4156</v>
      </c>
      <c r="T77" s="49">
        <f t="shared" ref="T77" si="645">S77/12</f>
        <v>0.20130000000000001</v>
      </c>
      <c r="U77" s="49" t="s">
        <v>54</v>
      </c>
      <c r="V77" s="50">
        <f t="shared" si="604"/>
        <v>2.688473171278145E-2</v>
      </c>
      <c r="W77" s="50">
        <f t="shared" si="575"/>
        <v>3.325898389095415E-2</v>
      </c>
      <c r="X77" s="49">
        <f t="shared" si="618"/>
        <v>7.1999999999999984</v>
      </c>
      <c r="Y77" s="49">
        <f t="shared" ref="Y77" si="646">IF(U77="Q",3*T77,IF(U77="Y",12*T77,IF(U77="B",6*T77,IF(U77="M",T77,0))))</f>
        <v>0.60389999999999999</v>
      </c>
      <c r="Z77" s="860">
        <f t="shared" si="605"/>
        <v>0</v>
      </c>
      <c r="AA77" s="860">
        <f t="shared" si="606"/>
        <v>147.77683333333334</v>
      </c>
      <c r="AB77" s="49">
        <f t="shared" si="607"/>
        <v>13192.037911666666</v>
      </c>
      <c r="AC77" s="48">
        <v>1</v>
      </c>
      <c r="AD77" s="47" t="str">
        <f t="shared" si="608"/>
        <v>KHC</v>
      </c>
      <c r="AE77" s="49">
        <f t="shared" si="609"/>
        <v>89.85025499999999</v>
      </c>
      <c r="AF77" s="50" t="e">
        <f t="shared" si="405"/>
        <v>#REF!</v>
      </c>
      <c r="AG77" s="890" t="e">
        <f t="shared" si="599"/>
        <v>#REF!</v>
      </c>
      <c r="AH77" s="207" t="s">
        <v>1649</v>
      </c>
      <c r="AI77" s="240">
        <f t="shared" si="406"/>
        <v>1.8326813498536682E-2</v>
      </c>
      <c r="AJ77" s="11">
        <f t="shared" si="595"/>
        <v>3</v>
      </c>
      <c r="AK77" s="11"/>
      <c r="AL77" s="11"/>
      <c r="AM77" s="11"/>
      <c r="AN77" s="11"/>
      <c r="AO77" s="11">
        <v>1</v>
      </c>
      <c r="AP77" s="11"/>
      <c r="AQ77" s="11" t="str">
        <f>'Update Stock Prices'!Q77</f>
        <v>mega</v>
      </c>
      <c r="AR77" s="11"/>
      <c r="AS77" s="11"/>
      <c r="AT77" s="16">
        <f t="shared" ref="AT77:AT86" si="647">AV77/$AV$112</f>
        <v>0.92816582827930272</v>
      </c>
      <c r="AU77" s="224" t="s">
        <v>405</v>
      </c>
      <c r="AV77" s="19">
        <f>SUM(AE2:AE146)</f>
        <v>66370.613769200019</v>
      </c>
      <c r="AW77" s="15" t="e">
        <f t="shared" ref="AW77:AW86" si="648">AV77/$AV$86</f>
        <v>#REF!</v>
      </c>
      <c r="AX77" s="19">
        <v>66339.649265200031</v>
      </c>
      <c r="AY77" s="15">
        <v>0.23639531235463596</v>
      </c>
      <c r="AZ77" s="19">
        <f>AV77-AX77</f>
        <v>30.964503999988665</v>
      </c>
      <c r="BA77" s="15">
        <f>(AV77-AX77)/AX77</f>
        <v>4.6675712553445467E-4</v>
      </c>
      <c r="BB77" s="516">
        <v>0.2</v>
      </c>
      <c r="BC77" s="234">
        <f>(1-BB77)*AV77</f>
        <v>53096.491015360021</v>
      </c>
      <c r="BD77" s="225">
        <f>F181</f>
        <v>12573.04376919999</v>
      </c>
      <c r="BE77" s="640"/>
      <c r="BH77" s="225">
        <f ca="1">BD77/BI77</f>
        <v>1571.6304711499988</v>
      </c>
      <c r="BI77" s="453">
        <f ca="1">YEAR(TODAY())-2009</f>
        <v>8</v>
      </c>
      <c r="BJ77" s="800" t="e">
        <f ca="1">CORREL(BD77:BD85,BI77:BI85)</f>
        <v>#REF!</v>
      </c>
      <c r="BK77" s="19"/>
      <c r="BL77" s="1307"/>
      <c r="BM77" s="19"/>
      <c r="BN77" s="19"/>
      <c r="BO77" s="19"/>
      <c r="BP77" s="19"/>
      <c r="BS77" s="420" t="str">
        <f t="shared" si="407"/>
        <v>KHC</v>
      </c>
      <c r="BT77" s="425">
        <f t="shared" si="408"/>
        <v>1.0065</v>
      </c>
      <c r="BU77" s="19">
        <f t="shared" si="409"/>
        <v>89.27</v>
      </c>
      <c r="BV77" s="19">
        <f t="shared" si="410"/>
        <v>89.85025499999999</v>
      </c>
      <c r="BW77" s="539">
        <f t="shared" si="411"/>
        <v>2.4</v>
      </c>
      <c r="BX77" s="19">
        <f t="shared" si="412"/>
        <v>2.4156</v>
      </c>
      <c r="BY77" s="10">
        <f t="shared" si="413"/>
        <v>2.7059482468914531E-2</v>
      </c>
      <c r="BZ77" s="10">
        <f t="shared" si="414"/>
        <v>1.0335594824689145</v>
      </c>
      <c r="CA77" s="539">
        <f t="shared" si="415"/>
        <v>92.265854999999988</v>
      </c>
      <c r="CB77" s="19">
        <f t="shared" si="416"/>
        <v>2.4805427579253947</v>
      </c>
      <c r="CC77" s="10">
        <f t="shared" si="417"/>
        <v>2.778696939537801E-2</v>
      </c>
      <c r="CD77" s="10">
        <f t="shared" si="418"/>
        <v>1.0613464518642926</v>
      </c>
      <c r="CE77" s="539">
        <f t="shared" si="419"/>
        <v>94.746397757925394</v>
      </c>
      <c r="CF77" s="19">
        <f t="shared" si="420"/>
        <v>2.547231484474302</v>
      </c>
      <c r="CG77" s="10">
        <f t="shared" si="421"/>
        <v>2.8534014612684018E-2</v>
      </c>
      <c r="CH77" s="10">
        <f t="shared" si="422"/>
        <v>1.0898804664769766</v>
      </c>
      <c r="CI77" s="539">
        <f t="shared" si="423"/>
        <v>97.293629242399689</v>
      </c>
      <c r="CJ77" s="19">
        <f t="shared" si="424"/>
        <v>2.6157131195447438</v>
      </c>
      <c r="CK77" s="10">
        <f t="shared" si="425"/>
        <v>2.9301143940234614E-2</v>
      </c>
      <c r="CL77" s="10">
        <f t="shared" si="426"/>
        <v>1.1191816104172112</v>
      </c>
      <c r="CM77" s="539">
        <f t="shared" si="427"/>
        <v>99.909342361944439</v>
      </c>
      <c r="CN77" s="19">
        <f t="shared" si="428"/>
        <v>2.686035865001307</v>
      </c>
      <c r="CO77" s="10">
        <f t="shared" si="429"/>
        <v>3.0088897333945413E-2</v>
      </c>
      <c r="CP77" s="10">
        <f t="shared" si="430"/>
        <v>1.1492705077511567</v>
      </c>
      <c r="CQ77" s="539">
        <f t="shared" si="431"/>
        <v>102.59537822694575</v>
      </c>
      <c r="CR77" s="19">
        <f t="shared" si="432"/>
        <v>2.7582492186027761</v>
      </c>
      <c r="CS77" s="10">
        <f t="shared" si="433"/>
        <v>3.0897829266301961E-2</v>
      </c>
      <c r="CT77" s="10">
        <f t="shared" si="434"/>
        <v>1.1801683370174587</v>
      </c>
      <c r="CU77" s="539">
        <f t="shared" si="435"/>
        <v>105.35362744554854</v>
      </c>
      <c r="CV77" s="19">
        <f t="shared" si="436"/>
        <v>2.8324040088419009</v>
      </c>
      <c r="CW77" s="10">
        <f t="shared" si="437"/>
        <v>3.1728509116633823E-2</v>
      </c>
      <c r="CX77" s="10">
        <f t="shared" si="438"/>
        <v>1.2118968461340924</v>
      </c>
      <c r="CY77" s="539">
        <f t="shared" si="439"/>
        <v>108.18603145439043</v>
      </c>
      <c r="CZ77" s="19">
        <f t="shared" si="440"/>
        <v>2.9085524307218216</v>
      </c>
      <c r="DA77" s="10">
        <f t="shared" si="441"/>
        <v>3.2581521571881052E-2</v>
      </c>
      <c r="DB77" s="10">
        <f t="shared" si="442"/>
        <v>1.2444783677059734</v>
      </c>
      <c r="DC77" s="539">
        <f t="shared" si="443"/>
        <v>111.09458388511224</v>
      </c>
      <c r="DD77" s="19">
        <f t="shared" si="444"/>
        <v>2.9867480824943362</v>
      </c>
      <c r="DE77" s="10">
        <f t="shared" si="445"/>
        <v>3.3457467038135277E-2</v>
      </c>
      <c r="DF77" s="10">
        <f t="shared" si="446"/>
        <v>1.2779358347441088</v>
      </c>
      <c r="DG77" s="539">
        <f t="shared" si="447"/>
        <v>114.08133196760659</v>
      </c>
      <c r="DH77" s="19">
        <f t="shared" si="448"/>
        <v>3.0670460033858609</v>
      </c>
      <c r="DI77" s="10">
        <f t="shared" si="449"/>
        <v>3.4356962063244775E-2</v>
      </c>
      <c r="DJ77" s="10">
        <f t="shared" si="450"/>
        <v>1.3122927968073534</v>
      </c>
      <c r="DK77" s="539">
        <f t="shared" si="451"/>
        <v>117.14837797099244</v>
      </c>
      <c r="DL77" s="19">
        <f t="shared" si="452"/>
        <v>3.149502712337648</v>
      </c>
      <c r="DM77" s="10">
        <f t="shared" si="453"/>
        <v>3.5280639770781316E-2</v>
      </c>
      <c r="DN77" s="10">
        <f t="shared" si="454"/>
        <v>1.3475734365781347</v>
      </c>
      <c r="DO77" s="539">
        <f t="shared" si="455"/>
        <v>120.29788068333008</v>
      </c>
      <c r="DP77" s="19">
        <f t="shared" si="456"/>
        <v>3.2341762477875231</v>
      </c>
      <c r="DQ77" s="10">
        <f t="shared" si="457"/>
        <v>3.6229150305674057E-2</v>
      </c>
      <c r="DR77" s="10">
        <f t="shared" si="458"/>
        <v>1.3838025868838086</v>
      </c>
      <c r="DS77" s="539">
        <f t="shared" si="459"/>
        <v>123.53205693111759</v>
      </c>
      <c r="DT77" s="19">
        <f t="shared" si="460"/>
        <v>3.3211262085211408</v>
      </c>
      <c r="DU77" s="10">
        <f t="shared" si="461"/>
        <v>3.720316129182414E-2</v>
      </c>
      <c r="DV77" s="10">
        <f t="shared" si="462"/>
        <v>1.4210057481756329</v>
      </c>
      <c r="DW77" s="539">
        <f t="shared" si="463"/>
        <v>126.85318313963874</v>
      </c>
      <c r="DX77" s="19">
        <f t="shared" si="464"/>
        <v>3.4104137956215186</v>
      </c>
      <c r="DY77" s="10">
        <f t="shared" si="465"/>
        <v>3.8203358302022164E-2</v>
      </c>
      <c r="DZ77" s="10">
        <f t="shared" si="466"/>
        <v>1.4592091064776551</v>
      </c>
      <c r="EA77" s="539">
        <f t="shared" si="467"/>
        <v>130.26359693526027</v>
      </c>
      <c r="EB77" s="19">
        <f t="shared" si="468"/>
        <v>3.5021018555463721</v>
      </c>
      <c r="EC77" s="10">
        <f t="shared" si="469"/>
        <v>3.9230445340499298E-2</v>
      </c>
      <c r="ED77" s="10">
        <f t="shared" si="470"/>
        <v>1.4984395518181544</v>
      </c>
      <c r="EE77" s="539">
        <f t="shared" si="471"/>
        <v>133.76569879080662</v>
      </c>
      <c r="EF77" s="19">
        <f t="shared" si="472"/>
        <v>3.5962549243635702</v>
      </c>
      <c r="EG77" s="10">
        <f t="shared" si="473"/>
        <v>4.0285145338451553E-2</v>
      </c>
      <c r="EH77" s="10">
        <f t="shared" si="474"/>
        <v>1.538724697156606</v>
      </c>
      <c r="EI77" s="539">
        <f t="shared" si="475"/>
        <v>137.36195371517022</v>
      </c>
      <c r="EJ77" s="19">
        <f t="shared" si="476"/>
        <v>3.6929392731758544</v>
      </c>
      <c r="EK77" s="10">
        <f t="shared" si="477"/>
        <v>4.136820066288624E-2</v>
      </c>
      <c r="EL77" s="10">
        <f t="shared" si="478"/>
        <v>1.5800928978194921</v>
      </c>
      <c r="EM77" s="539">
        <f t="shared" si="479"/>
        <v>141.05489298834607</v>
      </c>
      <c r="EN77" s="19">
        <f t="shared" si="480"/>
        <v>3.792222954766781</v>
      </c>
      <c r="EO77" s="10">
        <f t="shared" si="481"/>
        <v>4.2480373639148437E-2</v>
      </c>
      <c r="EP77" s="10">
        <f t="shared" si="482"/>
        <v>1.6225732714586405</v>
      </c>
      <c r="EQ77" s="539">
        <f t="shared" si="483"/>
        <v>144.84711594311284</v>
      </c>
      <c r="ER77" s="19">
        <f t="shared" si="484"/>
        <v>3.8941758515007372</v>
      </c>
      <c r="ES77" s="10">
        <f t="shared" si="485"/>
        <v>4.3622447087495658E-2</v>
      </c>
      <c r="ET77" s="10">
        <f t="shared" si="486"/>
        <v>1.6661957185461362</v>
      </c>
      <c r="EU77" s="539">
        <f t="shared" si="487"/>
        <v>148.74129179461357</v>
      </c>
      <c r="EV77" s="19">
        <f t="shared" si="488"/>
        <v>3.998869724510727</v>
      </c>
      <c r="EW77" s="10">
        <f t="shared" si="489"/>
        <v>4.4795224874097983E-2</v>
      </c>
      <c r="EX77" s="10">
        <f t="shared" si="490"/>
        <v>1.7109909434202342</v>
      </c>
      <c r="EY77" s="539">
        <f t="shared" si="491"/>
        <v>152.74016151912429</v>
      </c>
      <c r="EZ77" s="19">
        <f t="shared" si="492"/>
        <v>4.106378264208562</v>
      </c>
      <c r="FA77" s="10">
        <f t="shared" si="493"/>
        <v>4.5999532476851825E-2</v>
      </c>
      <c r="FB77" s="10">
        <f t="shared" si="494"/>
        <v>1.756990475897086</v>
      </c>
      <c r="FC77" s="539">
        <f t="shared" si="495"/>
        <v>156.84653978333287</v>
      </c>
      <c r="FD77" s="19">
        <f t="shared" si="496"/>
        <v>4.2167771421530063</v>
      </c>
      <c r="FE77" s="10">
        <f t="shared" si="497"/>
        <v>4.7236217566405357E-2</v>
      </c>
      <c r="FF77" s="10">
        <f t="shared" si="498"/>
        <v>1.8042266934634914</v>
      </c>
      <c r="FG77" s="539">
        <f t="shared" si="499"/>
        <v>161.06331692548588</v>
      </c>
      <c r="FH77" s="19">
        <f t="shared" si="500"/>
        <v>4.3301440643123792</v>
      </c>
      <c r="FI77" s="10">
        <f t="shared" si="501"/>
        <v>4.8506150602804742E-2</v>
      </c>
      <c r="FJ77" s="10">
        <f t="shared" si="502"/>
        <v>1.8527328440662962</v>
      </c>
      <c r="FK77" s="539">
        <f t="shared" si="503"/>
        <v>165.39346098979826</v>
      </c>
      <c r="FL77" s="19">
        <f t="shared" si="504"/>
        <v>4.4465588257591104</v>
      </c>
      <c r="FM77" s="10">
        <f t="shared" si="505"/>
        <v>4.9810225448180916E-2</v>
      </c>
      <c r="FN77" s="10">
        <f t="shared" si="506"/>
        <v>1.9025430695144772</v>
      </c>
      <c r="FO77" s="539">
        <f t="shared" si="507"/>
        <v>169.84001981555735</v>
      </c>
      <c r="FP77" s="19">
        <f t="shared" si="508"/>
        <v>4.5661033668347448</v>
      </c>
      <c r="FQ77" s="10">
        <f t="shared" si="509"/>
        <v>5.1149359995908424E-2</v>
      </c>
      <c r="FR77" s="10">
        <f t="shared" si="510"/>
        <v>1.9536924295103857</v>
      </c>
      <c r="FS77" s="539">
        <f t="shared" si="511"/>
        <v>174.40612318239212</v>
      </c>
      <c r="FT77" s="19">
        <f t="shared" si="512"/>
        <v>4.6888618308249255</v>
      </c>
      <c r="FU77" s="10">
        <f t="shared" si="513"/>
        <v>5.2524496816678902E-2</v>
      </c>
      <c r="FV77" s="10">
        <f t="shared" si="514"/>
        <v>2.0062169263270646</v>
      </c>
      <c r="FW77" s="539">
        <f t="shared" si="515"/>
        <v>179.09498501321704</v>
      </c>
      <c r="FX77" s="19">
        <f t="shared" si="516"/>
        <v>4.8149206231849551</v>
      </c>
      <c r="FY77" s="10">
        <f t="shared" si="517"/>
        <v>5.3936603821944158E-2</v>
      </c>
      <c r="FZ77" s="10">
        <f t="shared" si="518"/>
        <v>2.0601535301490088</v>
      </c>
      <c r="GA77" s="539">
        <f t="shared" si="519"/>
        <v>183.90990563640202</v>
      </c>
      <c r="GB77" s="19">
        <f t="shared" si="520"/>
        <v>4.9443684723576213</v>
      </c>
      <c r="GC77" s="10">
        <f t="shared" si="521"/>
        <v>5.5386674945195717E-2</v>
      </c>
      <c r="GD77" s="10">
        <f t="shared" si="522"/>
        <v>2.1155402050942045</v>
      </c>
      <c r="GE77" s="539">
        <f t="shared" si="523"/>
        <v>188.85427410875963</v>
      </c>
      <c r="GF77" s="19">
        <f t="shared" si="524"/>
        <v>5.0772964922260906</v>
      </c>
      <c r="GG77" s="10">
        <f t="shared" si="525"/>
        <v>5.6875730841560335E-2</v>
      </c>
      <c r="GH77" s="10">
        <f t="shared" si="526"/>
        <v>2.1724159359357649</v>
      </c>
      <c r="GI77" s="539">
        <f t="shared" si="527"/>
        <v>193.93157060098571</v>
      </c>
      <c r="GJ77" s="19">
        <f t="shared" si="528"/>
        <v>5.2137982462458359</v>
      </c>
      <c r="GK77" s="10">
        <f t="shared" si="529"/>
        <v>5.8404819606204056E-2</v>
      </c>
      <c r="GL77" s="10">
        <f t="shared" si="530"/>
        <v>2.230820755541969</v>
      </c>
      <c r="GM77" s="539">
        <f t="shared" si="531"/>
        <v>199.14536884723157</v>
      </c>
      <c r="GN77" s="19">
        <f t="shared" si="532"/>
        <v>5.3539698133007256</v>
      </c>
      <c r="GO77" s="10">
        <f t="shared" si="533"/>
        <v>5.9975017512050248E-2</v>
      </c>
      <c r="GP77" s="10">
        <f t="shared" si="534"/>
        <v>2.2907957730540192</v>
      </c>
      <c r="GQ77" s="539">
        <f t="shared" si="535"/>
        <v>204.49933866053229</v>
      </c>
      <c r="GR77" s="19">
        <f t="shared" si="536"/>
        <v>5.4979098553296462</v>
      </c>
      <c r="GS77" s="10">
        <f t="shared" si="537"/>
        <v>6.1587429767331087E-2</v>
      </c>
      <c r="GT77" s="10">
        <f t="shared" si="538"/>
        <v>2.3523832028213501</v>
      </c>
      <c r="GU77" s="539">
        <f t="shared" si="539"/>
        <v>209.99724851586191</v>
      </c>
      <c r="GV77" s="19">
        <f t="shared" si="540"/>
        <v>5.6457196867712396</v>
      </c>
      <c r="GW77" s="10">
        <f t="shared" si="541"/>
        <v>6.3243191293505543E-2</v>
      </c>
      <c r="GX77" s="10">
        <f t="shared" si="542"/>
        <v>2.4156263941148555</v>
      </c>
      <c r="GY77" s="539">
        <f t="shared" si="543"/>
        <v>215.64296820263314</v>
      </c>
      <c r="GZ77" s="19">
        <f t="shared" si="544"/>
        <v>5.7975033458756533</v>
      </c>
      <c r="HA77" s="10">
        <f t="shared" si="545"/>
        <v>6.4943467524091567E-2</v>
      </c>
      <c r="HB77" s="10">
        <f t="shared" si="546"/>
        <v>2.4805698616389469</v>
      </c>
      <c r="HC77" s="539">
        <f t="shared" si="547"/>
        <v>221.44047154850878</v>
      </c>
      <c r="HD77" s="19">
        <f t="shared" si="548"/>
        <v>5.9533676679334722</v>
      </c>
      <c r="HE77" s="10">
        <f t="shared" si="549"/>
        <v>6.6689455224974492E-2</v>
      </c>
      <c r="HF77" s="10">
        <f t="shared" si="550"/>
        <v>2.5472593168639213</v>
      </c>
      <c r="HG77" s="539">
        <f t="shared" si="551"/>
        <v>227.39383921644225</v>
      </c>
      <c r="HH77" s="19">
        <f t="shared" si="552"/>
        <v>6.113422360473411</v>
      </c>
      <c r="HI77" s="10">
        <f t="shared" si="553"/>
        <v>6.8482383336769481E-2</v>
      </c>
      <c r="HJ77" s="10">
        <f t="shared" si="554"/>
        <v>2.6157417002006906</v>
      </c>
      <c r="HK77" s="539">
        <f t="shared" si="555"/>
        <v>233.50726157691565</v>
      </c>
      <c r="HL77" s="19">
        <f t="shared" si="556"/>
        <v>6.2777800804816577</v>
      </c>
      <c r="HM77" s="10">
        <f t="shared" si="557"/>
        <v>7.0323513839830376E-2</v>
      </c>
      <c r="HN77" s="10">
        <f t="shared" si="558"/>
        <v>2.686065214040521</v>
      </c>
      <c r="HO77" s="539">
        <f t="shared" si="559"/>
        <v>239.7850416573973</v>
      </c>
      <c r="HP77" s="19">
        <f t="shared" si="560"/>
        <v>6.4465565136972502</v>
      </c>
      <c r="HQ77" s="10">
        <f t="shared" si="561"/>
        <v>7.2214142642514287E-2</v>
      </c>
      <c r="HR77" s="10">
        <f t="shared" si="562"/>
        <v>2.7582793566830355</v>
      </c>
      <c r="HS77" s="539">
        <f t="shared" si="563"/>
        <v>246.23159817109456</v>
      </c>
      <c r="HT77" s="19">
        <f t="shared" si="564"/>
        <v>6.6198704560392851</v>
      </c>
      <c r="HU77" s="10">
        <f t="shared" si="565"/>
        <v>7.4155600493326826E-2</v>
      </c>
      <c r="HV77" s="10">
        <f t="shared" si="566"/>
        <v>2.8324349571763623</v>
      </c>
      <c r="HW77" s="539">
        <f t="shared" si="567"/>
        <v>252.85146862713384</v>
      </c>
      <c r="HX77" s="19">
        <f t="shared" si="568"/>
        <v>6.7978438972232693</v>
      </c>
      <c r="HY77" s="10">
        <f t="shared" si="569"/>
        <v>7.6149253917590115E-2</v>
      </c>
      <c r="HZ77" s="10">
        <f t="shared" si="570"/>
        <v>2.9085842110939524</v>
      </c>
      <c r="IA77" s="539">
        <f t="shared" si="571"/>
        <v>259.64931252435713</v>
      </c>
      <c r="IB77" s="19">
        <f t="shared" si="572"/>
        <v>6.9806021066254855</v>
      </c>
      <c r="IP77" s="11">
        <v>36</v>
      </c>
      <c r="IQ77" s="19">
        <f t="shared" si="358"/>
        <v>140.72002209348878</v>
      </c>
      <c r="IR77" s="20">
        <f t="shared" si="620"/>
        <v>4.5521779304727481</v>
      </c>
    </row>
    <row r="78" spans="1:252">
      <c r="A78" s="11"/>
      <c r="C78" s="826" t="s">
        <v>2345</v>
      </c>
      <c r="D78" s="47" t="s">
        <v>693</v>
      </c>
      <c r="E78" s="396">
        <f t="shared" si="600"/>
        <v>24.4178</v>
      </c>
      <c r="F78" s="242">
        <v>11.4178</v>
      </c>
      <c r="G78" s="48">
        <f>'Update Stock Prices'!S78</f>
        <v>2261115954.6643414</v>
      </c>
      <c r="H78" s="991">
        <f t="shared" si="610"/>
        <v>5.0496304607673035E-9</v>
      </c>
      <c r="I78" s="49">
        <f>'Update Stock Prices'!D78</f>
        <v>22.94</v>
      </c>
      <c r="J78" s="49">
        <f t="shared" si="404"/>
        <v>261.92433199999999</v>
      </c>
      <c r="K78" s="30">
        <v>373.86</v>
      </c>
      <c r="L78" s="49">
        <f t="shared" si="611"/>
        <v>-111.93566800000002</v>
      </c>
      <c r="M78" s="50">
        <f t="shared" si="613"/>
        <v>-0.29940530679933669</v>
      </c>
      <c r="N78" s="49">
        <f t="shared" si="612"/>
        <v>32.743610853229171</v>
      </c>
      <c r="O78" s="48">
        <f t="shared" si="601"/>
        <v>13</v>
      </c>
      <c r="P78" s="49">
        <f t="shared" si="602"/>
        <v>22.789999999999964</v>
      </c>
      <c r="Q78" s="30">
        <f>0.125*4</f>
        <v>0.5</v>
      </c>
      <c r="R78" s="49">
        <f t="shared" ref="R78" si="649">S78/365.25</f>
        <v>1.5630116358658453E-2</v>
      </c>
      <c r="S78" s="49">
        <f t="shared" si="603"/>
        <v>5.7088999999999999</v>
      </c>
      <c r="T78" s="49">
        <f t="shared" ref="T78" si="650">S78/12</f>
        <v>0.47574166666666667</v>
      </c>
      <c r="U78" s="49" t="s">
        <v>54</v>
      </c>
      <c r="V78" s="50">
        <f t="shared" si="604"/>
        <v>2.1795989537925022E-2</v>
      </c>
      <c r="W78" s="50">
        <f t="shared" si="575"/>
        <v>1.5270154603327448E-2</v>
      </c>
      <c r="X78" s="49">
        <f>12*((E78*Q78)/12-T78)</f>
        <v>6.4999999999999982</v>
      </c>
      <c r="Y78" s="49">
        <f t="shared" si="32"/>
        <v>1.427225</v>
      </c>
      <c r="Z78" s="860">
        <f t="shared" si="605"/>
        <v>0</v>
      </c>
      <c r="AA78" s="860">
        <f t="shared" si="606"/>
        <v>172.10220000000001</v>
      </c>
      <c r="AB78" s="49">
        <f t="shared" si="607"/>
        <v>3948.0244680000005</v>
      </c>
      <c r="AC78" s="48">
        <v>1</v>
      </c>
      <c r="AD78" s="47" t="str">
        <f t="shared" si="608"/>
        <v>KMI</v>
      </c>
      <c r="AE78" s="49">
        <f t="shared" si="609"/>
        <v>261.92433199999999</v>
      </c>
      <c r="AF78" s="50" t="e">
        <f t="shared" si="405"/>
        <v>#REF!</v>
      </c>
      <c r="AG78" s="890" t="e">
        <f t="shared" si="599"/>
        <v>#REF!</v>
      </c>
      <c r="AH78" s="207" t="s">
        <v>692</v>
      </c>
      <c r="AI78" s="240">
        <f t="shared" si="406"/>
        <v>0.15573994689413342</v>
      </c>
      <c r="AJ78" s="11">
        <f t="shared" si="595"/>
        <v>3</v>
      </c>
      <c r="AK78" s="11"/>
      <c r="AL78" s="11"/>
      <c r="AM78" s="11"/>
      <c r="AN78" s="11"/>
      <c r="AO78" s="11"/>
      <c r="AP78" s="11"/>
      <c r="AQ78" s="11" t="str">
        <f>'Update Stock Prices'!Q78</f>
        <v>big</v>
      </c>
      <c r="AR78" s="11"/>
      <c r="AS78" s="11"/>
      <c r="AT78" s="16">
        <f t="shared" si="647"/>
        <v>0.45449414381304948</v>
      </c>
      <c r="AU78" s="226" t="s">
        <v>116</v>
      </c>
      <c r="AV78" s="19">
        <f>SUM(AE171:AE180)</f>
        <v>32499.639999999996</v>
      </c>
      <c r="AW78" s="15" t="e">
        <f t="shared" si="648"/>
        <v>#REF!</v>
      </c>
      <c r="AX78" s="19">
        <v>32499.639999999996</v>
      </c>
      <c r="AY78" s="15">
        <v>0.1158095141338558</v>
      </c>
      <c r="AZ78" s="19">
        <f>AV78-AX78</f>
        <v>0</v>
      </c>
      <c r="BA78" s="15">
        <f>(AV78-AX78)/AX78</f>
        <v>0</v>
      </c>
      <c r="BB78" s="516">
        <v>0</v>
      </c>
      <c r="BC78" s="234">
        <f>(1-BB78)*AV78</f>
        <v>32499.639999999996</v>
      </c>
      <c r="BD78" s="225">
        <f>Treasuries!I11</f>
        <v>219.63999999999578</v>
      </c>
      <c r="BE78" s="640">
        <f ca="1">SUM(Treasuries!I11,Treasuries!G19)</f>
        <v>7904.4616789999964</v>
      </c>
      <c r="BF78" s="176" t="s">
        <v>1867</v>
      </c>
      <c r="BH78" s="225">
        <f ca="1">BD78/BI78</f>
        <v>43.927999999999159</v>
      </c>
      <c r="BI78" s="1029">
        <f ca="1">YEAR(TODAY())-2012</f>
        <v>5</v>
      </c>
      <c r="BJ78" s="1452"/>
      <c r="BK78" s="19"/>
      <c r="BL78" s="1307"/>
      <c r="BM78" s="19"/>
      <c r="BN78" s="19"/>
      <c r="BO78" s="19"/>
      <c r="BP78" s="19"/>
      <c r="BS78" s="420" t="str">
        <f t="shared" si="407"/>
        <v>KMI</v>
      </c>
      <c r="BT78" s="425">
        <f t="shared" si="408"/>
        <v>11.4178</v>
      </c>
      <c r="BU78" s="19">
        <f t="shared" si="409"/>
        <v>22.94</v>
      </c>
      <c r="BV78" s="19">
        <f t="shared" si="410"/>
        <v>261.92433199999999</v>
      </c>
      <c r="BW78" s="539">
        <f t="shared" si="411"/>
        <v>0.5</v>
      </c>
      <c r="BX78" s="19">
        <f t="shared" si="412"/>
        <v>5.7088999999999999</v>
      </c>
      <c r="BY78" s="10">
        <f t="shared" si="413"/>
        <v>0.24886224934612031</v>
      </c>
      <c r="BZ78" s="10">
        <f t="shared" si="414"/>
        <v>11.666662249346119</v>
      </c>
      <c r="CA78" s="539">
        <f t="shared" si="415"/>
        <v>267.63323200000002</v>
      </c>
      <c r="CB78" s="19">
        <f t="shared" si="416"/>
        <v>5.8333311246730597</v>
      </c>
      <c r="CC78" s="10">
        <f t="shared" si="417"/>
        <v>0.25428644832925279</v>
      </c>
      <c r="CD78" s="10">
        <f t="shared" si="418"/>
        <v>11.920948697675373</v>
      </c>
      <c r="CE78" s="539">
        <f t="shared" si="419"/>
        <v>273.46656312467309</v>
      </c>
      <c r="CF78" s="19">
        <f t="shared" si="420"/>
        <v>5.9604743488376863</v>
      </c>
      <c r="CG78" s="10">
        <f t="shared" si="421"/>
        <v>0.2598288730966733</v>
      </c>
      <c r="CH78" s="10">
        <f t="shared" si="422"/>
        <v>12.180777570772046</v>
      </c>
      <c r="CI78" s="539">
        <f t="shared" si="423"/>
        <v>279.42703747351072</v>
      </c>
      <c r="CJ78" s="19">
        <f t="shared" si="424"/>
        <v>6.0903887853860228</v>
      </c>
      <c r="CK78" s="10">
        <f t="shared" si="425"/>
        <v>0.26549210049633926</v>
      </c>
      <c r="CL78" s="10">
        <f t="shared" si="426"/>
        <v>12.446269671268384</v>
      </c>
      <c r="CM78" s="539">
        <f t="shared" si="427"/>
        <v>285.51742625889676</v>
      </c>
      <c r="CN78" s="19">
        <f t="shared" si="428"/>
        <v>6.223134835634192</v>
      </c>
      <c r="CO78" s="10">
        <f t="shared" si="429"/>
        <v>0.27127876354115921</v>
      </c>
      <c r="CP78" s="10">
        <f t="shared" si="430"/>
        <v>12.717548434809544</v>
      </c>
      <c r="CQ78" s="539">
        <f t="shared" si="431"/>
        <v>291.74056109453096</v>
      </c>
      <c r="CR78" s="19">
        <f t="shared" si="432"/>
        <v>6.3587742174047719</v>
      </c>
      <c r="CS78" s="10">
        <f t="shared" si="433"/>
        <v>0.27719155263316353</v>
      </c>
      <c r="CT78" s="10">
        <f t="shared" si="434"/>
        <v>12.994739987442708</v>
      </c>
      <c r="CU78" s="539">
        <f t="shared" si="435"/>
        <v>298.09933531193576</v>
      </c>
      <c r="CV78" s="19">
        <f t="shared" si="436"/>
        <v>6.497369993721354</v>
      </c>
      <c r="CW78" s="10">
        <f t="shared" si="437"/>
        <v>0.2832332168143572</v>
      </c>
      <c r="CX78" s="10">
        <f t="shared" si="438"/>
        <v>13.277973204257066</v>
      </c>
      <c r="CY78" s="539">
        <f t="shared" si="439"/>
        <v>304.59670530565711</v>
      </c>
      <c r="CZ78" s="19">
        <f t="shared" si="440"/>
        <v>6.6389866021285329</v>
      </c>
      <c r="DA78" s="10">
        <f t="shared" si="441"/>
        <v>0.28940656504483575</v>
      </c>
      <c r="DB78" s="10">
        <f t="shared" si="442"/>
        <v>13.567379769301901</v>
      </c>
      <c r="DC78" s="539">
        <f t="shared" si="443"/>
        <v>311.23569190778562</v>
      </c>
      <c r="DD78" s="19">
        <f t="shared" si="444"/>
        <v>6.7836898846509506</v>
      </c>
      <c r="DE78" s="10">
        <f t="shared" si="445"/>
        <v>0.29571446750875979</v>
      </c>
      <c r="DF78" s="10">
        <f t="shared" si="446"/>
        <v>13.86309423681066</v>
      </c>
      <c r="DG78" s="539">
        <f t="shared" si="447"/>
        <v>318.01938179243655</v>
      </c>
      <c r="DH78" s="19">
        <f t="shared" si="448"/>
        <v>6.9315471184053301</v>
      </c>
      <c r="DI78" s="10">
        <f t="shared" si="449"/>
        <v>0.30215985694879377</v>
      </c>
      <c r="DJ78" s="10">
        <f t="shared" si="450"/>
        <v>14.165254093759454</v>
      </c>
      <c r="DK78" s="539">
        <f t="shared" si="451"/>
        <v>324.95092891084192</v>
      </c>
      <c r="DL78" s="19">
        <f t="shared" si="452"/>
        <v>7.0826270468797272</v>
      </c>
      <c r="DM78" s="10">
        <f t="shared" si="453"/>
        <v>0.30874573002963063</v>
      </c>
      <c r="DN78" s="10">
        <f t="shared" si="454"/>
        <v>14.473999823789086</v>
      </c>
      <c r="DO78" s="539">
        <f t="shared" si="455"/>
        <v>332.03355595772166</v>
      </c>
      <c r="DP78" s="19">
        <f t="shared" si="456"/>
        <v>7.2369999118945429</v>
      </c>
      <c r="DQ78" s="10">
        <f t="shared" si="457"/>
        <v>0.3154751487312355</v>
      </c>
      <c r="DR78" s="10">
        <f t="shared" si="458"/>
        <v>14.789474972520321</v>
      </c>
      <c r="DS78" s="539">
        <f t="shared" si="459"/>
        <v>339.27055586961615</v>
      </c>
      <c r="DT78" s="19">
        <f t="shared" si="460"/>
        <v>7.3947374862601603</v>
      </c>
      <c r="DU78" s="10">
        <f t="shared" si="461"/>
        <v>0.32235124177245683</v>
      </c>
      <c r="DV78" s="10">
        <f t="shared" si="462"/>
        <v>15.111826214292778</v>
      </c>
      <c r="DW78" s="539">
        <f t="shared" si="463"/>
        <v>346.66529335587637</v>
      </c>
      <c r="DX78" s="19">
        <f t="shared" si="464"/>
        <v>7.555913107146389</v>
      </c>
      <c r="DY78" s="10">
        <f t="shared" si="465"/>
        <v>0.32937720606566645</v>
      </c>
      <c r="DZ78" s="10">
        <f t="shared" si="466"/>
        <v>15.441203420358445</v>
      </c>
      <c r="EA78" s="539">
        <f t="shared" si="467"/>
        <v>354.22120646302272</v>
      </c>
      <c r="EB78" s="19">
        <f t="shared" si="468"/>
        <v>7.7206017101792224</v>
      </c>
      <c r="EC78" s="10">
        <f t="shared" si="469"/>
        <v>0.33655630820310473</v>
      </c>
      <c r="ED78" s="10">
        <f t="shared" si="470"/>
        <v>15.77775972856155</v>
      </c>
      <c r="EE78" s="539">
        <f t="shared" si="471"/>
        <v>361.94180817320199</v>
      </c>
      <c r="EF78" s="19">
        <f t="shared" si="472"/>
        <v>7.8888798642807751</v>
      </c>
      <c r="EG78" s="10">
        <f t="shared" si="473"/>
        <v>0.34389188597562226</v>
      </c>
      <c r="EH78" s="10">
        <f t="shared" si="474"/>
        <v>16.121651614537171</v>
      </c>
      <c r="EI78" s="539">
        <f t="shared" si="475"/>
        <v>369.83068803748273</v>
      </c>
      <c r="EJ78" s="19">
        <f t="shared" si="476"/>
        <v>8.0608258072685857</v>
      </c>
      <c r="EK78" s="10">
        <f t="shared" si="477"/>
        <v>0.35138734992452419</v>
      </c>
      <c r="EL78" s="10">
        <f t="shared" si="478"/>
        <v>16.473038964461697</v>
      </c>
      <c r="EM78" s="539">
        <f t="shared" si="479"/>
        <v>377.89151384475133</v>
      </c>
      <c r="EN78" s="19">
        <f t="shared" si="480"/>
        <v>8.2365194822308485</v>
      </c>
      <c r="EO78" s="10">
        <f t="shared" si="481"/>
        <v>0.35904618492723839</v>
      </c>
      <c r="EP78" s="10">
        <f t="shared" si="482"/>
        <v>16.832085149388934</v>
      </c>
      <c r="EQ78" s="539">
        <f t="shared" si="483"/>
        <v>386.12803332698218</v>
      </c>
      <c r="ER78" s="19">
        <f t="shared" si="484"/>
        <v>8.4160425746944671</v>
      </c>
      <c r="ES78" s="10">
        <f t="shared" si="485"/>
        <v>0.36687195181754434</v>
      </c>
      <c r="ET78" s="10">
        <f t="shared" si="486"/>
        <v>17.198957101206478</v>
      </c>
      <c r="EU78" s="539">
        <f t="shared" si="487"/>
        <v>394.54407590167665</v>
      </c>
      <c r="EV78" s="19">
        <f t="shared" si="488"/>
        <v>8.599478550603239</v>
      </c>
      <c r="EW78" s="10">
        <f t="shared" si="489"/>
        <v>0.37486828904111763</v>
      </c>
      <c r="EX78" s="10">
        <f t="shared" si="490"/>
        <v>17.573825390247595</v>
      </c>
      <c r="EY78" s="539">
        <f t="shared" si="491"/>
        <v>403.14355445227989</v>
      </c>
      <c r="EZ78" s="19">
        <f t="shared" si="492"/>
        <v>8.7869126951237977</v>
      </c>
      <c r="FA78" s="10">
        <f t="shared" si="493"/>
        <v>0.3830389143471577</v>
      </c>
      <c r="FB78" s="10">
        <f t="shared" si="494"/>
        <v>17.956864304594752</v>
      </c>
      <c r="FC78" s="539">
        <f t="shared" si="495"/>
        <v>411.93046714740365</v>
      </c>
      <c r="FD78" s="19">
        <f t="shared" si="496"/>
        <v>8.9784321522973762</v>
      </c>
      <c r="FE78" s="10">
        <f t="shared" si="497"/>
        <v>0.39138762651688647</v>
      </c>
      <c r="FF78" s="10">
        <f t="shared" si="498"/>
        <v>18.348251931111641</v>
      </c>
      <c r="FG78" s="539">
        <f t="shared" si="499"/>
        <v>420.90889929970103</v>
      </c>
      <c r="FH78" s="19">
        <f t="shared" si="500"/>
        <v>9.1741259655558203</v>
      </c>
      <c r="FI78" s="10">
        <f t="shared" si="501"/>
        <v>0.39991830712972187</v>
      </c>
      <c r="FJ78" s="10">
        <f t="shared" si="502"/>
        <v>18.748170238241361</v>
      </c>
      <c r="FK78" s="539">
        <f t="shared" si="503"/>
        <v>430.08302526525682</v>
      </c>
      <c r="FL78" s="19">
        <f t="shared" si="504"/>
        <v>9.3740851191206804</v>
      </c>
      <c r="FM78" s="10">
        <f t="shared" si="505"/>
        <v>0.40863492236794596</v>
      </c>
      <c r="FN78" s="10">
        <f t="shared" si="506"/>
        <v>19.156805160609306</v>
      </c>
      <c r="FO78" s="539">
        <f t="shared" si="507"/>
        <v>439.45711038437747</v>
      </c>
      <c r="FP78" s="19">
        <f t="shared" si="508"/>
        <v>9.5784025803046529</v>
      </c>
      <c r="FQ78" s="10">
        <f t="shared" si="509"/>
        <v>0.41754152486070845</v>
      </c>
      <c r="FR78" s="10">
        <f t="shared" si="510"/>
        <v>19.574346685470015</v>
      </c>
      <c r="FS78" s="539">
        <f t="shared" si="511"/>
        <v>449.0355129646822</v>
      </c>
      <c r="FT78" s="19">
        <f t="shared" si="512"/>
        <v>9.7871733427350076</v>
      </c>
      <c r="FU78" s="10">
        <f t="shared" si="513"/>
        <v>0.42664225556822177</v>
      </c>
      <c r="FV78" s="10">
        <f t="shared" si="514"/>
        <v>20.000988941038237</v>
      </c>
      <c r="FW78" s="539">
        <f t="shared" si="515"/>
        <v>458.8226863074172</v>
      </c>
      <c r="FX78" s="19">
        <f t="shared" si="516"/>
        <v>10.000494470519119</v>
      </c>
      <c r="FY78" s="10">
        <f t="shared" si="517"/>
        <v>0.43594134570702348</v>
      </c>
      <c r="FZ78" s="10">
        <f t="shared" si="518"/>
        <v>20.436930286745259</v>
      </c>
      <c r="GA78" s="539">
        <f t="shared" si="519"/>
        <v>468.82318077793627</v>
      </c>
      <c r="GB78" s="19">
        <f t="shared" si="520"/>
        <v>10.218465143372629</v>
      </c>
      <c r="GC78" s="10">
        <f t="shared" si="521"/>
        <v>0.44544311871720266</v>
      </c>
      <c r="GD78" s="10">
        <f t="shared" si="522"/>
        <v>20.882373405462463</v>
      </c>
      <c r="GE78" s="539">
        <f t="shared" si="523"/>
        <v>479.04164592130894</v>
      </c>
      <c r="GF78" s="19">
        <f t="shared" si="524"/>
        <v>10.441186702731232</v>
      </c>
      <c r="GG78" s="10">
        <f t="shared" si="525"/>
        <v>0.45515199227250352</v>
      </c>
      <c r="GH78" s="10">
        <f t="shared" si="526"/>
        <v>21.337525397734968</v>
      </c>
      <c r="GI78" s="539">
        <f t="shared" si="527"/>
        <v>489.48283262404021</v>
      </c>
      <c r="GJ78" s="19">
        <f t="shared" si="528"/>
        <v>10.668762698867484</v>
      </c>
      <c r="GK78" s="10">
        <f t="shared" si="529"/>
        <v>0.46507248033424076</v>
      </c>
      <c r="GL78" s="10">
        <f t="shared" si="530"/>
        <v>21.802597878069207</v>
      </c>
      <c r="GM78" s="539">
        <f t="shared" si="531"/>
        <v>500.15159532290767</v>
      </c>
      <c r="GN78" s="19">
        <f t="shared" si="532"/>
        <v>10.901298939034604</v>
      </c>
      <c r="GO78" s="10">
        <f t="shared" si="533"/>
        <v>0.47520919524998267</v>
      </c>
      <c r="GP78" s="10">
        <f t="shared" si="534"/>
        <v>22.277807073319188</v>
      </c>
      <c r="GQ78" s="539">
        <f t="shared" si="535"/>
        <v>511.05289426194219</v>
      </c>
      <c r="GR78" s="19">
        <f t="shared" si="536"/>
        <v>11.138903536659594</v>
      </c>
      <c r="GS78" s="10">
        <f t="shared" si="537"/>
        <v>0.48556684989797705</v>
      </c>
      <c r="GT78" s="10">
        <f t="shared" si="538"/>
        <v>22.763373923217166</v>
      </c>
      <c r="GU78" s="539">
        <f t="shared" si="539"/>
        <v>522.19179779860178</v>
      </c>
      <c r="GV78" s="19">
        <f t="shared" si="540"/>
        <v>11.381686961608583</v>
      </c>
      <c r="GW78" s="10">
        <f t="shared" si="541"/>
        <v>0.49615025987831657</v>
      </c>
      <c r="GX78" s="10">
        <f t="shared" si="542"/>
        <v>23.259524183095483</v>
      </c>
      <c r="GY78" s="539">
        <f t="shared" si="543"/>
        <v>533.57348476021036</v>
      </c>
      <c r="GZ78" s="19">
        <f t="shared" si="544"/>
        <v>11.629762091547741</v>
      </c>
      <c r="HA78" s="10">
        <f t="shared" si="545"/>
        <v>0.50696434575186311</v>
      </c>
      <c r="HB78" s="10">
        <f t="shared" si="546"/>
        <v>23.766488528847347</v>
      </c>
      <c r="HC78" s="539">
        <f t="shared" si="547"/>
        <v>545.20324685175819</v>
      </c>
      <c r="HD78" s="19">
        <f t="shared" si="548"/>
        <v>11.883244264423674</v>
      </c>
      <c r="HE78" s="10">
        <f t="shared" si="549"/>
        <v>0.5180141353279718</v>
      </c>
      <c r="HF78" s="10">
        <f t="shared" si="550"/>
        <v>24.284502664175317</v>
      </c>
      <c r="HG78" s="539">
        <f t="shared" si="551"/>
        <v>557.08649111618183</v>
      </c>
      <c r="HH78" s="19">
        <f t="shared" si="552"/>
        <v>12.142251332087659</v>
      </c>
      <c r="HI78" s="10">
        <f t="shared" si="553"/>
        <v>0.52930476600207754</v>
      </c>
      <c r="HJ78" s="10">
        <f t="shared" si="554"/>
        <v>24.813807430177395</v>
      </c>
      <c r="HK78" s="539">
        <f t="shared" si="555"/>
        <v>569.22874244826949</v>
      </c>
      <c r="HL78" s="19">
        <f t="shared" si="556"/>
        <v>12.406903715088697</v>
      </c>
      <c r="HM78" s="10">
        <f t="shared" si="557"/>
        <v>0.54084148714423264</v>
      </c>
      <c r="HN78" s="10">
        <f t="shared" si="558"/>
        <v>25.354648917321626</v>
      </c>
      <c r="HO78" s="539">
        <f t="shared" si="559"/>
        <v>581.63564616335816</v>
      </c>
      <c r="HP78" s="19">
        <f t="shared" si="560"/>
        <v>12.677324458660813</v>
      </c>
      <c r="HQ78" s="10">
        <f t="shared" si="561"/>
        <v>0.55262966253970414</v>
      </c>
      <c r="HR78" s="10">
        <f t="shared" si="562"/>
        <v>25.90727857986133</v>
      </c>
      <c r="HS78" s="539">
        <f t="shared" si="563"/>
        <v>594.31297062201895</v>
      </c>
      <c r="HT78" s="19">
        <f t="shared" si="564"/>
        <v>12.953639289930665</v>
      </c>
      <c r="HU78" s="10">
        <f t="shared" si="565"/>
        <v>0.56467477288276657</v>
      </c>
      <c r="HV78" s="10">
        <f t="shared" si="566"/>
        <v>26.471953352744098</v>
      </c>
      <c r="HW78" s="539">
        <f t="shared" si="567"/>
        <v>607.26660991194967</v>
      </c>
      <c r="HX78" s="19">
        <f t="shared" si="568"/>
        <v>13.235976676372049</v>
      </c>
      <c r="HY78" s="10">
        <f t="shared" si="569"/>
        <v>0.57698241832484953</v>
      </c>
      <c r="HZ78" s="10">
        <f t="shared" si="570"/>
        <v>27.048935771068948</v>
      </c>
      <c r="IA78" s="539">
        <f t="shared" si="571"/>
        <v>620.50258658832172</v>
      </c>
      <c r="IB78" s="19">
        <f t="shared" si="572"/>
        <v>13.524467885534474</v>
      </c>
      <c r="IP78" s="11">
        <v>37</v>
      </c>
      <c r="IQ78" s="19">
        <f t="shared" si="358"/>
        <v>151.9776238609679</v>
      </c>
      <c r="IR78" s="20">
        <f t="shared" si="620"/>
        <v>4.4694110590096079</v>
      </c>
    </row>
    <row r="79" spans="1:252">
      <c r="A79" s="11"/>
      <c r="C79" s="826" t="s">
        <v>2342</v>
      </c>
      <c r="D79" s="47" t="s">
        <v>333</v>
      </c>
      <c r="E79" s="396">
        <f t="shared" si="600"/>
        <v>36.328000000000003</v>
      </c>
      <c r="F79" s="242">
        <v>10.327999999999999</v>
      </c>
      <c r="G79" s="48">
        <f>'Update Stock Prices'!S79</f>
        <v>10016366.612111293</v>
      </c>
      <c r="H79" s="991">
        <f t="shared" si="610"/>
        <v>1.0311124183006536E-6</v>
      </c>
      <c r="I79" s="49">
        <f>'Update Stock Prices'!D79</f>
        <v>12.22</v>
      </c>
      <c r="J79" s="49">
        <f t="shared" si="404"/>
        <v>126.20815999999999</v>
      </c>
      <c r="K79" s="30">
        <v>154.18</v>
      </c>
      <c r="L79" s="49">
        <f t="shared" si="611"/>
        <v>-27.971840000000014</v>
      </c>
      <c r="M79" s="50">
        <f t="shared" si="613"/>
        <v>-0.18142327150084325</v>
      </c>
      <c r="N79" s="49">
        <f t="shared" si="612"/>
        <v>14.928350116189002</v>
      </c>
      <c r="O79" s="48">
        <f t="shared" si="601"/>
        <v>26</v>
      </c>
      <c r="P79" s="49">
        <f>IF(($B$11-$B$12)-(O79*I79)&lt;0,0,($B$11-$B$12)-(O79*I79))</f>
        <v>3.2899999999999636</v>
      </c>
      <c r="Q79" s="30">
        <f>0.043*12</f>
        <v>0.51600000000000001</v>
      </c>
      <c r="R79" s="49">
        <f t="shared" si="242"/>
        <v>1.4590685831622176E-2</v>
      </c>
      <c r="S79" s="49">
        <f t="shared" si="603"/>
        <v>5.3292479999999998</v>
      </c>
      <c r="T79" s="49">
        <f t="shared" si="399"/>
        <v>0.444104</v>
      </c>
      <c r="U79" s="49" t="s">
        <v>56</v>
      </c>
      <c r="V79" s="50">
        <f t="shared" si="604"/>
        <v>4.2225859247135844E-2</v>
      </c>
      <c r="W79" s="50">
        <f t="shared" si="575"/>
        <v>3.4565105720586325E-2</v>
      </c>
      <c r="X79" s="49">
        <f>12*((E79*Q79)/12-T79)</f>
        <v>13.416000000000004</v>
      </c>
      <c r="Y79" s="49">
        <f t="shared" si="32"/>
        <v>0.444104</v>
      </c>
      <c r="Z79" s="860">
        <f t="shared" si="605"/>
        <v>0</v>
      </c>
      <c r="AA79" s="860">
        <f t="shared" si="606"/>
        <v>273.85804651162795</v>
      </c>
      <c r="AB79" s="49">
        <f t="shared" si="607"/>
        <v>3346.5453283720935</v>
      </c>
      <c r="AC79" s="48">
        <v>1</v>
      </c>
      <c r="AD79" s="47" t="str">
        <f t="shared" si="608"/>
        <v>LAND</v>
      </c>
      <c r="AE79" s="49">
        <f t="shared" si="609"/>
        <v>126.20815999999999</v>
      </c>
      <c r="AF79" s="50" t="e">
        <f t="shared" si="405"/>
        <v>#REF!</v>
      </c>
      <c r="AG79" s="890" t="e">
        <f t="shared" si="599"/>
        <v>#REF!</v>
      </c>
      <c r="AH79" s="207" t="s">
        <v>334</v>
      </c>
      <c r="AI79" s="240">
        <f t="shared" si="406"/>
        <v>3.6159565447462891E-2</v>
      </c>
      <c r="AJ79" s="11">
        <f t="shared" si="595"/>
        <v>4</v>
      </c>
      <c r="AK79" s="11"/>
      <c r="AL79" s="11"/>
      <c r="AM79" s="11"/>
      <c r="AN79" s="11"/>
      <c r="AO79" s="11"/>
      <c r="AP79" s="11"/>
      <c r="AQ79" s="11" t="str">
        <f>'Update Stock Prices'!Q79</f>
        <v>micro</v>
      </c>
      <c r="AR79" s="11"/>
      <c r="AS79" s="11"/>
      <c r="AT79" s="16">
        <f t="shared" si="647"/>
        <v>3.5311090003703118E-2</v>
      </c>
      <c r="AU79" s="226" t="s">
        <v>1155</v>
      </c>
      <c r="AV79" s="19">
        <f>SUM(AE160:AE166)</f>
        <v>2525</v>
      </c>
      <c r="AW79" s="15" t="e">
        <f t="shared" si="648"/>
        <v>#REF!</v>
      </c>
      <c r="AX79" s="19">
        <v>2525</v>
      </c>
      <c r="AY79" s="15">
        <v>8.9976080715966685E-3</v>
      </c>
      <c r="AZ79" s="19">
        <f t="shared" ref="AZ79:AZ85" si="651">AV79-AX79</f>
        <v>0</v>
      </c>
      <c r="BA79" s="15">
        <f t="shared" ref="BA79:BA85" si="652">(AV79-AX79)/AX79</f>
        <v>0</v>
      </c>
      <c r="BB79" s="516">
        <v>0.2</v>
      </c>
      <c r="BC79" s="234">
        <f t="shared" ref="BC79:BC82" si="653">(1-BB79)*AV79</f>
        <v>2020</v>
      </c>
      <c r="BD79" s="225">
        <f>'P2P Notes'!C28</f>
        <v>186.67</v>
      </c>
      <c r="BE79" s="640"/>
      <c r="BF79" s="176"/>
      <c r="BH79" s="225">
        <f ca="1">BD79/BI79</f>
        <v>62.223333333333329</v>
      </c>
      <c r="BI79" s="1029">
        <f ca="1">YEAR(TODAY())-2014</f>
        <v>3</v>
      </c>
      <c r="BJ79" s="1452"/>
      <c r="BK79" s="19"/>
      <c r="BL79" s="1307"/>
      <c r="BM79" s="19"/>
      <c r="BN79" s="19"/>
      <c r="BO79" s="19"/>
      <c r="BP79" s="19"/>
      <c r="BS79" s="420" t="str">
        <f t="shared" si="407"/>
        <v>LAND</v>
      </c>
      <c r="BT79" s="425">
        <f t="shared" si="408"/>
        <v>10.327999999999999</v>
      </c>
      <c r="BU79" s="19">
        <f t="shared" si="409"/>
        <v>12.22</v>
      </c>
      <c r="BV79" s="19">
        <f t="shared" si="410"/>
        <v>126.20815999999999</v>
      </c>
      <c r="BW79" s="539">
        <f t="shared" si="411"/>
        <v>0.51600000000000001</v>
      </c>
      <c r="BX79" s="19">
        <f t="shared" si="412"/>
        <v>5.3292479999999998</v>
      </c>
      <c r="BY79" s="10">
        <f t="shared" si="413"/>
        <v>0.43610867430441896</v>
      </c>
      <c r="BZ79" s="10">
        <f t="shared" si="414"/>
        <v>10.764108674304419</v>
      </c>
      <c r="CA79" s="539">
        <f t="shared" si="415"/>
        <v>131.537408</v>
      </c>
      <c r="CB79" s="19">
        <f t="shared" si="416"/>
        <v>5.5542800759410804</v>
      </c>
      <c r="CC79" s="10">
        <f t="shared" si="417"/>
        <v>0.45452373780205241</v>
      </c>
      <c r="CD79" s="10">
        <f t="shared" si="418"/>
        <v>11.218632412106471</v>
      </c>
      <c r="CE79" s="539">
        <f t="shared" si="419"/>
        <v>137.09168807594108</v>
      </c>
      <c r="CF79" s="19">
        <f t="shared" si="420"/>
        <v>5.788814324646939</v>
      </c>
      <c r="CG79" s="10">
        <f t="shared" si="421"/>
        <v>0.47371639317896391</v>
      </c>
      <c r="CH79" s="10">
        <f t="shared" si="422"/>
        <v>11.692348805285436</v>
      </c>
      <c r="CI79" s="539">
        <f t="shared" si="423"/>
        <v>142.88050240058803</v>
      </c>
      <c r="CJ79" s="19">
        <f t="shared" si="424"/>
        <v>6.0332519835272853</v>
      </c>
      <c r="CK79" s="10">
        <f t="shared" si="425"/>
        <v>0.49371947492039975</v>
      </c>
      <c r="CL79" s="10">
        <f t="shared" si="426"/>
        <v>12.186068280205836</v>
      </c>
      <c r="CM79" s="539">
        <f t="shared" si="427"/>
        <v>148.91375438411532</v>
      </c>
      <c r="CN79" s="19">
        <f t="shared" si="428"/>
        <v>6.2880112325862116</v>
      </c>
      <c r="CO79" s="10">
        <f t="shared" si="429"/>
        <v>0.51456720397595834</v>
      </c>
      <c r="CP79" s="10">
        <f t="shared" si="430"/>
        <v>12.700635484181795</v>
      </c>
      <c r="CQ79" s="539">
        <f t="shared" si="431"/>
        <v>155.20176561670155</v>
      </c>
      <c r="CR79" s="19">
        <f t="shared" si="432"/>
        <v>6.5535279098378068</v>
      </c>
      <c r="CS79" s="10">
        <f t="shared" si="433"/>
        <v>0.53629524630423953</v>
      </c>
      <c r="CT79" s="10">
        <f t="shared" si="434"/>
        <v>13.236930730486035</v>
      </c>
      <c r="CU79" s="539">
        <f t="shared" si="435"/>
        <v>161.75529352653936</v>
      </c>
      <c r="CV79" s="19">
        <f t="shared" si="436"/>
        <v>6.8302562569307943</v>
      </c>
      <c r="CW79" s="10">
        <f t="shared" si="437"/>
        <v>0.55894077388959029</v>
      </c>
      <c r="CX79" s="10">
        <f t="shared" si="438"/>
        <v>13.795871504375626</v>
      </c>
      <c r="CY79" s="539">
        <f t="shared" si="439"/>
        <v>168.58554978347016</v>
      </c>
      <c r="CZ79" s="19">
        <f t="shared" si="440"/>
        <v>7.1186696962578226</v>
      </c>
      <c r="DA79" s="10">
        <f t="shared" si="441"/>
        <v>0.58254252833533737</v>
      </c>
      <c r="DB79" s="10">
        <f t="shared" si="442"/>
        <v>14.378414032710964</v>
      </c>
      <c r="DC79" s="539">
        <f t="shared" si="443"/>
        <v>175.70421947972798</v>
      </c>
      <c r="DD79" s="19">
        <f t="shared" si="444"/>
        <v>7.4192616408788572</v>
      </c>
      <c r="DE79" s="10">
        <f t="shared" si="445"/>
        <v>0.60714088714229597</v>
      </c>
      <c r="DF79" s="10">
        <f t="shared" si="446"/>
        <v>14.985554919853261</v>
      </c>
      <c r="DG79" s="539">
        <f t="shared" si="447"/>
        <v>183.12348112060687</v>
      </c>
      <c r="DH79" s="19">
        <f t="shared" si="448"/>
        <v>7.7325463386442825</v>
      </c>
      <c r="DI79" s="10">
        <f t="shared" si="449"/>
        <v>0.63277793278594785</v>
      </c>
      <c r="DJ79" s="10">
        <f t="shared" si="450"/>
        <v>15.618332852639208</v>
      </c>
      <c r="DK79" s="539">
        <f t="shared" si="451"/>
        <v>190.85602745925112</v>
      </c>
      <c r="DL79" s="19">
        <f t="shared" si="452"/>
        <v>8.059059751961831</v>
      </c>
      <c r="DM79" s="10">
        <f t="shared" si="453"/>
        <v>0.65949752471046075</v>
      </c>
      <c r="DN79" s="10">
        <f t="shared" si="454"/>
        <v>16.27783037734967</v>
      </c>
      <c r="DO79" s="539">
        <f t="shared" si="455"/>
        <v>198.91508721121298</v>
      </c>
      <c r="DP79" s="19">
        <f t="shared" si="456"/>
        <v>8.3993604747124291</v>
      </c>
      <c r="DQ79" s="10">
        <f t="shared" si="457"/>
        <v>0.68734537436271925</v>
      </c>
      <c r="DR79" s="10">
        <f t="shared" si="458"/>
        <v>16.96517575171239</v>
      </c>
      <c r="DS79" s="539">
        <f t="shared" si="459"/>
        <v>207.31444768592542</v>
      </c>
      <c r="DT79" s="19">
        <f t="shared" si="460"/>
        <v>8.7540306878835938</v>
      </c>
      <c r="DU79" s="10">
        <f t="shared" si="461"/>
        <v>0.71636912339472936</v>
      </c>
      <c r="DV79" s="10">
        <f t="shared" si="462"/>
        <v>17.681544875107122</v>
      </c>
      <c r="DW79" s="539">
        <f t="shared" si="463"/>
        <v>216.06847837380903</v>
      </c>
      <c r="DX79" s="19">
        <f t="shared" si="464"/>
        <v>9.1236771555552743</v>
      </c>
      <c r="DY79" s="10">
        <f t="shared" si="465"/>
        <v>0.74661842516818933</v>
      </c>
      <c r="DZ79" s="10">
        <f t="shared" si="466"/>
        <v>18.428163300275312</v>
      </c>
      <c r="EA79" s="539">
        <f t="shared" si="467"/>
        <v>225.19215552936433</v>
      </c>
      <c r="EB79" s="19">
        <f t="shared" si="468"/>
        <v>9.5089322629420607</v>
      </c>
      <c r="EC79" s="10">
        <f t="shared" si="469"/>
        <v>0.77814502970065957</v>
      </c>
      <c r="ED79" s="10">
        <f t="shared" si="470"/>
        <v>19.206308329975972</v>
      </c>
      <c r="EE79" s="539">
        <f t="shared" si="471"/>
        <v>234.7010877923064</v>
      </c>
      <c r="EF79" s="19">
        <f t="shared" si="472"/>
        <v>9.910455098267601</v>
      </c>
      <c r="EG79" s="10">
        <f t="shared" si="473"/>
        <v>0.81100287219865796</v>
      </c>
      <c r="EH79" s="10">
        <f t="shared" si="474"/>
        <v>20.017311202174628</v>
      </c>
      <c r="EI79" s="539">
        <f t="shared" si="475"/>
        <v>244.61154289057399</v>
      </c>
      <c r="EJ79" s="19">
        <f t="shared" si="476"/>
        <v>10.328932580322109</v>
      </c>
      <c r="EK79" s="10">
        <f t="shared" si="477"/>
        <v>0.84524816532914138</v>
      </c>
      <c r="EL79" s="10">
        <f t="shared" si="478"/>
        <v>20.862559367503771</v>
      </c>
      <c r="EM79" s="539">
        <f t="shared" si="479"/>
        <v>254.9404754708961</v>
      </c>
      <c r="EN79" s="19">
        <f t="shared" si="480"/>
        <v>10.765080633631946</v>
      </c>
      <c r="EO79" s="10">
        <f t="shared" si="481"/>
        <v>0.8809394953872296</v>
      </c>
      <c r="EP79" s="10">
        <f t="shared" si="482"/>
        <v>21.743498862891002</v>
      </c>
      <c r="EQ79" s="539">
        <f t="shared" si="483"/>
        <v>265.70555610452806</v>
      </c>
      <c r="ER79" s="19">
        <f t="shared" si="484"/>
        <v>11.219645413251758</v>
      </c>
      <c r="ES79" s="10">
        <f t="shared" si="485"/>
        <v>0.91813792252469373</v>
      </c>
      <c r="ET79" s="10">
        <f t="shared" si="486"/>
        <v>22.661636785415695</v>
      </c>
      <c r="EU79" s="539">
        <f t="shared" si="487"/>
        <v>276.92520151777978</v>
      </c>
      <c r="EV79" s="19">
        <f t="shared" si="488"/>
        <v>11.693404581274498</v>
      </c>
      <c r="EW79" s="10">
        <f t="shared" si="489"/>
        <v>0.95690708521067902</v>
      </c>
      <c r="EX79" s="10">
        <f t="shared" si="490"/>
        <v>23.618543870626375</v>
      </c>
      <c r="EY79" s="539">
        <f t="shared" si="491"/>
        <v>288.61860609905432</v>
      </c>
      <c r="EZ79" s="19">
        <f t="shared" si="492"/>
        <v>12.187168637243211</v>
      </c>
      <c r="FA79" s="10">
        <f t="shared" si="493"/>
        <v>0.99731330910337235</v>
      </c>
      <c r="FB79" s="10">
        <f t="shared" si="494"/>
        <v>24.615857179729748</v>
      </c>
      <c r="FC79" s="539">
        <f t="shared" si="495"/>
        <v>300.80577473629751</v>
      </c>
      <c r="FD79" s="19">
        <f t="shared" si="496"/>
        <v>12.701782304740551</v>
      </c>
      <c r="FE79" s="10">
        <f t="shared" si="497"/>
        <v>1.0394257205188666</v>
      </c>
      <c r="FF79" s="10">
        <f t="shared" si="498"/>
        <v>25.655282900248615</v>
      </c>
      <c r="FG79" s="539">
        <f t="shared" si="499"/>
        <v>313.50755704103807</v>
      </c>
      <c r="FH79" s="19">
        <f t="shared" si="500"/>
        <v>13.238125976528286</v>
      </c>
      <c r="FI79" s="10">
        <f t="shared" si="501"/>
        <v>1.0833163646913491</v>
      </c>
      <c r="FJ79" s="10">
        <f t="shared" si="502"/>
        <v>26.738599264939964</v>
      </c>
      <c r="FK79" s="539">
        <f t="shared" si="503"/>
        <v>326.74568301756636</v>
      </c>
      <c r="FL79" s="19">
        <f t="shared" si="504"/>
        <v>13.797117220709021</v>
      </c>
      <c r="FM79" s="10">
        <f t="shared" si="505"/>
        <v>1.1290603290269248</v>
      </c>
      <c r="FN79" s="10">
        <f t="shared" si="506"/>
        <v>27.867659593966888</v>
      </c>
      <c r="FO79" s="539">
        <f t="shared" si="507"/>
        <v>340.54280023827539</v>
      </c>
      <c r="FP79" s="19">
        <f t="shared" si="508"/>
        <v>14.379712350486914</v>
      </c>
      <c r="FQ79" s="10">
        <f t="shared" si="509"/>
        <v>1.1767358715619405</v>
      </c>
      <c r="FR79" s="10">
        <f t="shared" si="510"/>
        <v>29.044395465528829</v>
      </c>
      <c r="FS79" s="539">
        <f t="shared" si="511"/>
        <v>354.92251258876229</v>
      </c>
      <c r="FT79" s="19">
        <f t="shared" si="512"/>
        <v>14.986908060212876</v>
      </c>
      <c r="FU79" s="10">
        <f t="shared" si="513"/>
        <v>1.2264245548455708</v>
      </c>
      <c r="FV79" s="10">
        <f t="shared" si="514"/>
        <v>30.270820020374401</v>
      </c>
      <c r="FW79" s="539">
        <f t="shared" si="515"/>
        <v>369.90942064897519</v>
      </c>
      <c r="FX79" s="19">
        <f t="shared" si="516"/>
        <v>15.619743130513191</v>
      </c>
      <c r="FY79" s="10">
        <f t="shared" si="517"/>
        <v>1.2782113854757111</v>
      </c>
      <c r="FZ79" s="10">
        <f t="shared" si="518"/>
        <v>31.549031405850112</v>
      </c>
      <c r="GA79" s="539">
        <f t="shared" si="519"/>
        <v>385.52916377948839</v>
      </c>
      <c r="GB79" s="19">
        <f t="shared" si="520"/>
        <v>16.279300205418657</v>
      </c>
      <c r="GC79" s="10">
        <f t="shared" si="521"/>
        <v>1.3321849595268949</v>
      </c>
      <c r="GD79" s="10">
        <f t="shared" si="522"/>
        <v>32.881216365377007</v>
      </c>
      <c r="GE79" s="539">
        <f t="shared" si="523"/>
        <v>401.80846398490706</v>
      </c>
      <c r="GF79" s="19">
        <f t="shared" si="524"/>
        <v>16.966707644534537</v>
      </c>
      <c r="GG79" s="10">
        <f t="shared" si="525"/>
        <v>1.3884376141190291</v>
      </c>
      <c r="GH79" s="10">
        <f t="shared" si="526"/>
        <v>34.269653979496034</v>
      </c>
      <c r="GI79" s="539">
        <f t="shared" si="527"/>
        <v>418.77517162944156</v>
      </c>
      <c r="GJ79" s="19">
        <f t="shared" si="528"/>
        <v>17.683141453419953</v>
      </c>
      <c r="GK79" s="10">
        <f t="shared" si="529"/>
        <v>1.4470655853862482</v>
      </c>
      <c r="GL79" s="10">
        <f t="shared" si="530"/>
        <v>35.716719564882283</v>
      </c>
      <c r="GM79" s="539">
        <f t="shared" si="531"/>
        <v>436.45831308286154</v>
      </c>
      <c r="GN79" s="19">
        <f t="shared" si="532"/>
        <v>18.429827295479257</v>
      </c>
      <c r="GO79" s="10">
        <f t="shared" si="533"/>
        <v>1.508169173116142</v>
      </c>
      <c r="GP79" s="10">
        <f t="shared" si="534"/>
        <v>37.224888737998427</v>
      </c>
      <c r="GQ79" s="539">
        <f t="shared" si="535"/>
        <v>454.88814037834078</v>
      </c>
      <c r="GR79" s="19">
        <f t="shared" si="536"/>
        <v>19.208042588807189</v>
      </c>
      <c r="GS79" s="10">
        <f t="shared" si="537"/>
        <v>1.5718529123410137</v>
      </c>
      <c r="GT79" s="10">
        <f t="shared" si="538"/>
        <v>38.796741650339442</v>
      </c>
      <c r="GU79" s="539">
        <f t="shared" si="539"/>
        <v>474.09618296714802</v>
      </c>
      <c r="GV79" s="19">
        <f t="shared" si="540"/>
        <v>20.019118691575152</v>
      </c>
      <c r="GW79" s="10">
        <f t="shared" si="541"/>
        <v>1.6382257521747259</v>
      </c>
      <c r="GX79" s="10">
        <f t="shared" si="542"/>
        <v>40.434967402514168</v>
      </c>
      <c r="GY79" s="539">
        <f t="shared" si="543"/>
        <v>494.11530165872318</v>
      </c>
      <c r="GZ79" s="19">
        <f t="shared" si="544"/>
        <v>20.864443179697311</v>
      </c>
      <c r="HA79" s="10">
        <f t="shared" si="545"/>
        <v>1.7074012422010891</v>
      </c>
      <c r="HB79" s="10">
        <f t="shared" si="546"/>
        <v>42.142368644715255</v>
      </c>
      <c r="HC79" s="539">
        <f t="shared" si="547"/>
        <v>514.9797448384204</v>
      </c>
      <c r="HD79" s="19">
        <f t="shared" si="548"/>
        <v>21.745462220673073</v>
      </c>
      <c r="HE79" s="10">
        <f t="shared" si="549"/>
        <v>1.7794977267326573</v>
      </c>
      <c r="HF79" s="10">
        <f t="shared" si="550"/>
        <v>43.921866371447912</v>
      </c>
      <c r="HG79" s="539">
        <f t="shared" si="551"/>
        <v>536.72520705909346</v>
      </c>
      <c r="HH79" s="19">
        <f t="shared" si="552"/>
        <v>22.663683047667124</v>
      </c>
      <c r="HI79" s="10">
        <f t="shared" si="553"/>
        <v>1.8546385472722686</v>
      </c>
      <c r="HJ79" s="10">
        <f t="shared" si="554"/>
        <v>45.776504918720178</v>
      </c>
      <c r="HK79" s="539">
        <f t="shared" si="555"/>
        <v>559.38889010676064</v>
      </c>
      <c r="HL79" s="19">
        <f t="shared" si="556"/>
        <v>23.620676538059612</v>
      </c>
      <c r="HM79" s="10">
        <f t="shared" si="557"/>
        <v>1.9329522535236998</v>
      </c>
      <c r="HN79" s="10">
        <f t="shared" si="558"/>
        <v>47.70945717224388</v>
      </c>
      <c r="HO79" s="539">
        <f t="shared" si="559"/>
        <v>583.00956664482021</v>
      </c>
      <c r="HP79" s="19">
        <f t="shared" si="560"/>
        <v>24.618079900877841</v>
      </c>
      <c r="HQ79" s="10">
        <f t="shared" si="561"/>
        <v>2.0145728233124256</v>
      </c>
      <c r="HR79" s="10">
        <f t="shared" si="562"/>
        <v>49.724029995556307</v>
      </c>
      <c r="HS79" s="539">
        <f t="shared" si="563"/>
        <v>607.6276465456981</v>
      </c>
      <c r="HT79" s="19">
        <f t="shared" si="564"/>
        <v>25.657599477707056</v>
      </c>
      <c r="HU79" s="10">
        <f t="shared" si="565"/>
        <v>2.0996398917927213</v>
      </c>
      <c r="HV79" s="10">
        <f t="shared" si="566"/>
        <v>51.823669887349027</v>
      </c>
      <c r="HW79" s="539">
        <f t="shared" si="567"/>
        <v>633.28524602340519</v>
      </c>
      <c r="HX79" s="19">
        <f t="shared" si="568"/>
        <v>26.741013661872099</v>
      </c>
      <c r="HY79" s="10">
        <f t="shared" si="569"/>
        <v>2.1882989903332324</v>
      </c>
      <c r="HZ79" s="10">
        <f t="shared" si="570"/>
        <v>54.011968877682257</v>
      </c>
      <c r="IA79" s="539">
        <f t="shared" si="571"/>
        <v>660.02625968527718</v>
      </c>
      <c r="IB79" s="19">
        <f t="shared" si="572"/>
        <v>27.870175940884046</v>
      </c>
      <c r="IP79" s="11">
        <v>38</v>
      </c>
      <c r="IQ79" s="19">
        <f t="shared" si="358"/>
        <v>164.13583376984533</v>
      </c>
      <c r="IR79" s="20">
        <f t="shared" si="620"/>
        <v>4.3881490397548868</v>
      </c>
    </row>
    <row r="80" spans="1:252">
      <c r="B80" s="20"/>
      <c r="C80" s="177" t="s">
        <v>2345</v>
      </c>
      <c r="D80" s="47" t="s">
        <v>361</v>
      </c>
      <c r="E80" s="396">
        <f t="shared" si="600"/>
        <v>6058.3274000000001</v>
      </c>
      <c r="F80" s="242">
        <v>2.3273999999999999</v>
      </c>
      <c r="G80" s="48">
        <f>'Update Stock Prices'!S80</f>
        <v>251698113.20754719</v>
      </c>
      <c r="H80" s="991">
        <f t="shared" si="610"/>
        <v>9.2467916041979E-9</v>
      </c>
      <c r="I80" s="49">
        <f>'Update Stock Prices'!D80</f>
        <v>5.2999999999999999E-2</v>
      </c>
      <c r="J80" s="49">
        <f t="shared" si="404"/>
        <v>0.1233522</v>
      </c>
      <c r="K80" s="30">
        <v>48.05</v>
      </c>
      <c r="L80" s="49">
        <f t="shared" si="611"/>
        <v>-47.926647799999998</v>
      </c>
      <c r="M80" s="50">
        <f t="shared" si="613"/>
        <v>-0.99743283662851201</v>
      </c>
      <c r="N80" s="49">
        <f t="shared" si="612"/>
        <v>20.645355332130272</v>
      </c>
      <c r="O80" s="48">
        <f t="shared" si="601"/>
        <v>6056</v>
      </c>
      <c r="P80" s="49">
        <f>IF(($B$11-$B$12)-(O80*I80)&lt;0,0,($B$11-$B$12)-(O80*I80))</f>
        <v>4.199999999997317E-2</v>
      </c>
      <c r="Q80" s="30">
        <v>0</v>
      </c>
      <c r="R80" s="49">
        <f t="shared" si="242"/>
        <v>0</v>
      </c>
      <c r="S80" s="49">
        <f t="shared" si="603"/>
        <v>0</v>
      </c>
      <c r="T80" s="49">
        <f t="shared" si="399"/>
        <v>0</v>
      </c>
      <c r="U80" s="49"/>
      <c r="V80" s="50">
        <f t="shared" si="604"/>
        <v>0</v>
      </c>
      <c r="W80" s="50">
        <f t="shared" si="575"/>
        <v>0</v>
      </c>
      <c r="X80" s="49">
        <f>12*((E80*Q80)/12-T80)</f>
        <v>0</v>
      </c>
      <c r="Y80" s="49">
        <f t="shared" ref="Y80:Y146" si="654">IF(U80="Q",3*T80,IF(U80="Y",12*T80,IF(U80="B",6*T80,IF(U80="M",T80,0))))</f>
        <v>0</v>
      </c>
      <c r="Z80" s="860">
        <f t="shared" si="605"/>
        <v>0</v>
      </c>
      <c r="AA80" s="860" t="str">
        <f>IF(Z80=1,"",IF(AND(U80&lt;&gt;"",Z80=0),I80/(Y80/F80)-F80,""))</f>
        <v/>
      </c>
      <c r="AB80" s="49" t="str">
        <f>IF(AA80&lt;&gt;"",AA80*I80,"")</f>
        <v/>
      </c>
      <c r="AC80" s="48">
        <v>1</v>
      </c>
      <c r="AD80" s="47" t="str">
        <f t="shared" si="608"/>
        <v>LNCO</v>
      </c>
      <c r="AE80" s="49">
        <f t="shared" si="609"/>
        <v>0.1233522</v>
      </c>
      <c r="AF80" s="50" t="e">
        <f t="shared" si="405"/>
        <v>#REF!</v>
      </c>
      <c r="AG80" s="890" t="e">
        <f t="shared" si="599"/>
        <v>#REF!</v>
      </c>
      <c r="AH80" s="207" t="s">
        <v>322</v>
      </c>
      <c r="AI80" s="240">
        <f t="shared" si="406"/>
        <v>3.4541574616150092E-8</v>
      </c>
      <c r="AJ80" s="11">
        <f t="shared" si="595"/>
        <v>4</v>
      </c>
      <c r="AK80" s="11"/>
      <c r="AL80" s="11"/>
      <c r="AM80" s="11"/>
      <c r="AN80" s="11"/>
      <c r="AO80" s="11"/>
      <c r="AP80" s="11"/>
      <c r="AQ80" s="11" t="str">
        <f>'Update Stock Prices'!Q80</f>
        <v>nano</v>
      </c>
      <c r="AR80" s="11"/>
      <c r="AS80" s="11"/>
      <c r="AT80" s="16" t="e">
        <f t="shared" si="647"/>
        <v>#REF!</v>
      </c>
      <c r="AU80" s="225" t="s">
        <v>406</v>
      </c>
      <c r="AV80" s="20" t="e">
        <f>SUM(AE153:AE159)</f>
        <v>#REF!</v>
      </c>
      <c r="AW80" s="15" t="e">
        <f t="shared" si="648"/>
        <v>#REF!</v>
      </c>
      <c r="AX80" s="19">
        <v>9520.0812755967745</v>
      </c>
      <c r="AY80" s="15">
        <v>3.3923944604976573E-2</v>
      </c>
      <c r="AZ80" s="19" t="e">
        <f>AV80-AX80</f>
        <v>#REF!</v>
      </c>
      <c r="BA80" s="15" t="e">
        <f>(AV80-AX80)/AX80</f>
        <v>#REF!</v>
      </c>
      <c r="BB80" s="516">
        <v>0.1</v>
      </c>
      <c r="BC80" s="234" t="e">
        <f>(1-BB80)*AV80</f>
        <v>#REF!</v>
      </c>
      <c r="BD80" s="225" t="e">
        <f>Metals!#REF!</f>
        <v>#REF!</v>
      </c>
      <c r="BE80" s="640" t="e">
        <f>Metals!#REF!</f>
        <v>#REF!</v>
      </c>
      <c r="BF80" s="176" t="s">
        <v>1866</v>
      </c>
      <c r="BH80" s="225" t="e">
        <f ca="1">BD80/BI80</f>
        <v>#REF!</v>
      </c>
      <c r="BI80" s="1029">
        <f ca="1">YEAR(TODAY())-2012</f>
        <v>5</v>
      </c>
      <c r="BJ80" s="1452"/>
      <c r="BK80" s="19"/>
      <c r="BL80" s="1307"/>
      <c r="BM80" s="19"/>
      <c r="BN80" s="19"/>
      <c r="BO80" s="19"/>
      <c r="BP80" s="19"/>
      <c r="BS80" s="420" t="str">
        <f t="shared" si="407"/>
        <v>LNCO</v>
      </c>
      <c r="BT80" s="425">
        <f t="shared" si="408"/>
        <v>2.3273999999999999</v>
      </c>
      <c r="BU80" s="19">
        <f t="shared" si="409"/>
        <v>5.2999999999999999E-2</v>
      </c>
      <c r="BV80" s="19">
        <f t="shared" si="410"/>
        <v>0.1233522</v>
      </c>
      <c r="BW80" s="539">
        <f t="shared" si="411"/>
        <v>0</v>
      </c>
      <c r="BX80" s="19">
        <f t="shared" si="412"/>
        <v>0</v>
      </c>
      <c r="BY80" s="10">
        <f t="shared" si="413"/>
        <v>0</v>
      </c>
      <c r="BZ80" s="10">
        <f t="shared" si="414"/>
        <v>2.3273999999999999</v>
      </c>
      <c r="CA80" s="539">
        <f t="shared" si="415"/>
        <v>0.1233522</v>
      </c>
      <c r="CB80" s="19">
        <f t="shared" si="416"/>
        <v>0</v>
      </c>
      <c r="CC80" s="10">
        <f t="shared" si="417"/>
        <v>0</v>
      </c>
      <c r="CD80" s="10">
        <f t="shared" si="418"/>
        <v>2.3273999999999999</v>
      </c>
      <c r="CE80" s="539">
        <f t="shared" si="419"/>
        <v>0.1233522</v>
      </c>
      <c r="CF80" s="19">
        <f t="shared" si="420"/>
        <v>0</v>
      </c>
      <c r="CG80" s="10">
        <f t="shared" si="421"/>
        <v>0</v>
      </c>
      <c r="CH80" s="10">
        <f t="shared" si="422"/>
        <v>2.3273999999999999</v>
      </c>
      <c r="CI80" s="539">
        <f t="shared" si="423"/>
        <v>0.1233522</v>
      </c>
      <c r="CJ80" s="19">
        <f t="shared" si="424"/>
        <v>0</v>
      </c>
      <c r="CK80" s="10">
        <f t="shared" si="425"/>
        <v>0</v>
      </c>
      <c r="CL80" s="10">
        <f t="shared" si="426"/>
        <v>2.3273999999999999</v>
      </c>
      <c r="CM80" s="539">
        <f t="shared" si="427"/>
        <v>0.1233522</v>
      </c>
      <c r="CN80" s="19">
        <f t="shared" si="428"/>
        <v>0</v>
      </c>
      <c r="CO80" s="10">
        <f t="shared" si="429"/>
        <v>0</v>
      </c>
      <c r="CP80" s="10">
        <f t="shared" si="430"/>
        <v>2.3273999999999999</v>
      </c>
      <c r="CQ80" s="539">
        <f t="shared" si="431"/>
        <v>0.1233522</v>
      </c>
      <c r="CR80" s="19">
        <f t="shared" si="432"/>
        <v>0</v>
      </c>
      <c r="CS80" s="10">
        <f t="shared" si="433"/>
        <v>0</v>
      </c>
      <c r="CT80" s="10">
        <f t="shared" si="434"/>
        <v>2.3273999999999999</v>
      </c>
      <c r="CU80" s="539">
        <f t="shared" si="435"/>
        <v>0.1233522</v>
      </c>
      <c r="CV80" s="19">
        <f t="shared" si="436"/>
        <v>0</v>
      </c>
      <c r="CW80" s="10">
        <f t="shared" si="437"/>
        <v>0</v>
      </c>
      <c r="CX80" s="10">
        <f t="shared" si="438"/>
        <v>2.3273999999999999</v>
      </c>
      <c r="CY80" s="539">
        <f t="shared" si="439"/>
        <v>0.1233522</v>
      </c>
      <c r="CZ80" s="19">
        <f t="shared" si="440"/>
        <v>0</v>
      </c>
      <c r="DA80" s="10">
        <f t="shared" si="441"/>
        <v>0</v>
      </c>
      <c r="DB80" s="10">
        <f t="shared" si="442"/>
        <v>2.3273999999999999</v>
      </c>
      <c r="DC80" s="539">
        <f t="shared" si="443"/>
        <v>0.1233522</v>
      </c>
      <c r="DD80" s="19">
        <f t="shared" si="444"/>
        <v>0</v>
      </c>
      <c r="DE80" s="10">
        <f t="shared" si="445"/>
        <v>0</v>
      </c>
      <c r="DF80" s="10">
        <f t="shared" si="446"/>
        <v>2.3273999999999999</v>
      </c>
      <c r="DG80" s="539">
        <f t="shared" si="447"/>
        <v>0.1233522</v>
      </c>
      <c r="DH80" s="19">
        <f t="shared" si="448"/>
        <v>0</v>
      </c>
      <c r="DI80" s="10">
        <f t="shared" si="449"/>
        <v>0</v>
      </c>
      <c r="DJ80" s="10">
        <f t="shared" si="450"/>
        <v>2.3273999999999999</v>
      </c>
      <c r="DK80" s="539">
        <f t="shared" si="451"/>
        <v>0.1233522</v>
      </c>
      <c r="DL80" s="19">
        <f t="shared" si="452"/>
        <v>0</v>
      </c>
      <c r="DM80" s="10">
        <f t="shared" si="453"/>
        <v>0</v>
      </c>
      <c r="DN80" s="10">
        <f t="shared" si="454"/>
        <v>2.3273999999999999</v>
      </c>
      <c r="DO80" s="539">
        <f t="shared" si="455"/>
        <v>0.1233522</v>
      </c>
      <c r="DP80" s="19">
        <f t="shared" si="456"/>
        <v>0</v>
      </c>
      <c r="DQ80" s="10">
        <f t="shared" si="457"/>
        <v>0</v>
      </c>
      <c r="DR80" s="10">
        <f t="shared" si="458"/>
        <v>2.3273999999999999</v>
      </c>
      <c r="DS80" s="539">
        <f t="shared" si="459"/>
        <v>0.1233522</v>
      </c>
      <c r="DT80" s="19">
        <f t="shared" si="460"/>
        <v>0</v>
      </c>
      <c r="DU80" s="10">
        <f t="shared" si="461"/>
        <v>0</v>
      </c>
      <c r="DV80" s="10">
        <f t="shared" si="462"/>
        <v>2.3273999999999999</v>
      </c>
      <c r="DW80" s="539">
        <f t="shared" si="463"/>
        <v>0.1233522</v>
      </c>
      <c r="DX80" s="19">
        <f t="shared" si="464"/>
        <v>0</v>
      </c>
      <c r="DY80" s="10">
        <f t="shared" si="465"/>
        <v>0</v>
      </c>
      <c r="DZ80" s="10">
        <f t="shared" si="466"/>
        <v>2.3273999999999999</v>
      </c>
      <c r="EA80" s="539">
        <f t="shared" si="467"/>
        <v>0.1233522</v>
      </c>
      <c r="EB80" s="19">
        <f t="shared" si="468"/>
        <v>0</v>
      </c>
      <c r="EC80" s="10">
        <f t="shared" si="469"/>
        <v>0</v>
      </c>
      <c r="ED80" s="10">
        <f t="shared" si="470"/>
        <v>2.3273999999999999</v>
      </c>
      <c r="EE80" s="539">
        <f t="shared" si="471"/>
        <v>0.1233522</v>
      </c>
      <c r="EF80" s="19">
        <f t="shared" si="472"/>
        <v>0</v>
      </c>
      <c r="EG80" s="10">
        <f t="shared" si="473"/>
        <v>0</v>
      </c>
      <c r="EH80" s="10">
        <f t="shared" si="474"/>
        <v>2.3273999999999999</v>
      </c>
      <c r="EI80" s="539">
        <f t="shared" si="475"/>
        <v>0.1233522</v>
      </c>
      <c r="EJ80" s="19">
        <f t="shared" si="476"/>
        <v>0</v>
      </c>
      <c r="EK80" s="10">
        <f t="shared" si="477"/>
        <v>0</v>
      </c>
      <c r="EL80" s="10">
        <f t="shared" si="478"/>
        <v>2.3273999999999999</v>
      </c>
      <c r="EM80" s="539">
        <f t="shared" si="479"/>
        <v>0.1233522</v>
      </c>
      <c r="EN80" s="19">
        <f t="shared" si="480"/>
        <v>0</v>
      </c>
      <c r="EO80" s="10">
        <f t="shared" si="481"/>
        <v>0</v>
      </c>
      <c r="EP80" s="10">
        <f t="shared" si="482"/>
        <v>2.3273999999999999</v>
      </c>
      <c r="EQ80" s="539">
        <f t="shared" si="483"/>
        <v>0.1233522</v>
      </c>
      <c r="ER80" s="19">
        <f t="shared" si="484"/>
        <v>0</v>
      </c>
      <c r="ES80" s="10">
        <f t="shared" si="485"/>
        <v>0</v>
      </c>
      <c r="ET80" s="10">
        <f t="shared" si="486"/>
        <v>2.3273999999999999</v>
      </c>
      <c r="EU80" s="539">
        <f t="shared" si="487"/>
        <v>0.1233522</v>
      </c>
      <c r="EV80" s="19">
        <f t="shared" si="488"/>
        <v>0</v>
      </c>
      <c r="EW80" s="10">
        <f t="shared" si="489"/>
        <v>0</v>
      </c>
      <c r="EX80" s="10">
        <f t="shared" si="490"/>
        <v>2.3273999999999999</v>
      </c>
      <c r="EY80" s="539">
        <f t="shared" si="491"/>
        <v>0.1233522</v>
      </c>
      <c r="EZ80" s="19">
        <f t="shared" si="492"/>
        <v>0</v>
      </c>
      <c r="FA80" s="10">
        <f t="shared" si="493"/>
        <v>0</v>
      </c>
      <c r="FB80" s="10">
        <f t="shared" si="494"/>
        <v>2.3273999999999999</v>
      </c>
      <c r="FC80" s="539">
        <f t="shared" si="495"/>
        <v>0.1233522</v>
      </c>
      <c r="FD80" s="19">
        <f t="shared" si="496"/>
        <v>0</v>
      </c>
      <c r="FE80" s="10">
        <f t="shared" si="497"/>
        <v>0</v>
      </c>
      <c r="FF80" s="10">
        <f t="shared" si="498"/>
        <v>2.3273999999999999</v>
      </c>
      <c r="FG80" s="539">
        <f t="shared" si="499"/>
        <v>0.1233522</v>
      </c>
      <c r="FH80" s="19">
        <f t="shared" si="500"/>
        <v>0</v>
      </c>
      <c r="FI80" s="10">
        <f t="shared" si="501"/>
        <v>0</v>
      </c>
      <c r="FJ80" s="10">
        <f t="shared" si="502"/>
        <v>2.3273999999999999</v>
      </c>
      <c r="FK80" s="539">
        <f t="shared" si="503"/>
        <v>0.1233522</v>
      </c>
      <c r="FL80" s="19">
        <f t="shared" si="504"/>
        <v>0</v>
      </c>
      <c r="FM80" s="10">
        <f t="shared" si="505"/>
        <v>0</v>
      </c>
      <c r="FN80" s="10">
        <f t="shared" si="506"/>
        <v>2.3273999999999999</v>
      </c>
      <c r="FO80" s="539">
        <f t="shared" si="507"/>
        <v>0.1233522</v>
      </c>
      <c r="FP80" s="19">
        <f t="shared" si="508"/>
        <v>0</v>
      </c>
      <c r="FQ80" s="10">
        <f t="shared" si="509"/>
        <v>0</v>
      </c>
      <c r="FR80" s="10">
        <f t="shared" si="510"/>
        <v>2.3273999999999999</v>
      </c>
      <c r="FS80" s="539">
        <f t="shared" si="511"/>
        <v>0.1233522</v>
      </c>
      <c r="FT80" s="19">
        <f t="shared" si="512"/>
        <v>0</v>
      </c>
      <c r="FU80" s="10">
        <f t="shared" si="513"/>
        <v>0</v>
      </c>
      <c r="FV80" s="10">
        <f t="shared" si="514"/>
        <v>2.3273999999999999</v>
      </c>
      <c r="FW80" s="539">
        <f t="shared" si="515"/>
        <v>0.1233522</v>
      </c>
      <c r="FX80" s="19">
        <f t="shared" si="516"/>
        <v>0</v>
      </c>
      <c r="FY80" s="10">
        <f t="shared" si="517"/>
        <v>0</v>
      </c>
      <c r="FZ80" s="10">
        <f t="shared" si="518"/>
        <v>2.3273999999999999</v>
      </c>
      <c r="GA80" s="539">
        <f t="shared" si="519"/>
        <v>0.1233522</v>
      </c>
      <c r="GB80" s="19">
        <f t="shared" si="520"/>
        <v>0</v>
      </c>
      <c r="GC80" s="10">
        <f t="shared" si="521"/>
        <v>0</v>
      </c>
      <c r="GD80" s="10">
        <f t="shared" si="522"/>
        <v>2.3273999999999999</v>
      </c>
      <c r="GE80" s="539">
        <f t="shared" si="523"/>
        <v>0.1233522</v>
      </c>
      <c r="GF80" s="19">
        <f t="shared" si="524"/>
        <v>0</v>
      </c>
      <c r="GG80" s="10">
        <f t="shared" si="525"/>
        <v>0</v>
      </c>
      <c r="GH80" s="10">
        <f t="shared" si="526"/>
        <v>2.3273999999999999</v>
      </c>
      <c r="GI80" s="539">
        <f t="shared" si="527"/>
        <v>0.1233522</v>
      </c>
      <c r="GJ80" s="19">
        <f t="shared" si="528"/>
        <v>0</v>
      </c>
      <c r="GK80" s="10">
        <f t="shared" si="529"/>
        <v>0</v>
      </c>
      <c r="GL80" s="10">
        <f t="shared" si="530"/>
        <v>2.3273999999999999</v>
      </c>
      <c r="GM80" s="539">
        <f t="shared" si="531"/>
        <v>0.1233522</v>
      </c>
      <c r="GN80" s="19">
        <f t="shared" si="532"/>
        <v>0</v>
      </c>
      <c r="GO80" s="10">
        <f t="shared" si="533"/>
        <v>0</v>
      </c>
      <c r="GP80" s="10">
        <f t="shared" si="534"/>
        <v>2.3273999999999999</v>
      </c>
      <c r="GQ80" s="539">
        <f t="shared" si="535"/>
        <v>0.1233522</v>
      </c>
      <c r="GR80" s="19">
        <f t="shared" si="536"/>
        <v>0</v>
      </c>
      <c r="GS80" s="10">
        <f t="shared" si="537"/>
        <v>0</v>
      </c>
      <c r="GT80" s="10">
        <f t="shared" si="538"/>
        <v>2.3273999999999999</v>
      </c>
      <c r="GU80" s="539">
        <f t="shared" si="539"/>
        <v>0.1233522</v>
      </c>
      <c r="GV80" s="19">
        <f t="shared" si="540"/>
        <v>0</v>
      </c>
      <c r="GW80" s="10">
        <f t="shared" si="541"/>
        <v>0</v>
      </c>
      <c r="GX80" s="10">
        <f t="shared" si="542"/>
        <v>2.3273999999999999</v>
      </c>
      <c r="GY80" s="539">
        <f t="shared" si="543"/>
        <v>0.1233522</v>
      </c>
      <c r="GZ80" s="19">
        <f t="shared" si="544"/>
        <v>0</v>
      </c>
      <c r="HA80" s="10">
        <f t="shared" si="545"/>
        <v>0</v>
      </c>
      <c r="HB80" s="10">
        <f t="shared" si="546"/>
        <v>2.3273999999999999</v>
      </c>
      <c r="HC80" s="539">
        <f t="shared" si="547"/>
        <v>0.1233522</v>
      </c>
      <c r="HD80" s="19">
        <f t="shared" si="548"/>
        <v>0</v>
      </c>
      <c r="HE80" s="10">
        <f t="shared" si="549"/>
        <v>0</v>
      </c>
      <c r="HF80" s="10">
        <f t="shared" si="550"/>
        <v>2.3273999999999999</v>
      </c>
      <c r="HG80" s="539">
        <f t="shared" si="551"/>
        <v>0.1233522</v>
      </c>
      <c r="HH80" s="19">
        <f t="shared" si="552"/>
        <v>0</v>
      </c>
      <c r="HI80" s="10">
        <f t="shared" si="553"/>
        <v>0</v>
      </c>
      <c r="HJ80" s="10">
        <f t="shared" si="554"/>
        <v>2.3273999999999999</v>
      </c>
      <c r="HK80" s="539">
        <f t="shared" si="555"/>
        <v>0.1233522</v>
      </c>
      <c r="HL80" s="19">
        <f t="shared" si="556"/>
        <v>0</v>
      </c>
      <c r="HM80" s="10">
        <f t="shared" si="557"/>
        <v>0</v>
      </c>
      <c r="HN80" s="10">
        <f t="shared" si="558"/>
        <v>2.3273999999999999</v>
      </c>
      <c r="HO80" s="539">
        <f t="shared" si="559"/>
        <v>0.1233522</v>
      </c>
      <c r="HP80" s="19">
        <f t="shared" si="560"/>
        <v>0</v>
      </c>
      <c r="HQ80" s="10">
        <f t="shared" si="561"/>
        <v>0</v>
      </c>
      <c r="HR80" s="10">
        <f t="shared" si="562"/>
        <v>2.3273999999999999</v>
      </c>
      <c r="HS80" s="539">
        <f t="shared" si="563"/>
        <v>0.1233522</v>
      </c>
      <c r="HT80" s="19">
        <f t="shared" si="564"/>
        <v>0</v>
      </c>
      <c r="HU80" s="10">
        <f t="shared" si="565"/>
        <v>0</v>
      </c>
      <c r="HV80" s="10">
        <f t="shared" si="566"/>
        <v>2.3273999999999999</v>
      </c>
      <c r="HW80" s="539">
        <f t="shared" si="567"/>
        <v>0.1233522</v>
      </c>
      <c r="HX80" s="19">
        <f t="shared" si="568"/>
        <v>0</v>
      </c>
      <c r="HY80" s="10">
        <f t="shared" si="569"/>
        <v>0</v>
      </c>
      <c r="HZ80" s="10">
        <f t="shared" si="570"/>
        <v>2.3273999999999999</v>
      </c>
      <c r="IA80" s="539">
        <f t="shared" si="571"/>
        <v>0.1233522</v>
      </c>
      <c r="IB80" s="19">
        <f t="shared" si="572"/>
        <v>0</v>
      </c>
      <c r="IP80" s="11">
        <v>39</v>
      </c>
      <c r="IQ80" s="19">
        <f t="shared" si="358"/>
        <v>177.26670047143298</v>
      </c>
      <c r="IR80" s="20">
        <f t="shared" si="620"/>
        <v>4.3083645117593434</v>
      </c>
    </row>
    <row r="81" spans="1:252">
      <c r="B81" s="20"/>
      <c r="C81" s="177" t="s">
        <v>2342</v>
      </c>
      <c r="D81" s="47" t="s">
        <v>355</v>
      </c>
      <c r="E81" s="396">
        <f t="shared" si="600"/>
        <v>7.0644</v>
      </c>
      <c r="F81" s="242">
        <v>1.0644</v>
      </c>
      <c r="G81" s="48">
        <f>'Update Stock Prices'!S81</f>
        <v>39552880.481513321</v>
      </c>
      <c r="H81" s="991">
        <f t="shared" si="610"/>
        <v>2.6910808695652179E-8</v>
      </c>
      <c r="I81" s="49">
        <f>'Update Stock Prices'!D81</f>
        <v>46.52</v>
      </c>
      <c r="J81" s="49">
        <f t="shared" si="404"/>
        <v>49.515888000000004</v>
      </c>
      <c r="K81" s="30">
        <v>41.17</v>
      </c>
      <c r="L81" s="49">
        <f t="shared" si="611"/>
        <v>8.3458880000000022</v>
      </c>
      <c r="M81" s="50">
        <f t="shared" si="613"/>
        <v>0.20271770706825362</v>
      </c>
      <c r="N81" s="49">
        <f t="shared" si="612"/>
        <v>38.679068019541525</v>
      </c>
      <c r="O81" s="48">
        <f t="shared" si="601"/>
        <v>6</v>
      </c>
      <c r="P81" s="49">
        <f t="shared" si="602"/>
        <v>41.889999999999986</v>
      </c>
      <c r="Q81" s="30">
        <f>0.19*12</f>
        <v>2.2800000000000002</v>
      </c>
      <c r="R81" s="49">
        <f t="shared" si="242"/>
        <v>6.6443039014373716E-3</v>
      </c>
      <c r="S81" s="49">
        <f t="shared" si="603"/>
        <v>2.4268320000000001</v>
      </c>
      <c r="T81" s="49">
        <f t="shared" si="399"/>
        <v>0.202236</v>
      </c>
      <c r="U81" s="49" t="s">
        <v>56</v>
      </c>
      <c r="V81" s="50">
        <f t="shared" si="604"/>
        <v>4.9011177987962166E-2</v>
      </c>
      <c r="W81" s="50">
        <f t="shared" si="575"/>
        <v>5.8946611610395917E-2</v>
      </c>
      <c r="X81" s="49">
        <f>12*((E81*Q81)/12-T81)</f>
        <v>13.68</v>
      </c>
      <c r="Y81" s="49">
        <f t="shared" si="654"/>
        <v>0.202236</v>
      </c>
      <c r="Z81" s="860">
        <f t="shared" si="605"/>
        <v>0</v>
      </c>
      <c r="AA81" s="860">
        <f t="shared" si="606"/>
        <v>243.77770526315791</v>
      </c>
      <c r="AB81" s="49">
        <f t="shared" si="607"/>
        <v>11340.538848842107</v>
      </c>
      <c r="AC81" s="48">
        <v>1</v>
      </c>
      <c r="AD81" s="47" t="str">
        <f t="shared" si="608"/>
        <v>LTC</v>
      </c>
      <c r="AE81" s="49">
        <f t="shared" si="609"/>
        <v>49.515888000000004</v>
      </c>
      <c r="AF81" s="50" t="e">
        <f t="shared" si="405"/>
        <v>#REF!</v>
      </c>
      <c r="AG81" s="890" t="e">
        <f t="shared" si="599"/>
        <v>#REF!</v>
      </c>
      <c r="AH81" s="207" t="s">
        <v>354</v>
      </c>
      <c r="AI81" s="240">
        <f t="shared" si="406"/>
        <v>5.565926617357218E-3</v>
      </c>
      <c r="AJ81" s="11">
        <f t="shared" si="595"/>
        <v>3</v>
      </c>
      <c r="AK81" s="11"/>
      <c r="AL81" s="11"/>
      <c r="AM81" s="11"/>
      <c r="AN81" s="11"/>
      <c r="AO81" s="11"/>
      <c r="AP81" s="11"/>
      <c r="AQ81" s="11" t="str">
        <f>'Update Stock Prices'!Q81</f>
        <v>small</v>
      </c>
      <c r="AR81" s="11"/>
      <c r="AS81" s="11"/>
      <c r="AT81" s="16" t="e">
        <f t="shared" si="647"/>
        <v>#REF!</v>
      </c>
      <c r="AU81" s="224" t="s">
        <v>51</v>
      </c>
      <c r="AV81" s="19" t="e">
        <f>SUM(AE147,AE170,AE181,AE168,AE167,AE169)</f>
        <v>#REF!</v>
      </c>
      <c r="AW81" s="15" t="e">
        <f t="shared" si="648"/>
        <v>#REF!</v>
      </c>
      <c r="AX81" s="19">
        <v>1453.5461702851537</v>
      </c>
      <c r="AY81" s="15">
        <v>5.1795797046321288E-3</v>
      </c>
      <c r="AZ81" s="19" t="e">
        <f>AV81-AX81</f>
        <v>#REF!</v>
      </c>
      <c r="BA81" s="15" t="e">
        <f>(AV81-AX81)/AX81</f>
        <v>#REF!</v>
      </c>
      <c r="BB81" s="516">
        <v>0</v>
      </c>
      <c r="BC81" s="234" t="e">
        <f>(1-BB81)*AV81</f>
        <v>#REF!</v>
      </c>
      <c r="BD81" s="225">
        <v>0</v>
      </c>
      <c r="BE81" s="640"/>
      <c r="BF81" s="176"/>
      <c r="BH81" s="225"/>
      <c r="BI81" s="1029"/>
      <c r="BJ81" s="1452"/>
      <c r="BK81" s="19"/>
      <c r="BL81" s="1307"/>
      <c r="BM81" s="19"/>
      <c r="BN81" s="19"/>
      <c r="BO81" s="19"/>
      <c r="BP81" s="19"/>
      <c r="BS81" s="420" t="str">
        <f t="shared" si="407"/>
        <v>LTC</v>
      </c>
      <c r="BT81" s="425">
        <f t="shared" si="408"/>
        <v>1.0644</v>
      </c>
      <c r="BU81" s="19">
        <f t="shared" si="409"/>
        <v>46.52</v>
      </c>
      <c r="BV81" s="19">
        <f t="shared" si="410"/>
        <v>49.515888000000004</v>
      </c>
      <c r="BW81" s="539">
        <f t="shared" si="411"/>
        <v>2.2800000000000002</v>
      </c>
      <c r="BX81" s="19">
        <f t="shared" si="412"/>
        <v>2.4268320000000001</v>
      </c>
      <c r="BY81" s="10">
        <f t="shared" si="413"/>
        <v>5.2167497850386928E-2</v>
      </c>
      <c r="BZ81" s="10">
        <f t="shared" si="414"/>
        <v>1.116567497850387</v>
      </c>
      <c r="CA81" s="539">
        <f t="shared" si="415"/>
        <v>51.942720000000008</v>
      </c>
      <c r="CB81" s="19">
        <f t="shared" si="416"/>
        <v>2.5457738950988826</v>
      </c>
      <c r="CC81" s="10">
        <f t="shared" si="417"/>
        <v>5.4724288372718886E-2</v>
      </c>
      <c r="CD81" s="10">
        <f t="shared" si="418"/>
        <v>1.1712917862231058</v>
      </c>
      <c r="CE81" s="539">
        <f t="shared" si="419"/>
        <v>54.488493895098884</v>
      </c>
      <c r="CF81" s="19">
        <f t="shared" si="420"/>
        <v>2.6705452725886816</v>
      </c>
      <c r="CG81" s="10">
        <f t="shared" si="421"/>
        <v>5.7406390210418774E-2</v>
      </c>
      <c r="CH81" s="10">
        <f t="shared" si="422"/>
        <v>1.2286981764335245</v>
      </c>
      <c r="CI81" s="539">
        <f t="shared" si="423"/>
        <v>57.159039167687567</v>
      </c>
      <c r="CJ81" s="19">
        <f t="shared" si="424"/>
        <v>2.8014318422684363</v>
      </c>
      <c r="CK81" s="10">
        <f t="shared" si="425"/>
        <v>6.0219945018668015E-2</v>
      </c>
      <c r="CL81" s="10">
        <f t="shared" si="426"/>
        <v>1.2889181214521925</v>
      </c>
      <c r="CM81" s="539">
        <f t="shared" si="427"/>
        <v>59.960471009956002</v>
      </c>
      <c r="CN81" s="19">
        <f t="shared" si="428"/>
        <v>2.9387333169109993</v>
      </c>
      <c r="CO81" s="10">
        <f t="shared" si="429"/>
        <v>6.3171395462403246E-2</v>
      </c>
      <c r="CP81" s="10">
        <f t="shared" si="430"/>
        <v>1.3520895169145959</v>
      </c>
      <c r="CQ81" s="539">
        <f t="shared" si="431"/>
        <v>62.899204326867007</v>
      </c>
      <c r="CR81" s="19">
        <f t="shared" si="432"/>
        <v>3.0827640985652791</v>
      </c>
      <c r="CS81" s="10">
        <f t="shared" si="433"/>
        <v>6.6267499969159052E-2</v>
      </c>
      <c r="CT81" s="10">
        <f t="shared" si="434"/>
        <v>1.4183570168837549</v>
      </c>
      <c r="CU81" s="539">
        <f t="shared" si="435"/>
        <v>65.981968425432285</v>
      </c>
      <c r="CV81" s="19">
        <f t="shared" si="436"/>
        <v>3.2338539984949617</v>
      </c>
      <c r="CW81" s="10">
        <f t="shared" si="437"/>
        <v>6.9515348204964772E-2</v>
      </c>
      <c r="CX81" s="10">
        <f t="shared" si="438"/>
        <v>1.4878723650887198</v>
      </c>
      <c r="CY81" s="539">
        <f t="shared" si="439"/>
        <v>69.21582242392725</v>
      </c>
      <c r="CZ81" s="19">
        <f t="shared" si="440"/>
        <v>3.3923489924022814</v>
      </c>
      <c r="DA81" s="10">
        <f t="shared" si="441"/>
        <v>7.2922377308733466E-2</v>
      </c>
      <c r="DB81" s="10">
        <f t="shared" si="442"/>
        <v>1.5607947423974533</v>
      </c>
      <c r="DC81" s="539">
        <f t="shared" si="443"/>
        <v>72.608171416329526</v>
      </c>
      <c r="DD81" s="19">
        <f t="shared" si="444"/>
        <v>3.558612012666194</v>
      </c>
      <c r="DE81" s="10">
        <f t="shared" si="445"/>
        <v>7.6496388922317152E-2</v>
      </c>
      <c r="DF81" s="10">
        <f t="shared" si="446"/>
        <v>1.6372911313197704</v>
      </c>
      <c r="DG81" s="539">
        <f t="shared" si="447"/>
        <v>76.166783428995728</v>
      </c>
      <c r="DH81" s="19">
        <f t="shared" si="448"/>
        <v>3.733023779409077</v>
      </c>
      <c r="DI81" s="10">
        <f t="shared" si="449"/>
        <v>8.0245567055225217E-2</v>
      </c>
      <c r="DJ81" s="10">
        <f t="shared" si="450"/>
        <v>1.7175366983749956</v>
      </c>
      <c r="DK81" s="539">
        <f t="shared" si="451"/>
        <v>79.899807208404795</v>
      </c>
      <c r="DL81" s="19">
        <f t="shared" si="452"/>
        <v>3.9159836722949901</v>
      </c>
      <c r="DM81" s="10">
        <f t="shared" si="453"/>
        <v>8.4178496824913795E-2</v>
      </c>
      <c r="DN81" s="10">
        <f t="shared" si="454"/>
        <v>1.8017151951999093</v>
      </c>
      <c r="DO81" s="539">
        <f t="shared" si="455"/>
        <v>83.81579088069978</v>
      </c>
      <c r="DP81" s="19">
        <f t="shared" si="456"/>
        <v>4.1079106450557941</v>
      </c>
      <c r="DQ81" s="10">
        <f t="shared" si="457"/>
        <v>8.8304184115558765E-2</v>
      </c>
      <c r="DR81" s="10">
        <f t="shared" si="458"/>
        <v>1.890019379315468</v>
      </c>
      <c r="DS81" s="539">
        <f t="shared" si="459"/>
        <v>87.923701525755575</v>
      </c>
      <c r="DT81" s="19">
        <f t="shared" si="460"/>
        <v>4.309244184839268</v>
      </c>
      <c r="DU81" s="10">
        <f t="shared" si="461"/>
        <v>9.2632076200328192E-2</v>
      </c>
      <c r="DV81" s="10">
        <f t="shared" si="462"/>
        <v>1.9826514555157961</v>
      </c>
      <c r="DW81" s="539">
        <f t="shared" si="463"/>
        <v>92.232945710594848</v>
      </c>
      <c r="DX81" s="19">
        <f t="shared" si="464"/>
        <v>4.5204453185760158</v>
      </c>
      <c r="DY81" s="10">
        <f t="shared" si="465"/>
        <v>9.7172083374376952E-2</v>
      </c>
      <c r="DZ81" s="10">
        <f t="shared" si="466"/>
        <v>2.0798235388901731</v>
      </c>
      <c r="EA81" s="539">
        <f t="shared" si="467"/>
        <v>96.753391029170857</v>
      </c>
      <c r="EB81" s="19">
        <f t="shared" si="468"/>
        <v>4.7419976686695948</v>
      </c>
      <c r="EC81" s="10">
        <f t="shared" si="469"/>
        <v>0.10193460164809963</v>
      </c>
      <c r="ED81" s="10">
        <f t="shared" si="470"/>
        <v>2.1817581405382729</v>
      </c>
      <c r="EE81" s="539">
        <f t="shared" si="471"/>
        <v>101.49538869784047</v>
      </c>
      <c r="EF81" s="19">
        <f t="shared" si="472"/>
        <v>4.9744085604272623</v>
      </c>
      <c r="EG81" s="10">
        <f t="shared" si="473"/>
        <v>0.10693053655260666</v>
      </c>
      <c r="EH81" s="10">
        <f t="shared" si="474"/>
        <v>2.2886886770908794</v>
      </c>
      <c r="EI81" s="539">
        <f t="shared" si="475"/>
        <v>106.46979725826772</v>
      </c>
      <c r="EJ81" s="19">
        <f t="shared" si="476"/>
        <v>5.2182101837672059</v>
      </c>
      <c r="EK81" s="10">
        <f t="shared" si="477"/>
        <v>0.11217132811193477</v>
      </c>
      <c r="EL81" s="10">
        <f t="shared" si="478"/>
        <v>2.4008600052028144</v>
      </c>
      <c r="EM81" s="539">
        <f t="shared" si="479"/>
        <v>111.68800744203493</v>
      </c>
      <c r="EN81" s="19">
        <f t="shared" si="480"/>
        <v>5.4739608118624172</v>
      </c>
      <c r="EO81" s="10">
        <f t="shared" si="481"/>
        <v>0.11766897703917491</v>
      </c>
      <c r="EP81" s="10">
        <f t="shared" si="482"/>
        <v>2.5185289822419894</v>
      </c>
      <c r="EQ81" s="539">
        <f t="shared" si="483"/>
        <v>117.16196825389736</v>
      </c>
      <c r="ER81" s="19">
        <f t="shared" si="484"/>
        <v>5.7422460795117365</v>
      </c>
      <c r="ES81" s="10">
        <f t="shared" si="485"/>
        <v>0.12343607221650335</v>
      </c>
      <c r="ET81" s="10">
        <f t="shared" si="486"/>
        <v>2.6419650544584927</v>
      </c>
      <c r="EU81" s="539">
        <f t="shared" si="487"/>
        <v>122.90421433340909</v>
      </c>
      <c r="EV81" s="19">
        <f t="shared" si="488"/>
        <v>6.0236803241653645</v>
      </c>
      <c r="EW81" s="10">
        <f t="shared" si="489"/>
        <v>0.12948581952204136</v>
      </c>
      <c r="EX81" s="10">
        <f t="shared" si="490"/>
        <v>2.7714508739805339</v>
      </c>
      <c r="EY81" s="539">
        <f t="shared" si="491"/>
        <v>128.92789465757446</v>
      </c>
      <c r="EZ81" s="19">
        <f t="shared" si="492"/>
        <v>6.3189079926756184</v>
      </c>
      <c r="FA81" s="10">
        <f t="shared" si="493"/>
        <v>0.13583207206955328</v>
      </c>
      <c r="FB81" s="10">
        <f t="shared" si="494"/>
        <v>2.9072829460500871</v>
      </c>
      <c r="FC81" s="539">
        <f t="shared" si="495"/>
        <v>135.24680265025006</v>
      </c>
      <c r="FD81" s="19">
        <f t="shared" si="496"/>
        <v>6.6286051169941995</v>
      </c>
      <c r="FE81" s="10">
        <f t="shared" si="497"/>
        <v>0.14248936193022785</v>
      </c>
      <c r="FF81" s="10">
        <f t="shared" si="498"/>
        <v>3.049772307980315</v>
      </c>
      <c r="FG81" s="539">
        <f t="shared" si="499"/>
        <v>141.87540776724427</v>
      </c>
      <c r="FH81" s="19">
        <f t="shared" si="500"/>
        <v>6.9534808621951187</v>
      </c>
      <c r="FI81" s="10">
        <f t="shared" si="501"/>
        <v>0.14947293340918139</v>
      </c>
      <c r="FJ81" s="10">
        <f t="shared" si="502"/>
        <v>3.1992452413894963</v>
      </c>
      <c r="FK81" s="539">
        <f t="shared" si="503"/>
        <v>148.82888862943938</v>
      </c>
      <c r="FL81" s="19">
        <f t="shared" si="504"/>
        <v>7.2942791503680526</v>
      </c>
      <c r="FM81" s="10">
        <f t="shared" si="505"/>
        <v>0.15679877795288161</v>
      </c>
      <c r="FN81" s="10">
        <f t="shared" si="506"/>
        <v>3.3560440193423777</v>
      </c>
      <c r="FO81" s="539">
        <f t="shared" si="507"/>
        <v>156.12316777980743</v>
      </c>
      <c r="FP81" s="19">
        <f t="shared" si="508"/>
        <v>7.6517803641006221</v>
      </c>
      <c r="FQ81" s="10">
        <f t="shared" si="509"/>
        <v>0.16448367076742523</v>
      </c>
      <c r="FR81" s="10">
        <f t="shared" si="510"/>
        <v>3.520527690109803</v>
      </c>
      <c r="FS81" s="539">
        <f t="shared" si="511"/>
        <v>163.77494814390806</v>
      </c>
      <c r="FT81" s="19">
        <f t="shared" si="512"/>
        <v>8.0268031334503522</v>
      </c>
      <c r="FU81" s="10">
        <f t="shared" si="513"/>
        <v>0.17254520923152089</v>
      </c>
      <c r="FV81" s="10">
        <f t="shared" si="514"/>
        <v>3.693072899341324</v>
      </c>
      <c r="FW81" s="539">
        <f t="shared" si="515"/>
        <v>171.80175127735839</v>
      </c>
      <c r="FX81" s="19">
        <f t="shared" si="516"/>
        <v>8.42020621049822</v>
      </c>
      <c r="FY81" s="10">
        <f t="shared" si="517"/>
        <v>0.18100185319213713</v>
      </c>
      <c r="FZ81" s="10">
        <f t="shared" si="518"/>
        <v>3.8740747525334611</v>
      </c>
      <c r="GA81" s="539">
        <f t="shared" si="519"/>
        <v>180.22195748785663</v>
      </c>
      <c r="GB81" s="19">
        <f t="shared" si="520"/>
        <v>8.8328904357762923</v>
      </c>
      <c r="GC81" s="10">
        <f t="shared" si="521"/>
        <v>0.18987296723508795</v>
      </c>
      <c r="GD81" s="10">
        <f t="shared" si="522"/>
        <v>4.0639477197685494</v>
      </c>
      <c r="GE81" s="539">
        <f t="shared" si="523"/>
        <v>189.05484792363293</v>
      </c>
      <c r="GF81" s="19">
        <f t="shared" si="524"/>
        <v>9.2658008010722934</v>
      </c>
      <c r="GG81" s="10">
        <f t="shared" si="525"/>
        <v>0.19917886502734938</v>
      </c>
      <c r="GH81" s="10">
        <f t="shared" si="526"/>
        <v>4.2631265847958986</v>
      </c>
      <c r="GI81" s="539">
        <f t="shared" si="527"/>
        <v>198.32064872470522</v>
      </c>
      <c r="GJ81" s="19">
        <f t="shared" si="528"/>
        <v>9.7199286133346501</v>
      </c>
      <c r="GK81" s="10">
        <f t="shared" si="529"/>
        <v>0.2089408558326451</v>
      </c>
      <c r="GL81" s="10">
        <f t="shared" si="530"/>
        <v>4.4720674406285434</v>
      </c>
      <c r="GM81" s="539">
        <f t="shared" si="531"/>
        <v>208.04057733803987</v>
      </c>
      <c r="GN81" s="19">
        <f t="shared" si="532"/>
        <v>10.19631376463308</v>
      </c>
      <c r="GO81" s="10">
        <f t="shared" si="533"/>
        <v>0.21918129330681599</v>
      </c>
      <c r="GP81" s="10">
        <f t="shared" si="534"/>
        <v>4.6912487339353595</v>
      </c>
      <c r="GQ81" s="539">
        <f t="shared" si="535"/>
        <v>218.23689110267293</v>
      </c>
      <c r="GR81" s="19">
        <f t="shared" si="536"/>
        <v>10.696047113372622</v>
      </c>
      <c r="GS81" s="10">
        <f t="shared" si="537"/>
        <v>0.22992362668470809</v>
      </c>
      <c r="GT81" s="10">
        <f t="shared" si="538"/>
        <v>4.9211723606200675</v>
      </c>
      <c r="GU81" s="539">
        <f t="shared" si="539"/>
        <v>228.93293821604556</v>
      </c>
      <c r="GV81" s="19">
        <f t="shared" si="540"/>
        <v>11.220272982213755</v>
      </c>
      <c r="GW81" s="10">
        <f t="shared" si="541"/>
        <v>0.24119245447579007</v>
      </c>
      <c r="GX81" s="10">
        <f t="shared" si="542"/>
        <v>5.1623648150958577</v>
      </c>
      <c r="GY81" s="539">
        <f t="shared" si="543"/>
        <v>240.15321119825933</v>
      </c>
      <c r="GZ81" s="19">
        <f t="shared" si="544"/>
        <v>11.770191778418557</v>
      </c>
      <c r="HA81" s="10">
        <f t="shared" si="545"/>
        <v>0.25301358079145647</v>
      </c>
      <c r="HB81" s="10">
        <f t="shared" si="546"/>
        <v>5.4153783958873145</v>
      </c>
      <c r="HC81" s="539">
        <f t="shared" si="547"/>
        <v>251.92340297667789</v>
      </c>
      <c r="HD81" s="19">
        <f t="shared" si="548"/>
        <v>12.347062742623079</v>
      </c>
      <c r="HE81" s="10">
        <f t="shared" si="549"/>
        <v>0.26541407443299825</v>
      </c>
      <c r="HF81" s="10">
        <f t="shared" si="550"/>
        <v>5.6807924703203128</v>
      </c>
      <c r="HG81" s="539">
        <f t="shared" si="551"/>
        <v>264.27046571930094</v>
      </c>
      <c r="HH81" s="19">
        <f t="shared" si="552"/>
        <v>12.952206832330315</v>
      </c>
      <c r="HI81" s="10">
        <f t="shared" si="553"/>
        <v>0.27842233087554419</v>
      </c>
      <c r="HJ81" s="10">
        <f t="shared" si="554"/>
        <v>5.9592148011958566</v>
      </c>
      <c r="HK81" s="539">
        <f t="shared" si="555"/>
        <v>277.22267255163126</v>
      </c>
      <c r="HL81" s="19">
        <f t="shared" si="556"/>
        <v>13.587009746726554</v>
      </c>
      <c r="HM81" s="10">
        <f t="shared" si="557"/>
        <v>0.29206813728990871</v>
      </c>
      <c r="HN81" s="10">
        <f t="shared" si="558"/>
        <v>6.2512829384857653</v>
      </c>
      <c r="HO81" s="539">
        <f t="shared" si="559"/>
        <v>290.80968229835781</v>
      </c>
      <c r="HP81" s="19">
        <f t="shared" si="560"/>
        <v>14.252925099747547</v>
      </c>
      <c r="HQ81" s="10">
        <f t="shared" si="561"/>
        <v>0.306382740751237</v>
      </c>
      <c r="HR81" s="10">
        <f t="shared" si="562"/>
        <v>6.5576656792370027</v>
      </c>
      <c r="HS81" s="539">
        <f t="shared" si="563"/>
        <v>305.0626073981054</v>
      </c>
      <c r="HT81" s="19">
        <f t="shared" si="564"/>
        <v>14.951477748660368</v>
      </c>
      <c r="HU81" s="10">
        <f t="shared" si="565"/>
        <v>0.32139891979063556</v>
      </c>
      <c r="HV81" s="10">
        <f t="shared" si="566"/>
        <v>6.8790645990276387</v>
      </c>
      <c r="HW81" s="539">
        <f t="shared" si="567"/>
        <v>320.01408514676575</v>
      </c>
      <c r="HX81" s="19">
        <f t="shared" si="568"/>
        <v>15.684267285783019</v>
      </c>
      <c r="HY81" s="10">
        <f t="shared" si="569"/>
        <v>0.33715105945363322</v>
      </c>
      <c r="HZ81" s="10">
        <f t="shared" si="570"/>
        <v>7.2162156584812722</v>
      </c>
      <c r="IA81" s="539">
        <f t="shared" si="571"/>
        <v>335.6983524325488</v>
      </c>
      <c r="IB81" s="19">
        <f t="shared" si="572"/>
        <v>16.452971701337301</v>
      </c>
      <c r="IP81" s="11">
        <v>40</v>
      </c>
      <c r="IQ81" s="19">
        <f t="shared" si="358"/>
        <v>191.44803650914764</v>
      </c>
      <c r="IR81" s="20">
        <f t="shared" si="620"/>
        <v>4.2300306115455379</v>
      </c>
    </row>
    <row r="82" spans="1:252">
      <c r="A82" s="11"/>
      <c r="B82" s="20"/>
      <c r="C82" s="826" t="s">
        <v>2342</v>
      </c>
      <c r="D82" s="47" t="s">
        <v>319</v>
      </c>
      <c r="E82" s="396">
        <f t="shared" si="600"/>
        <v>10.1435</v>
      </c>
      <c r="F82" s="242">
        <v>2.1435</v>
      </c>
      <c r="G82" s="48">
        <f>'Update Stock Prices'!S82</f>
        <v>53439298.4379282</v>
      </c>
      <c r="H82" s="991">
        <f t="shared" si="610"/>
        <v>4.0110930769230766E-8</v>
      </c>
      <c r="I82" s="49">
        <f>'Update Stock Prices'!D82</f>
        <v>36.49</v>
      </c>
      <c r="J82" s="49">
        <f t="shared" si="404"/>
        <v>78.216315000000009</v>
      </c>
      <c r="K82" s="30">
        <v>60.81</v>
      </c>
      <c r="L82" s="49">
        <f t="shared" si="611"/>
        <v>17.406315000000006</v>
      </c>
      <c r="M82" s="50">
        <f t="shared" si="613"/>
        <v>0.28624099654662072</v>
      </c>
      <c r="N82" s="49">
        <f>K82/F82</f>
        <v>28.369489153254026</v>
      </c>
      <c r="O82" s="48">
        <f t="shared" si="601"/>
        <v>8</v>
      </c>
      <c r="P82" s="49">
        <f>IF(($B$11-$B$12)-(O82*I82)&lt;0,0,($B$11-$B$12)-(O82*I82))</f>
        <v>29.089999999999975</v>
      </c>
      <c r="Q82" s="30">
        <v>2.7250000000000001</v>
      </c>
      <c r="R82" s="49">
        <f t="shared" si="242"/>
        <v>1.599188911704312E-2</v>
      </c>
      <c r="S82" s="49">
        <f t="shared" si="603"/>
        <v>5.8410374999999997</v>
      </c>
      <c r="T82" s="49">
        <f t="shared" si="399"/>
        <v>0.48675312499999995</v>
      </c>
      <c r="U82" s="49" t="s">
        <v>56</v>
      </c>
      <c r="V82" s="50">
        <f t="shared" si="604"/>
        <v>7.4677993970950943E-2</v>
      </c>
      <c r="W82" s="50">
        <f t="shared" si="575"/>
        <v>9.6053897385298459E-2</v>
      </c>
      <c r="X82" s="49">
        <f>12*((E82*Q82)/12-T82)</f>
        <v>21.800000000000004</v>
      </c>
      <c r="Y82" s="49">
        <f t="shared" si="654"/>
        <v>0.48675312499999995</v>
      </c>
      <c r="Z82" s="860">
        <f t="shared" si="605"/>
        <v>0</v>
      </c>
      <c r="AA82" s="860">
        <f t="shared" si="606"/>
        <v>158.54640825688077</v>
      </c>
      <c r="AB82" s="49">
        <f t="shared" si="607"/>
        <v>5785.3584372935793</v>
      </c>
      <c r="AC82" s="48">
        <v>1</v>
      </c>
      <c r="AD82" s="47" t="str">
        <f t="shared" si="608"/>
        <v>MAIN</v>
      </c>
      <c r="AE82" s="49">
        <f t="shared" si="609"/>
        <v>78.216315000000009</v>
      </c>
      <c r="AF82" s="50" t="e">
        <f t="shared" si="405"/>
        <v>#REF!</v>
      </c>
      <c r="AG82" s="890" t="e">
        <f t="shared" si="599"/>
        <v>#REF!</v>
      </c>
      <c r="AH82" s="207" t="s">
        <v>320</v>
      </c>
      <c r="AI82" s="240">
        <f t="shared" si="406"/>
        <v>1.388810638906988E-2</v>
      </c>
      <c r="AJ82" s="11">
        <f t="shared" si="595"/>
        <v>4</v>
      </c>
      <c r="AK82" s="11"/>
      <c r="AL82" s="11"/>
      <c r="AM82" s="11"/>
      <c r="AN82" s="11"/>
      <c r="AO82" s="11"/>
      <c r="AP82" s="11"/>
      <c r="AQ82" s="11" t="str">
        <f>'Update Stock Prices'!Q82</f>
        <v>small</v>
      </c>
      <c r="AR82" s="11"/>
      <c r="AS82" s="11"/>
      <c r="AT82" s="16">
        <f t="shared" si="647"/>
        <v>2.5423604960082384E-3</v>
      </c>
      <c r="AU82" s="224" t="s">
        <v>2213</v>
      </c>
      <c r="AV82" s="19">
        <f>SUM(AE182:AE183)</f>
        <v>181.797283849</v>
      </c>
      <c r="AW82" s="15" t="e">
        <f t="shared" si="648"/>
        <v>#REF!</v>
      </c>
      <c r="AX82" s="19">
        <v>179.98249198409997</v>
      </c>
      <c r="AY82" s="15">
        <v>6.4135125648404772E-4</v>
      </c>
      <c r="AZ82" s="19">
        <f t="shared" si="651"/>
        <v>1.8147918649000303</v>
      </c>
      <c r="BA82" s="15">
        <f t="shared" si="652"/>
        <v>1.0083157783260124E-2</v>
      </c>
      <c r="BB82" s="516">
        <v>0</v>
      </c>
      <c r="BC82" s="234">
        <f t="shared" si="653"/>
        <v>181.797283849</v>
      </c>
      <c r="BD82" s="225">
        <f>SUM(AA214,AA248)</f>
        <v>1145.1688826439997</v>
      </c>
      <c r="BE82" s="640"/>
      <c r="BF82" s="176"/>
      <c r="BH82" s="225">
        <f ca="1">BD82/BI82</f>
        <v>286.29222066099993</v>
      </c>
      <c r="BI82" s="1029">
        <f ca="1">YEAR(TODAY())-2013</f>
        <v>4</v>
      </c>
      <c r="BJ82" s="1452"/>
      <c r="BK82" s="19"/>
      <c r="BL82" s="1307"/>
      <c r="BM82" s="19"/>
      <c r="BN82" s="19"/>
      <c r="BO82" s="19"/>
      <c r="BP82" s="19"/>
      <c r="BS82" s="420" t="str">
        <f t="shared" si="407"/>
        <v>MAIN</v>
      </c>
      <c r="BT82" s="425">
        <f t="shared" si="408"/>
        <v>2.1435</v>
      </c>
      <c r="BU82" s="19">
        <f t="shared" si="409"/>
        <v>36.49</v>
      </c>
      <c r="BV82" s="19">
        <f t="shared" si="410"/>
        <v>78.216315000000009</v>
      </c>
      <c r="BW82" s="539">
        <f t="shared" si="411"/>
        <v>2.7250000000000001</v>
      </c>
      <c r="BX82" s="19">
        <f t="shared" si="412"/>
        <v>5.8410374999999997</v>
      </c>
      <c r="BY82" s="10">
        <f t="shared" si="413"/>
        <v>0.16007228007673333</v>
      </c>
      <c r="BZ82" s="10">
        <f t="shared" si="414"/>
        <v>2.3035722800767333</v>
      </c>
      <c r="CA82" s="539">
        <f t="shared" si="415"/>
        <v>84.057352500000007</v>
      </c>
      <c r="CB82" s="19">
        <f t="shared" si="416"/>
        <v>6.2772344632090986</v>
      </c>
      <c r="CC82" s="10">
        <f t="shared" si="417"/>
        <v>0.17202615684322001</v>
      </c>
      <c r="CD82" s="10">
        <f t="shared" si="418"/>
        <v>2.4755984369199533</v>
      </c>
      <c r="CE82" s="539">
        <f t="shared" si="419"/>
        <v>90.334586963209105</v>
      </c>
      <c r="CF82" s="19">
        <f t="shared" si="420"/>
        <v>6.746005740606873</v>
      </c>
      <c r="CG82" s="10">
        <f t="shared" si="421"/>
        <v>0.18487272514680386</v>
      </c>
      <c r="CH82" s="10">
        <f t="shared" si="422"/>
        <v>2.6604711620667572</v>
      </c>
      <c r="CI82" s="539">
        <f t="shared" si="423"/>
        <v>97.080592703815981</v>
      </c>
      <c r="CJ82" s="19">
        <f t="shared" si="424"/>
        <v>7.2497839166319133</v>
      </c>
      <c r="CK82" s="10">
        <f t="shared" si="425"/>
        <v>0.19867864940071014</v>
      </c>
      <c r="CL82" s="10">
        <f t="shared" si="426"/>
        <v>2.8591498114674674</v>
      </c>
      <c r="CM82" s="539">
        <f t="shared" si="427"/>
        <v>104.33037662044789</v>
      </c>
      <c r="CN82" s="19">
        <f t="shared" si="428"/>
        <v>7.7911832362488491</v>
      </c>
      <c r="CO82" s="10">
        <f t="shared" si="429"/>
        <v>0.21351557238281307</v>
      </c>
      <c r="CP82" s="10">
        <f t="shared" si="430"/>
        <v>3.0726653838502807</v>
      </c>
      <c r="CQ82" s="539">
        <f t="shared" si="431"/>
        <v>112.12155985669675</v>
      </c>
      <c r="CR82" s="19">
        <f t="shared" si="432"/>
        <v>8.3730131709920155</v>
      </c>
      <c r="CS82" s="10">
        <f t="shared" si="433"/>
        <v>0.22946048700992094</v>
      </c>
      <c r="CT82" s="10">
        <f t="shared" si="434"/>
        <v>3.3021258708602015</v>
      </c>
      <c r="CU82" s="539">
        <f t="shared" si="435"/>
        <v>120.49457302768876</v>
      </c>
      <c r="CV82" s="19">
        <f t="shared" si="436"/>
        <v>8.9982929980940494</v>
      </c>
      <c r="CW82" s="10">
        <f t="shared" si="437"/>
        <v>0.24659613587541926</v>
      </c>
      <c r="CX82" s="10">
        <f t="shared" si="438"/>
        <v>3.5487220067356207</v>
      </c>
      <c r="CY82" s="539">
        <f t="shared" si="439"/>
        <v>129.4928660257828</v>
      </c>
      <c r="CZ82" s="19">
        <f t="shared" si="440"/>
        <v>9.6702674683545666</v>
      </c>
      <c r="DA82" s="10">
        <f t="shared" si="441"/>
        <v>0.26501144062358362</v>
      </c>
      <c r="DB82" s="10">
        <f t="shared" si="442"/>
        <v>3.8137334473592044</v>
      </c>
      <c r="DC82" s="539">
        <f t="shared" si="443"/>
        <v>139.16313349413738</v>
      </c>
      <c r="DD82" s="19">
        <f t="shared" si="444"/>
        <v>10.392423644053832</v>
      </c>
      <c r="DE82" s="10">
        <f t="shared" si="445"/>
        <v>0.28480196338870462</v>
      </c>
      <c r="DF82" s="10">
        <f t="shared" si="446"/>
        <v>4.0985354107479086</v>
      </c>
      <c r="DG82" s="539">
        <f t="shared" si="447"/>
        <v>149.5555571381912</v>
      </c>
      <c r="DH82" s="19">
        <f t="shared" si="448"/>
        <v>11.168508994288052</v>
      </c>
      <c r="DI82" s="10">
        <f t="shared" si="449"/>
        <v>0.30607040269356128</v>
      </c>
      <c r="DJ82" s="10">
        <f t="shared" si="450"/>
        <v>4.4046058134414698</v>
      </c>
      <c r="DK82" s="539">
        <f t="shared" si="451"/>
        <v>160.72406613247924</v>
      </c>
      <c r="DL82" s="19">
        <f t="shared" si="452"/>
        <v>12.002550841628006</v>
      </c>
      <c r="DM82" s="10">
        <f t="shared" si="453"/>
        <v>0.32892712638059757</v>
      </c>
      <c r="DN82" s="10">
        <f t="shared" si="454"/>
        <v>4.7335329398220676</v>
      </c>
      <c r="DO82" s="539">
        <f t="shared" si="455"/>
        <v>172.72661697410726</v>
      </c>
      <c r="DP82" s="19">
        <f t="shared" si="456"/>
        <v>12.898877261015135</v>
      </c>
      <c r="DQ82" s="10">
        <f t="shared" si="457"/>
        <v>0.3534907443413301</v>
      </c>
      <c r="DR82" s="10">
        <f t="shared" si="458"/>
        <v>5.0870236841633973</v>
      </c>
      <c r="DS82" s="539">
        <f t="shared" si="459"/>
        <v>185.62549423512237</v>
      </c>
      <c r="DT82" s="19">
        <f t="shared" si="460"/>
        <v>13.862139539345257</v>
      </c>
      <c r="DU82" s="10">
        <f t="shared" si="461"/>
        <v>0.37988872401603885</v>
      </c>
      <c r="DV82" s="10">
        <f t="shared" si="462"/>
        <v>5.4669124081794358</v>
      </c>
      <c r="DW82" s="539">
        <f t="shared" si="463"/>
        <v>199.48763377446761</v>
      </c>
      <c r="DX82" s="19">
        <f t="shared" si="464"/>
        <v>14.897336312288964</v>
      </c>
      <c r="DY82" s="10">
        <f t="shared" si="465"/>
        <v>0.40825805185774083</v>
      </c>
      <c r="DZ82" s="10">
        <f t="shared" si="466"/>
        <v>5.875170460037177</v>
      </c>
      <c r="EA82" s="539">
        <f t="shared" si="467"/>
        <v>214.3849700867566</v>
      </c>
      <c r="EB82" s="19">
        <f t="shared" si="468"/>
        <v>16.009839503601309</v>
      </c>
      <c r="EC82" s="10">
        <f t="shared" si="469"/>
        <v>0.43874594419296542</v>
      </c>
      <c r="ED82" s="10">
        <f t="shared" si="470"/>
        <v>6.3139164042301426</v>
      </c>
      <c r="EE82" s="539">
        <f t="shared" si="471"/>
        <v>230.39480959035791</v>
      </c>
      <c r="EF82" s="19">
        <f t="shared" si="472"/>
        <v>17.205422201527139</v>
      </c>
      <c r="EG82" s="10">
        <f t="shared" si="473"/>
        <v>0.47151061116818682</v>
      </c>
      <c r="EH82" s="10">
        <f t="shared" si="474"/>
        <v>6.7854270153983292</v>
      </c>
      <c r="EI82" s="539">
        <f t="shared" si="475"/>
        <v>247.60023179188505</v>
      </c>
      <c r="EJ82" s="19">
        <f t="shared" si="476"/>
        <v>18.490288616960449</v>
      </c>
      <c r="EK82" s="10">
        <f t="shared" si="477"/>
        <v>0.50672207774624412</v>
      </c>
      <c r="EL82" s="10">
        <f t="shared" si="478"/>
        <v>7.2921490931445732</v>
      </c>
      <c r="EM82" s="539">
        <f t="shared" si="479"/>
        <v>266.09052040884546</v>
      </c>
      <c r="EN82" s="19">
        <f t="shared" si="480"/>
        <v>19.871106278818964</v>
      </c>
      <c r="EO82" s="10">
        <f t="shared" si="481"/>
        <v>0.54456306601312587</v>
      </c>
      <c r="EP82" s="10">
        <f t="shared" si="482"/>
        <v>7.8367121591576989</v>
      </c>
      <c r="EQ82" s="539">
        <f t="shared" si="483"/>
        <v>285.96162668766448</v>
      </c>
      <c r="ER82" s="19">
        <f t="shared" si="484"/>
        <v>21.355040633704728</v>
      </c>
      <c r="ES82" s="10">
        <f t="shared" si="485"/>
        <v>0.58522994337365652</v>
      </c>
      <c r="ET82" s="10">
        <f t="shared" si="486"/>
        <v>8.4219421025313554</v>
      </c>
      <c r="EU82" s="539">
        <f t="shared" si="487"/>
        <v>307.31666732136915</v>
      </c>
      <c r="EV82" s="19">
        <f t="shared" si="488"/>
        <v>22.949792229397943</v>
      </c>
      <c r="EW82" s="10">
        <f t="shared" si="489"/>
        <v>0.62893374155653448</v>
      </c>
      <c r="EX82" s="10">
        <f t="shared" si="490"/>
        <v>9.0508758440878907</v>
      </c>
      <c r="EY82" s="539">
        <f t="shared" si="491"/>
        <v>330.26645955076714</v>
      </c>
      <c r="EZ82" s="19">
        <f t="shared" si="492"/>
        <v>24.663636675139504</v>
      </c>
      <c r="FA82" s="10">
        <f t="shared" si="493"/>
        <v>0.67590125171662108</v>
      </c>
      <c r="FB82" s="10">
        <f t="shared" si="494"/>
        <v>9.7267770958045112</v>
      </c>
      <c r="FC82" s="539">
        <f t="shared" si="495"/>
        <v>354.93009622590665</v>
      </c>
      <c r="FD82" s="19">
        <f t="shared" si="496"/>
        <v>26.505467586067294</v>
      </c>
      <c r="FE82" s="10">
        <f t="shared" si="497"/>
        <v>0.72637620131727298</v>
      </c>
      <c r="FF82" s="10">
        <f t="shared" si="498"/>
        <v>10.453153297121784</v>
      </c>
      <c r="FG82" s="539">
        <f t="shared" si="499"/>
        <v>381.43556381197391</v>
      </c>
      <c r="FH82" s="19">
        <f t="shared" si="500"/>
        <v>28.484842734656862</v>
      </c>
      <c r="FI82" s="10">
        <f t="shared" si="501"/>
        <v>0.7806205188998866</v>
      </c>
      <c r="FJ82" s="10">
        <f t="shared" si="502"/>
        <v>11.233773816021671</v>
      </c>
      <c r="FK82" s="539">
        <f t="shared" si="503"/>
        <v>409.92040654663077</v>
      </c>
      <c r="FL82" s="19">
        <f t="shared" si="504"/>
        <v>30.612033648659054</v>
      </c>
      <c r="FM82" s="10">
        <f t="shared" si="505"/>
        <v>0.83891569330389293</v>
      </c>
      <c r="FN82" s="10">
        <f t="shared" si="506"/>
        <v>12.072689509325564</v>
      </c>
      <c r="FO82" s="539">
        <f t="shared" si="507"/>
        <v>440.53244019528984</v>
      </c>
      <c r="FP82" s="19">
        <f t="shared" si="508"/>
        <v>32.898078912912162</v>
      </c>
      <c r="FQ82" s="10">
        <f t="shared" si="509"/>
        <v>0.90156423439057709</v>
      </c>
      <c r="FR82" s="10">
        <f t="shared" si="510"/>
        <v>12.97425374371614</v>
      </c>
      <c r="FS82" s="539">
        <f t="shared" si="511"/>
        <v>473.43051910820196</v>
      </c>
      <c r="FT82" s="19">
        <f t="shared" si="512"/>
        <v>35.354841451626484</v>
      </c>
      <c r="FU82" s="10">
        <f t="shared" si="513"/>
        <v>0.96889124285082162</v>
      </c>
      <c r="FV82" s="10">
        <f t="shared" si="514"/>
        <v>13.943144986566962</v>
      </c>
      <c r="FW82" s="539">
        <f t="shared" si="515"/>
        <v>508.78536055982846</v>
      </c>
      <c r="FX82" s="19">
        <f t="shared" si="516"/>
        <v>37.995070088394975</v>
      </c>
      <c r="FY82" s="10">
        <f t="shared" si="517"/>
        <v>1.0412460972429425</v>
      </c>
      <c r="FZ82" s="10">
        <f t="shared" si="518"/>
        <v>14.984391083809903</v>
      </c>
      <c r="GA82" s="539">
        <f t="shared" si="519"/>
        <v>546.78043064822339</v>
      </c>
      <c r="GB82" s="19">
        <f t="shared" si="520"/>
        <v>40.832465703381992</v>
      </c>
      <c r="GC82" s="10">
        <f t="shared" si="521"/>
        <v>1.1190042670151272</v>
      </c>
      <c r="GD82" s="10">
        <f t="shared" si="522"/>
        <v>16.103395350825032</v>
      </c>
      <c r="GE82" s="539">
        <f t="shared" si="523"/>
        <v>587.6128963516054</v>
      </c>
      <c r="GF82" s="19">
        <f t="shared" si="524"/>
        <v>43.881752330998211</v>
      </c>
      <c r="GG82" s="10">
        <f t="shared" si="525"/>
        <v>1.2025692609207512</v>
      </c>
      <c r="GH82" s="10">
        <f t="shared" si="526"/>
        <v>17.305964611745782</v>
      </c>
      <c r="GI82" s="539">
        <f t="shared" si="527"/>
        <v>631.49464868260361</v>
      </c>
      <c r="GJ82" s="19">
        <f t="shared" si="528"/>
        <v>47.15875356700726</v>
      </c>
      <c r="GK82" s="10">
        <f t="shared" si="529"/>
        <v>1.2923747209374419</v>
      </c>
      <c r="GL82" s="10">
        <f t="shared" si="530"/>
        <v>18.598339332683224</v>
      </c>
      <c r="GM82" s="539">
        <f t="shared" si="531"/>
        <v>678.65340224961085</v>
      </c>
      <c r="GN82" s="19">
        <f t="shared" si="532"/>
        <v>50.68047468156179</v>
      </c>
      <c r="GO82" s="10">
        <f t="shared" si="533"/>
        <v>1.3888866725558178</v>
      </c>
      <c r="GP82" s="10">
        <f t="shared" si="534"/>
        <v>19.987226005239041</v>
      </c>
      <c r="GQ82" s="539">
        <f t="shared" si="535"/>
        <v>729.33387693117265</v>
      </c>
      <c r="GR82" s="19">
        <f t="shared" si="536"/>
        <v>54.465190864276387</v>
      </c>
      <c r="GS82" s="10">
        <f t="shared" si="537"/>
        <v>1.4926059431152749</v>
      </c>
      <c r="GT82" s="10">
        <f t="shared" si="538"/>
        <v>21.479831948354317</v>
      </c>
      <c r="GU82" s="539">
        <f t="shared" si="539"/>
        <v>783.7990677954491</v>
      </c>
      <c r="GV82" s="19">
        <f t="shared" si="540"/>
        <v>58.532542059265516</v>
      </c>
      <c r="GW82" s="10">
        <f t="shared" si="541"/>
        <v>1.6040707607362432</v>
      </c>
      <c r="GX82" s="10">
        <f t="shared" si="542"/>
        <v>23.083902709090559</v>
      </c>
      <c r="GY82" s="539">
        <f t="shared" si="543"/>
        <v>842.33160985471454</v>
      </c>
      <c r="GZ82" s="19">
        <f t="shared" si="544"/>
        <v>62.903634882271774</v>
      </c>
      <c r="HA82" s="10">
        <f t="shared" si="545"/>
        <v>1.723859547335483</v>
      </c>
      <c r="HB82" s="10">
        <f t="shared" si="546"/>
        <v>24.807762256426042</v>
      </c>
      <c r="HC82" s="539">
        <f t="shared" si="547"/>
        <v>905.23524473698626</v>
      </c>
      <c r="HD82" s="19">
        <f t="shared" si="548"/>
        <v>67.60115214876096</v>
      </c>
      <c r="HE82" s="10">
        <f t="shared" si="549"/>
        <v>1.8525939202181683</v>
      </c>
      <c r="HF82" s="10">
        <f t="shared" si="550"/>
        <v>26.660356176644211</v>
      </c>
      <c r="HG82" s="539">
        <f t="shared" si="551"/>
        <v>972.83639688574726</v>
      </c>
      <c r="HH82" s="19">
        <f t="shared" si="552"/>
        <v>72.649470581355473</v>
      </c>
      <c r="HI82" s="10">
        <f t="shared" si="553"/>
        <v>1.9909419178228411</v>
      </c>
      <c r="HJ82" s="10">
        <f t="shared" si="554"/>
        <v>28.651298094467052</v>
      </c>
      <c r="HK82" s="539">
        <f t="shared" si="555"/>
        <v>1045.4858674671027</v>
      </c>
      <c r="HL82" s="19">
        <f t="shared" si="556"/>
        <v>78.074787307422724</v>
      </c>
      <c r="HM82" s="10">
        <f t="shared" si="557"/>
        <v>2.1396214663585291</v>
      </c>
      <c r="HN82" s="10">
        <f t="shared" si="558"/>
        <v>30.790919560825582</v>
      </c>
      <c r="HO82" s="539">
        <f t="shared" si="559"/>
        <v>1123.5606547745256</v>
      </c>
      <c r="HP82" s="19">
        <f t="shared" si="560"/>
        <v>83.905255803249716</v>
      </c>
      <c r="HQ82" s="10">
        <f t="shared" si="561"/>
        <v>2.2994041053233683</v>
      </c>
      <c r="HR82" s="10">
        <f t="shared" si="562"/>
        <v>33.090323666148947</v>
      </c>
      <c r="HS82" s="539">
        <f t="shared" si="563"/>
        <v>1207.465910577775</v>
      </c>
      <c r="HT82" s="19">
        <f t="shared" si="564"/>
        <v>90.171131990255887</v>
      </c>
      <c r="HU82" s="10">
        <f t="shared" si="565"/>
        <v>2.4711189912374865</v>
      </c>
      <c r="HV82" s="10">
        <f t="shared" si="566"/>
        <v>35.561442657386436</v>
      </c>
      <c r="HW82" s="539">
        <f t="shared" si="567"/>
        <v>1297.6370425680311</v>
      </c>
      <c r="HX82" s="19">
        <f t="shared" si="568"/>
        <v>96.904931241378037</v>
      </c>
      <c r="HY82" s="10">
        <f t="shared" si="569"/>
        <v>2.6556572003666217</v>
      </c>
      <c r="HZ82" s="10">
        <f t="shared" si="570"/>
        <v>38.217099857753055</v>
      </c>
      <c r="IA82" s="539">
        <f t="shared" si="571"/>
        <v>1394.541973809409</v>
      </c>
      <c r="IB82" s="19">
        <f t="shared" si="572"/>
        <v>104.14159711237708</v>
      </c>
      <c r="IP82" s="11">
        <v>41</v>
      </c>
      <c r="IQ82" s="19">
        <f t="shared" si="358"/>
        <v>206.76387942987947</v>
      </c>
      <c r="IR82" s="20">
        <f t="shared" si="620"/>
        <v>4.1531209640628921</v>
      </c>
    </row>
    <row r="83" spans="1:252">
      <c r="A83" s="11"/>
      <c r="B83" s="20"/>
      <c r="C83" s="826" t="s">
        <v>2346</v>
      </c>
      <c r="D83" s="47" t="s">
        <v>1127</v>
      </c>
      <c r="E83" s="396">
        <f t="shared" si="600"/>
        <v>3.0324999999999998</v>
      </c>
      <c r="F83" s="242">
        <v>1.0325</v>
      </c>
      <c r="G83" s="48">
        <f>'Update Stock Prices'!S83</f>
        <v>837330972.31165493</v>
      </c>
      <c r="H83" s="991">
        <f t="shared" si="610"/>
        <v>1.2330846871094875E-9</v>
      </c>
      <c r="I83" s="49">
        <f>'Update Stock Prices'!D83</f>
        <v>124.24</v>
      </c>
      <c r="J83" s="49">
        <f t="shared" si="404"/>
        <v>128.27779999999998</v>
      </c>
      <c r="K83" s="30">
        <v>97.75</v>
      </c>
      <c r="L83" s="49">
        <f t="shared" si="611"/>
        <v>30.527799999999985</v>
      </c>
      <c r="M83" s="50">
        <f t="shared" si="613"/>
        <v>0.31230485933503821</v>
      </c>
      <c r="N83" s="49">
        <f t="shared" si="612"/>
        <v>94.673123486682812</v>
      </c>
      <c r="O83" s="48">
        <f t="shared" si="601"/>
        <v>2</v>
      </c>
      <c r="P83" s="49">
        <f t="shared" si="602"/>
        <v>72.53</v>
      </c>
      <c r="Q83" s="30">
        <f>0.94*4</f>
        <v>3.76</v>
      </c>
      <c r="R83" s="49">
        <f t="shared" ref="R83" si="655">S83/365.25</f>
        <v>1.0628884325804243E-2</v>
      </c>
      <c r="S83" s="49">
        <f t="shared" si="603"/>
        <v>3.8821999999999997</v>
      </c>
      <c r="T83" s="49">
        <f t="shared" ref="T83" si="656">S83/12</f>
        <v>0.32351666666666662</v>
      </c>
      <c r="U83" s="49" t="s">
        <v>54</v>
      </c>
      <c r="V83" s="50">
        <f t="shared" si="604"/>
        <v>3.0264005151320026E-2</v>
      </c>
      <c r="W83" s="50">
        <f t="shared" si="575"/>
        <v>3.9715601023017896E-2</v>
      </c>
      <c r="X83" s="49">
        <f t="shared" si="618"/>
        <v>7.5200000000000005</v>
      </c>
      <c r="Y83" s="49">
        <f t="shared" si="654"/>
        <v>0.9705499999999998</v>
      </c>
      <c r="Z83" s="860">
        <f t="shared" si="605"/>
        <v>0</v>
      </c>
      <c r="AA83" s="860">
        <f t="shared" si="606"/>
        <v>131.13771276595747</v>
      </c>
      <c r="AB83" s="49">
        <f t="shared" si="607"/>
        <v>16292.549434042556</v>
      </c>
      <c r="AC83" s="48">
        <v>1</v>
      </c>
      <c r="AD83" s="47" t="str">
        <f t="shared" si="608"/>
        <v>MCD</v>
      </c>
      <c r="AE83" s="49">
        <f t="shared" si="609"/>
        <v>128.27779999999998</v>
      </c>
      <c r="AF83" s="50" t="e">
        <f t="shared" si="405"/>
        <v>#REF!</v>
      </c>
      <c r="AG83" s="890" t="e">
        <f t="shared" si="599"/>
        <v>#REF!</v>
      </c>
      <c r="AH83" s="207" t="s">
        <v>1133</v>
      </c>
      <c r="AI83" s="240">
        <f t="shared" si="406"/>
        <v>3.7355223433723057E-2</v>
      </c>
      <c r="AJ83" s="11">
        <f t="shared" si="595"/>
        <v>3</v>
      </c>
      <c r="AK83" s="11">
        <v>1</v>
      </c>
      <c r="AL83" s="11"/>
      <c r="AM83" s="11"/>
      <c r="AN83" s="11"/>
      <c r="AO83" s="11">
        <v>1</v>
      </c>
      <c r="AP83" s="11"/>
      <c r="AQ83" s="11" t="str">
        <f>'Update Stock Prices'!Q83</f>
        <v>mega</v>
      </c>
      <c r="AR83" s="11"/>
      <c r="AS83" s="11"/>
      <c r="AT83" s="16">
        <f t="shared" si="647"/>
        <v>0.30424853245711486</v>
      </c>
      <c r="AU83" s="224" t="s">
        <v>407</v>
      </c>
      <c r="AV83" s="19">
        <f>SUM(AE187:AE190)</f>
        <v>21755.985000000001</v>
      </c>
      <c r="AW83" s="15" t="e">
        <f t="shared" si="648"/>
        <v>#REF!</v>
      </c>
      <c r="AX83" s="19">
        <v>21736.898333333334</v>
      </c>
      <c r="AY83" s="15">
        <v>7.7457462136822253E-2</v>
      </c>
      <c r="AZ83" s="19">
        <f t="shared" si="651"/>
        <v>19.086666666666133</v>
      </c>
      <c r="BA83" s="15">
        <f t="shared" si="652"/>
        <v>8.7807682466807622E-4</v>
      </c>
      <c r="BB83" s="516">
        <v>0</v>
      </c>
      <c r="BC83" s="234">
        <f>(1-BB83)*AV83</f>
        <v>21755.985000000001</v>
      </c>
      <c r="BD83" s="225">
        <f>AV283</f>
        <v>0.55000000000000004</v>
      </c>
      <c r="BE83" s="640"/>
      <c r="BF83" s="176" t="s">
        <v>1877</v>
      </c>
      <c r="BH83" s="225"/>
      <c r="BI83" s="1029"/>
      <c r="BJ83" s="1452"/>
      <c r="BK83" s="19"/>
      <c r="BL83" s="1307"/>
      <c r="BM83" s="19"/>
      <c r="BN83" s="19"/>
      <c r="BO83" s="19"/>
      <c r="BP83" s="19"/>
      <c r="BS83" s="420" t="str">
        <f t="shared" si="407"/>
        <v>MCD</v>
      </c>
      <c r="BT83" s="425">
        <f t="shared" si="408"/>
        <v>1.0325</v>
      </c>
      <c r="BU83" s="19">
        <f t="shared" si="409"/>
        <v>124.24</v>
      </c>
      <c r="BV83" s="19">
        <f t="shared" si="410"/>
        <v>128.27779999999998</v>
      </c>
      <c r="BW83" s="539">
        <f t="shared" si="411"/>
        <v>3.76</v>
      </c>
      <c r="BX83" s="19">
        <f t="shared" si="412"/>
        <v>3.8821999999999997</v>
      </c>
      <c r="BY83" s="10">
        <f t="shared" si="413"/>
        <v>3.1247585318737926E-2</v>
      </c>
      <c r="BZ83" s="10">
        <f t="shared" si="414"/>
        <v>1.0637475853187379</v>
      </c>
      <c r="CA83" s="539">
        <f t="shared" si="415"/>
        <v>132.16</v>
      </c>
      <c r="CB83" s="19">
        <f t="shared" si="416"/>
        <v>3.9996909207984546</v>
      </c>
      <c r="CC83" s="10">
        <f t="shared" si="417"/>
        <v>3.2193262401790525E-2</v>
      </c>
      <c r="CD83" s="10">
        <f t="shared" si="418"/>
        <v>1.0959408477205284</v>
      </c>
      <c r="CE83" s="539">
        <f t="shared" si="419"/>
        <v>136.15969092079843</v>
      </c>
      <c r="CF83" s="19">
        <f t="shared" si="420"/>
        <v>4.1207375874291863</v>
      </c>
      <c r="CG83" s="10">
        <f t="shared" si="421"/>
        <v>3.3167559460956106E-2</v>
      </c>
      <c r="CH83" s="10">
        <f t="shared" si="422"/>
        <v>1.1291084071814845</v>
      </c>
      <c r="CI83" s="539">
        <f t="shared" si="423"/>
        <v>140.28042850822763</v>
      </c>
      <c r="CJ83" s="19">
        <f t="shared" si="424"/>
        <v>4.2454476110023815</v>
      </c>
      <c r="CK83" s="10">
        <f t="shared" si="425"/>
        <v>3.4171342651339198E-2</v>
      </c>
      <c r="CL83" s="10">
        <f t="shared" si="426"/>
        <v>1.1632797498328238</v>
      </c>
      <c r="CM83" s="539">
        <f t="shared" si="427"/>
        <v>144.52587611923002</v>
      </c>
      <c r="CN83" s="19">
        <f t="shared" si="428"/>
        <v>4.3739318593714174</v>
      </c>
      <c r="CO83" s="10">
        <f t="shared" si="429"/>
        <v>3.520550434136685E-2</v>
      </c>
      <c r="CP83" s="10">
        <f t="shared" si="430"/>
        <v>1.1984852541741906</v>
      </c>
      <c r="CQ83" s="539">
        <f t="shared" si="431"/>
        <v>148.89980797860144</v>
      </c>
      <c r="CR83" s="19">
        <f t="shared" si="432"/>
        <v>4.5063045556949568</v>
      </c>
      <c r="CS83" s="10">
        <f t="shared" si="433"/>
        <v>3.6270963906108795E-2</v>
      </c>
      <c r="CT83" s="10">
        <f t="shared" si="434"/>
        <v>1.2347562180802993</v>
      </c>
      <c r="CU83" s="539">
        <f t="shared" si="435"/>
        <v>153.4061125342964</v>
      </c>
      <c r="CV83" s="19">
        <f t="shared" si="436"/>
        <v>4.6426833799819249</v>
      </c>
      <c r="CW83" s="10">
        <f t="shared" si="437"/>
        <v>3.7368668544606611E-2</v>
      </c>
      <c r="CX83" s="10">
        <f t="shared" si="438"/>
        <v>1.272124886624906</v>
      </c>
      <c r="CY83" s="539">
        <f t="shared" si="439"/>
        <v>158.04879591427832</v>
      </c>
      <c r="CZ83" s="19">
        <f t="shared" si="440"/>
        <v>4.7831895737096461</v>
      </c>
      <c r="DA83" s="10">
        <f t="shared" si="441"/>
        <v>3.8499594121938555E-2</v>
      </c>
      <c r="DB83" s="10">
        <f t="shared" si="442"/>
        <v>1.3106244807468446</v>
      </c>
      <c r="DC83" s="539">
        <f t="shared" si="443"/>
        <v>162.83198548798796</v>
      </c>
      <c r="DD83" s="19">
        <f t="shared" si="444"/>
        <v>4.927948047608135</v>
      </c>
      <c r="DE83" s="10">
        <f t="shared" si="445"/>
        <v>3.9664746036768637E-2</v>
      </c>
      <c r="DF83" s="10">
        <f t="shared" si="446"/>
        <v>1.3502892267836133</v>
      </c>
      <c r="DG83" s="539">
        <f t="shared" si="447"/>
        <v>167.7599335355961</v>
      </c>
      <c r="DH83" s="19">
        <f t="shared" si="448"/>
        <v>5.0770874927063856</v>
      </c>
      <c r="DI83" s="10">
        <f t="shared" si="449"/>
        <v>4.0865160115151206E-2</v>
      </c>
      <c r="DJ83" s="10">
        <f t="shared" si="450"/>
        <v>1.3911543868987646</v>
      </c>
      <c r="DK83" s="539">
        <f t="shared" si="451"/>
        <v>172.8370210283025</v>
      </c>
      <c r="DL83" s="19">
        <f t="shared" si="452"/>
        <v>5.2307404947393543</v>
      </c>
      <c r="DM83" s="10">
        <f t="shared" si="453"/>
        <v>4.2101903531385661E-2</v>
      </c>
      <c r="DN83" s="10">
        <f t="shared" si="454"/>
        <v>1.4332562904301502</v>
      </c>
      <c r="DO83" s="539">
        <f t="shared" si="455"/>
        <v>178.06776152304187</v>
      </c>
      <c r="DP83" s="19">
        <f t="shared" si="456"/>
        <v>5.3890436520173646</v>
      </c>
      <c r="DQ83" s="10">
        <f t="shared" si="457"/>
        <v>4.33760757567399E-2</v>
      </c>
      <c r="DR83" s="10">
        <f t="shared" si="458"/>
        <v>1.4766323661868901</v>
      </c>
      <c r="DS83" s="539">
        <f t="shared" si="459"/>
        <v>183.45680517505923</v>
      </c>
      <c r="DT83" s="19">
        <f t="shared" si="460"/>
        <v>5.5521376968627063</v>
      </c>
      <c r="DU83" s="10">
        <f t="shared" si="461"/>
        <v>4.4688809536885921E-2</v>
      </c>
      <c r="DV83" s="10">
        <f t="shared" si="462"/>
        <v>1.5213211757237759</v>
      </c>
      <c r="DW83" s="539">
        <f t="shared" si="463"/>
        <v>189.0089428719219</v>
      </c>
      <c r="DX83" s="19">
        <f t="shared" si="464"/>
        <v>5.720167620721397</v>
      </c>
      <c r="DY83" s="10">
        <f t="shared" si="465"/>
        <v>4.6041271898916589E-2</v>
      </c>
      <c r="DZ83" s="10">
        <f t="shared" si="466"/>
        <v>1.5673624476226924</v>
      </c>
      <c r="EA83" s="539">
        <f t="shared" si="467"/>
        <v>194.72911049264329</v>
      </c>
      <c r="EB83" s="19">
        <f t="shared" si="468"/>
        <v>5.8932828030613233</v>
      </c>
      <c r="EC83" s="10">
        <f t="shared" si="469"/>
        <v>4.743466518883873E-2</v>
      </c>
      <c r="ED83" s="10">
        <f t="shared" si="470"/>
        <v>1.614797112811531</v>
      </c>
      <c r="EE83" s="539">
        <f t="shared" si="471"/>
        <v>200.6223932957046</v>
      </c>
      <c r="EF83" s="19">
        <f t="shared" si="472"/>
        <v>6.0716371441713566</v>
      </c>
      <c r="EG83" s="10">
        <f t="shared" si="473"/>
        <v>4.8870228140464884E-2</v>
      </c>
      <c r="EH83" s="10">
        <f t="shared" si="474"/>
        <v>1.663667340951996</v>
      </c>
      <c r="EI83" s="539">
        <f t="shared" si="475"/>
        <v>206.69403043987597</v>
      </c>
      <c r="EJ83" s="19">
        <f t="shared" si="476"/>
        <v>6.2553892019795043</v>
      </c>
      <c r="EK83" s="10">
        <f t="shared" si="477"/>
        <v>5.0349236976654096E-2</v>
      </c>
      <c r="EL83" s="10">
        <f t="shared" si="478"/>
        <v>1.71401657792865</v>
      </c>
      <c r="EM83" s="539">
        <f t="shared" si="479"/>
        <v>212.94941964185548</v>
      </c>
      <c r="EN83" s="19">
        <f t="shared" si="480"/>
        <v>6.4447023330117235</v>
      </c>
      <c r="EO83" s="10">
        <f t="shared" si="481"/>
        <v>5.1873006543880586E-2</v>
      </c>
      <c r="EP83" s="10">
        <f t="shared" si="482"/>
        <v>1.7658895844725306</v>
      </c>
      <c r="EQ83" s="539">
        <f t="shared" si="483"/>
        <v>219.3941219748672</v>
      </c>
      <c r="ER83" s="19">
        <f t="shared" si="484"/>
        <v>6.639744837616715</v>
      </c>
      <c r="ES83" s="10">
        <f t="shared" si="485"/>
        <v>5.3442891481139045E-2</v>
      </c>
      <c r="ET83" s="10">
        <f t="shared" si="486"/>
        <v>1.8193324759536698</v>
      </c>
      <c r="EU83" s="539">
        <f t="shared" si="487"/>
        <v>226.03386681248392</v>
      </c>
      <c r="EV83" s="19">
        <f t="shared" si="488"/>
        <v>6.8406901095857977</v>
      </c>
      <c r="EW83" s="10">
        <f t="shared" si="489"/>
        <v>5.5060287424225675E-2</v>
      </c>
      <c r="EX83" s="10">
        <f t="shared" si="490"/>
        <v>1.8743927633778954</v>
      </c>
      <c r="EY83" s="539">
        <f t="shared" si="491"/>
        <v>232.8745569220697</v>
      </c>
      <c r="EZ83" s="19">
        <f t="shared" si="492"/>
        <v>7.0477167903008864</v>
      </c>
      <c r="FA83" s="10">
        <f t="shared" si="493"/>
        <v>5.6726632246465604E-2</v>
      </c>
      <c r="FB83" s="10">
        <f t="shared" si="494"/>
        <v>1.9311193956243611</v>
      </c>
      <c r="FC83" s="539">
        <f t="shared" si="495"/>
        <v>239.92227371237061</v>
      </c>
      <c r="FD83" s="19">
        <f t="shared" si="496"/>
        <v>7.2610089275475973</v>
      </c>
      <c r="FE83" s="10">
        <f t="shared" si="497"/>
        <v>5.8443407336989675E-2</v>
      </c>
      <c r="FF83" s="10">
        <f t="shared" si="498"/>
        <v>1.9895628029613508</v>
      </c>
      <c r="FG83" s="539">
        <f t="shared" si="499"/>
        <v>247.18328263991822</v>
      </c>
      <c r="FH83" s="19">
        <f t="shared" si="500"/>
        <v>7.4807561391346784</v>
      </c>
      <c r="FI83" s="10">
        <f t="shared" si="501"/>
        <v>6.0212138917697028E-2</v>
      </c>
      <c r="FJ83" s="10">
        <f t="shared" si="502"/>
        <v>2.0497749418790479</v>
      </c>
      <c r="FK83" s="539">
        <f t="shared" si="503"/>
        <v>254.6640387790529</v>
      </c>
      <c r="FL83" s="19">
        <f t="shared" si="504"/>
        <v>7.7071537814652196</v>
      </c>
      <c r="FM83" s="10">
        <f t="shared" si="505"/>
        <v>6.2034399400074207E-2</v>
      </c>
      <c r="FN83" s="10">
        <f t="shared" si="506"/>
        <v>2.1118093412791219</v>
      </c>
      <c r="FO83" s="539">
        <f t="shared" si="507"/>
        <v>262.37119256051807</v>
      </c>
      <c r="FP83" s="19">
        <f t="shared" si="508"/>
        <v>7.9404031232094976</v>
      </c>
      <c r="FQ83" s="10">
        <f t="shared" si="509"/>
        <v>6.391180878307709E-2</v>
      </c>
      <c r="FR83" s="10">
        <f t="shared" si="510"/>
        <v>2.1757211500621989</v>
      </c>
      <c r="FS83" s="539">
        <f t="shared" si="511"/>
        <v>270.3115956837276</v>
      </c>
      <c r="FT83" s="19">
        <f t="shared" si="512"/>
        <v>8.1807115242338675</v>
      </c>
      <c r="FU83" s="10">
        <f t="shared" si="513"/>
        <v>6.5846036093318322E-2</v>
      </c>
      <c r="FV83" s="10">
        <f t="shared" si="514"/>
        <v>2.2415671861555171</v>
      </c>
      <c r="FW83" s="539">
        <f t="shared" si="515"/>
        <v>278.49230720796146</v>
      </c>
      <c r="FX83" s="19">
        <f t="shared" si="516"/>
        <v>8.4282926199447434</v>
      </c>
      <c r="FY83" s="10">
        <f t="shared" si="517"/>
        <v>6.7838800868840504E-2</v>
      </c>
      <c r="FZ83" s="10">
        <f t="shared" si="518"/>
        <v>2.3094059870243577</v>
      </c>
      <c r="GA83" s="539">
        <f t="shared" si="519"/>
        <v>286.92059982790619</v>
      </c>
      <c r="GB83" s="19">
        <f t="shared" si="520"/>
        <v>8.6833665112115845</v>
      </c>
      <c r="GC83" s="10">
        <f t="shared" si="521"/>
        <v>6.9891874687794467E-2</v>
      </c>
      <c r="GD83" s="10">
        <f t="shared" si="522"/>
        <v>2.3792978617121521</v>
      </c>
      <c r="GE83" s="539">
        <f t="shared" si="523"/>
        <v>295.60396633911779</v>
      </c>
      <c r="GF83" s="19">
        <f t="shared" si="524"/>
        <v>8.9461599600376918</v>
      </c>
      <c r="GG83" s="10">
        <f t="shared" si="525"/>
        <v>7.2007082743381301E-2</v>
      </c>
      <c r="GH83" s="10">
        <f t="shared" si="526"/>
        <v>2.4513049444555333</v>
      </c>
      <c r="GI83" s="539">
        <f t="shared" si="527"/>
        <v>304.55012629915547</v>
      </c>
      <c r="GJ83" s="19">
        <f t="shared" si="528"/>
        <v>9.2169065911528048</v>
      </c>
      <c r="GK83" s="10">
        <f t="shared" si="529"/>
        <v>7.4186305466458505E-2</v>
      </c>
      <c r="GL83" s="10">
        <f t="shared" si="530"/>
        <v>2.5254912499219917</v>
      </c>
      <c r="GM83" s="539">
        <f t="shared" si="531"/>
        <v>313.76703289030826</v>
      </c>
      <c r="GN83" s="19">
        <f t="shared" si="532"/>
        <v>9.4958470997066886</v>
      </c>
      <c r="GO83" s="10">
        <f t="shared" si="533"/>
        <v>7.6431480197252807E-2</v>
      </c>
      <c r="GP83" s="10">
        <f t="shared" si="534"/>
        <v>2.6019227301192447</v>
      </c>
      <c r="GQ83" s="539">
        <f t="shared" si="535"/>
        <v>323.26287999001494</v>
      </c>
      <c r="GR83" s="19">
        <f t="shared" si="536"/>
        <v>9.7832294652483593</v>
      </c>
      <c r="GS83" s="10">
        <f t="shared" si="537"/>
        <v>7.8744602907665481E-2</v>
      </c>
      <c r="GT83" s="10">
        <f t="shared" si="538"/>
        <v>2.6806673330269102</v>
      </c>
      <c r="GU83" s="539">
        <f t="shared" si="539"/>
        <v>333.04610945526332</v>
      </c>
      <c r="GV83" s="19">
        <f t="shared" si="540"/>
        <v>10.079309172181182</v>
      </c>
      <c r="GW83" s="10">
        <f t="shared" si="541"/>
        <v>8.1127729975701723E-2</v>
      </c>
      <c r="GX83" s="10">
        <f t="shared" si="542"/>
        <v>2.7617950630026118</v>
      </c>
      <c r="GY83" s="539">
        <f t="shared" si="543"/>
        <v>343.1254186274445</v>
      </c>
      <c r="GZ83" s="19">
        <f t="shared" si="544"/>
        <v>10.384349436889821</v>
      </c>
      <c r="HA83" s="10">
        <f t="shared" si="545"/>
        <v>8.358298001360126E-2</v>
      </c>
      <c r="HB83" s="10">
        <f t="shared" si="546"/>
        <v>2.845378043016213</v>
      </c>
      <c r="HC83" s="539">
        <f t="shared" si="547"/>
        <v>353.50976806433431</v>
      </c>
      <c r="HD83" s="19">
        <f t="shared" si="548"/>
        <v>10.69862144174096</v>
      </c>
      <c r="HE83" s="10">
        <f t="shared" si="549"/>
        <v>8.6112535751295557E-2</v>
      </c>
      <c r="HF83" s="10">
        <f t="shared" si="550"/>
        <v>2.9314905787675087</v>
      </c>
      <c r="HG83" s="539">
        <f t="shared" si="551"/>
        <v>364.20838950607526</v>
      </c>
      <c r="HH83" s="19">
        <f t="shared" si="552"/>
        <v>11.022404576165831</v>
      </c>
      <c r="HI83" s="10">
        <f t="shared" si="553"/>
        <v>8.8718645976866004E-2</v>
      </c>
      <c r="HJ83" s="10">
        <f t="shared" si="554"/>
        <v>3.0202092247443746</v>
      </c>
      <c r="HK83" s="539">
        <f t="shared" si="555"/>
        <v>375.23079408224106</v>
      </c>
      <c r="HL83" s="19">
        <f t="shared" si="556"/>
        <v>11.355986685038848</v>
      </c>
      <c r="HM83" s="10">
        <f t="shared" si="557"/>
        <v>9.1403627535728019E-2</v>
      </c>
      <c r="HN83" s="10">
        <f t="shared" si="558"/>
        <v>3.1116128522801025</v>
      </c>
      <c r="HO83" s="539">
        <f t="shared" si="559"/>
        <v>386.58678076727995</v>
      </c>
      <c r="HP83" s="19">
        <f t="shared" si="560"/>
        <v>11.699664324573185</v>
      </c>
      <c r="HQ83" s="10">
        <f t="shared" si="561"/>
        <v>9.4169867390318615E-2</v>
      </c>
      <c r="HR83" s="10">
        <f t="shared" si="562"/>
        <v>3.2057827196704212</v>
      </c>
      <c r="HS83" s="539">
        <f t="shared" si="563"/>
        <v>398.28644509185312</v>
      </c>
      <c r="HT83" s="19">
        <f t="shared" si="564"/>
        <v>12.053743025960783</v>
      </c>
      <c r="HU83" s="10">
        <f t="shared" si="565"/>
        <v>9.7019824742118344E-2</v>
      </c>
      <c r="HV83" s="10">
        <f t="shared" si="566"/>
        <v>3.3028025444125397</v>
      </c>
      <c r="HW83" s="539">
        <f t="shared" si="567"/>
        <v>410.34018811781391</v>
      </c>
      <c r="HX83" s="19">
        <f t="shared" si="568"/>
        <v>12.418537566991148</v>
      </c>
      <c r="HY83" s="10">
        <f t="shared" si="569"/>
        <v>9.995603321789398E-2</v>
      </c>
      <c r="HZ83" s="10">
        <f t="shared" si="570"/>
        <v>3.4027585776304337</v>
      </c>
      <c r="IA83" s="539">
        <f t="shared" si="571"/>
        <v>422.75872568480509</v>
      </c>
      <c r="IB83" s="19">
        <f t="shared" si="572"/>
        <v>12.794372251890429</v>
      </c>
      <c r="IP83" s="11">
        <v>42</v>
      </c>
      <c r="IQ83" s="19">
        <f t="shared" si="358"/>
        <v>223.30498978426985</v>
      </c>
      <c r="IR83" s="20">
        <f t="shared" si="620"/>
        <v>4.0776096738072036</v>
      </c>
    </row>
    <row r="84" spans="1:252" ht="13.5" thickBot="1">
      <c r="A84" s="11"/>
      <c r="B84" s="20"/>
      <c r="C84" s="826" t="s">
        <v>2348</v>
      </c>
      <c r="D84" s="47" t="s">
        <v>494</v>
      </c>
      <c r="E84" s="396">
        <f t="shared" si="600"/>
        <v>14.460699999999999</v>
      </c>
      <c r="F84" s="242">
        <v>10.460699999999999</v>
      </c>
      <c r="G84" s="48">
        <f>'Update Stock Prices'!S84</f>
        <v>1951321863.1976502</v>
      </c>
      <c r="H84" s="991">
        <f t="shared" si="610"/>
        <v>5.3608275483870959E-9</v>
      </c>
      <c r="I84" s="49">
        <f>'Update Stock Prices'!D84</f>
        <v>71.489999999999995</v>
      </c>
      <c r="J84" s="49">
        <f t="shared" si="404"/>
        <v>747.83544299999994</v>
      </c>
      <c r="K84" s="30">
        <v>545.46</v>
      </c>
      <c r="L84" s="49">
        <f t="shared" si="611"/>
        <v>202.3754429999999</v>
      </c>
      <c r="M84" s="50">
        <f>L84/K84</f>
        <v>0.37101793532064659</v>
      </c>
      <c r="N84" s="49">
        <f t="shared" si="612"/>
        <v>52.143737990765445</v>
      </c>
      <c r="O84" s="48">
        <f t="shared" si="601"/>
        <v>4</v>
      </c>
      <c r="P84" s="49">
        <f t="shared" si="602"/>
        <v>35.050000000000011</v>
      </c>
      <c r="Q84" s="30">
        <f>0.61*4</f>
        <v>2.44</v>
      </c>
      <c r="R84" s="49">
        <f>S84/365.25</f>
        <v>6.9881199178644757E-2</v>
      </c>
      <c r="S84" s="49">
        <f t="shared" si="603"/>
        <v>25.524107999999998</v>
      </c>
      <c r="T84" s="49">
        <f>S84/12</f>
        <v>2.1270089999999997</v>
      </c>
      <c r="U84" s="49" t="s">
        <v>54</v>
      </c>
      <c r="V84" s="50">
        <f t="shared" si="604"/>
        <v>3.4130647643027E-2</v>
      </c>
      <c r="W84" s="50">
        <f t="shared" si="575"/>
        <v>4.6793730062699365E-2</v>
      </c>
      <c r="X84" s="49">
        <f>12*((E84*Q84)/12-T84)</f>
        <v>9.7600000000000016</v>
      </c>
      <c r="Y84" s="49">
        <f t="shared" si="654"/>
        <v>6.3810269999999996</v>
      </c>
      <c r="Z84" s="860">
        <f t="shared" si="605"/>
        <v>0</v>
      </c>
      <c r="AA84" s="860">
        <f t="shared" si="606"/>
        <v>106.7360213114754</v>
      </c>
      <c r="AB84" s="49">
        <f t="shared" si="607"/>
        <v>7630.5581635573753</v>
      </c>
      <c r="AC84" s="48">
        <v>1</v>
      </c>
      <c r="AD84" s="47" t="str">
        <f t="shared" si="608"/>
        <v>MO</v>
      </c>
      <c r="AE84" s="49">
        <f t="shared" si="609"/>
        <v>747.83544299999994</v>
      </c>
      <c r="AF84" s="50" t="e">
        <f t="shared" si="405"/>
        <v>#REF!</v>
      </c>
      <c r="AG84" s="890" t="e">
        <f t="shared" si="599"/>
        <v>#REF!</v>
      </c>
      <c r="AH84" s="207" t="s">
        <v>1389</v>
      </c>
      <c r="AI84" s="240">
        <f t="shared" si="406"/>
        <v>1.2695810192870456</v>
      </c>
      <c r="AJ84" s="11">
        <f t="shared" si="595"/>
        <v>2</v>
      </c>
      <c r="AK84" s="11"/>
      <c r="AL84" s="11"/>
      <c r="AM84" s="11"/>
      <c r="AN84" s="11">
        <v>1</v>
      </c>
      <c r="AO84" s="11"/>
      <c r="AP84" s="11"/>
      <c r="AQ84" s="11" t="str">
        <f>'Update Stock Prices'!Q84</f>
        <v>mega</v>
      </c>
      <c r="AR84" s="11"/>
      <c r="AS84" s="11"/>
      <c r="AT84" s="16">
        <f t="shared" si="647"/>
        <v>2.0363268053448547</v>
      </c>
      <c r="AU84" s="224" t="s">
        <v>1858</v>
      </c>
      <c r="AV84" s="19">
        <f>SUM(AE148:AE152)</f>
        <v>145612.19104130002</v>
      </c>
      <c r="AW84" s="15" t="e">
        <f t="shared" si="648"/>
        <v>#REF!</v>
      </c>
      <c r="AX84" s="19">
        <v>145612.19104130002</v>
      </c>
      <c r="AY84" s="15">
        <v>0.51887581205389188</v>
      </c>
      <c r="AZ84" s="19">
        <f>AV84-AX84</f>
        <v>0</v>
      </c>
      <c r="BA84" s="15">
        <f>(AV84-AX84)/AX84</f>
        <v>0</v>
      </c>
      <c r="BB84" s="516">
        <v>0.2</v>
      </c>
      <c r="BC84" s="234">
        <f>(1-BB84)*AV84</f>
        <v>116489.75283304002</v>
      </c>
      <c r="BD84" s="225">
        <f>SUM(BD59:BD71)</f>
        <v>33253.35</v>
      </c>
      <c r="BE84" s="979"/>
      <c r="BG84" s="238"/>
      <c r="BH84" s="225">
        <f ca="1">BD84/BI84</f>
        <v>2771.1124999999997</v>
      </c>
      <c r="BI84" s="1029">
        <f ca="1">YEAR(TODAY())-2005</f>
        <v>12</v>
      </c>
      <c r="BJ84" s="1452"/>
      <c r="BK84" s="19"/>
      <c r="BL84" s="1307"/>
      <c r="BM84" s="19"/>
      <c r="BN84" s="19"/>
      <c r="BO84" s="19"/>
      <c r="BP84" s="19"/>
      <c r="BS84" s="420" t="str">
        <f t="shared" si="407"/>
        <v>MO</v>
      </c>
      <c r="BT84" s="425">
        <f t="shared" si="408"/>
        <v>10.460699999999999</v>
      </c>
      <c r="BU84" s="19">
        <f t="shared" si="409"/>
        <v>71.489999999999995</v>
      </c>
      <c r="BV84" s="19">
        <f t="shared" si="410"/>
        <v>747.83544299999994</v>
      </c>
      <c r="BW84" s="539">
        <f t="shared" si="411"/>
        <v>2.44</v>
      </c>
      <c r="BX84" s="19">
        <f t="shared" si="412"/>
        <v>25.524107999999998</v>
      </c>
      <c r="BY84" s="10">
        <f t="shared" si="413"/>
        <v>0.3570304657994125</v>
      </c>
      <c r="BZ84" s="10">
        <f t="shared" si="414"/>
        <v>10.817730465799412</v>
      </c>
      <c r="CA84" s="539">
        <f t="shared" si="415"/>
        <v>773.3595509999999</v>
      </c>
      <c r="CB84" s="19">
        <f t="shared" si="416"/>
        <v>26.395262336550566</v>
      </c>
      <c r="CC84" s="10">
        <f t="shared" si="417"/>
        <v>0.36921614682543807</v>
      </c>
      <c r="CD84" s="10">
        <f t="shared" si="418"/>
        <v>11.186946612624851</v>
      </c>
      <c r="CE84" s="539">
        <f t="shared" si="419"/>
        <v>799.75481333655057</v>
      </c>
      <c r="CF84" s="19">
        <f t="shared" si="420"/>
        <v>27.296149734804636</v>
      </c>
      <c r="CG84" s="10">
        <f t="shared" si="421"/>
        <v>0.38181773303685324</v>
      </c>
      <c r="CH84" s="10">
        <f t="shared" si="422"/>
        <v>11.568764345661704</v>
      </c>
      <c r="CI84" s="539">
        <f t="shared" si="423"/>
        <v>827.05096307135511</v>
      </c>
      <c r="CJ84" s="19">
        <f t="shared" si="424"/>
        <v>28.227785003414557</v>
      </c>
      <c r="CK84" s="10">
        <f t="shared" si="425"/>
        <v>0.39484941954699343</v>
      </c>
      <c r="CL84" s="10">
        <f t="shared" si="426"/>
        <v>11.963613765208697</v>
      </c>
      <c r="CM84" s="539">
        <f t="shared" si="427"/>
        <v>855.27874807476974</v>
      </c>
      <c r="CN84" s="19">
        <f t="shared" si="428"/>
        <v>29.191217587109218</v>
      </c>
      <c r="CO84" s="10">
        <f t="shared" si="429"/>
        <v>0.40832588595760555</v>
      </c>
      <c r="CP84" s="10">
        <f t="shared" si="430"/>
        <v>12.371939651166302</v>
      </c>
      <c r="CQ84" s="539">
        <f t="shared" si="431"/>
        <v>884.46996566187886</v>
      </c>
      <c r="CR84" s="19">
        <f t="shared" si="432"/>
        <v>30.187532748845776</v>
      </c>
      <c r="CS84" s="10">
        <f t="shared" si="433"/>
        <v>0.42226231289475141</v>
      </c>
      <c r="CT84" s="10">
        <f t="shared" si="434"/>
        <v>12.794201964061054</v>
      </c>
      <c r="CU84" s="539">
        <f t="shared" si="435"/>
        <v>914.65749841072466</v>
      </c>
      <c r="CV84" s="19">
        <f t="shared" si="436"/>
        <v>31.217852792308971</v>
      </c>
      <c r="CW84" s="10">
        <f t="shared" si="437"/>
        <v>0.43667439910909178</v>
      </c>
      <c r="CX84" s="10">
        <f t="shared" si="438"/>
        <v>13.230876363170147</v>
      </c>
      <c r="CY84" s="539">
        <f t="shared" si="439"/>
        <v>945.87535120303369</v>
      </c>
      <c r="CZ84" s="19">
        <f t="shared" si="440"/>
        <v>32.283338326135159</v>
      </c>
      <c r="DA84" s="10">
        <f t="shared" si="441"/>
        <v>0.4515783791598148</v>
      </c>
      <c r="DB84" s="10">
        <f t="shared" si="442"/>
        <v>13.682454742329961</v>
      </c>
      <c r="DC84" s="539">
        <f t="shared" si="443"/>
        <v>978.15868952916878</v>
      </c>
      <c r="DD84" s="19">
        <f t="shared" si="444"/>
        <v>33.385189571285103</v>
      </c>
      <c r="DE84" s="10">
        <f t="shared" si="445"/>
        <v>0.46699104170212763</v>
      </c>
      <c r="DF84" s="10">
        <f t="shared" si="446"/>
        <v>14.149445784032089</v>
      </c>
      <c r="DG84" s="539">
        <f t="shared" si="447"/>
        <v>1011.543879100454</v>
      </c>
      <c r="DH84" s="19">
        <f t="shared" si="448"/>
        <v>34.524647713038298</v>
      </c>
      <c r="DI84" s="10">
        <f t="shared" si="449"/>
        <v>0.48292974839891317</v>
      </c>
      <c r="DJ84" s="10">
        <f t="shared" si="450"/>
        <v>14.632375532431002</v>
      </c>
      <c r="DK84" s="539">
        <f t="shared" si="451"/>
        <v>1046.0685268134923</v>
      </c>
      <c r="DL84" s="19">
        <f t="shared" si="452"/>
        <v>35.702996299131641</v>
      </c>
      <c r="DM84" s="10">
        <f t="shared" si="453"/>
        <v>0.49941245347785207</v>
      </c>
      <c r="DN84" s="10">
        <f t="shared" si="454"/>
        <v>15.131787985908854</v>
      </c>
      <c r="DO84" s="539">
        <f t="shared" si="455"/>
        <v>1081.771523112624</v>
      </c>
      <c r="DP84" s="19">
        <f t="shared" si="456"/>
        <v>36.921562685617602</v>
      </c>
      <c r="DQ84" s="10">
        <f t="shared" si="457"/>
        <v>0.51645772395604428</v>
      </c>
      <c r="DR84" s="10">
        <f t="shared" si="458"/>
        <v>15.648245709864899</v>
      </c>
      <c r="DS84" s="539">
        <f t="shared" si="459"/>
        <v>1118.6930857982416</v>
      </c>
      <c r="DT84" s="19">
        <f t="shared" si="460"/>
        <v>38.181719532070353</v>
      </c>
      <c r="DU84" s="10">
        <f t="shared" si="461"/>
        <v>0.53408476055490772</v>
      </c>
      <c r="DV84" s="10">
        <f t="shared" si="462"/>
        <v>16.182330470419807</v>
      </c>
      <c r="DW84" s="539">
        <f t="shared" si="463"/>
        <v>1156.8748053303118</v>
      </c>
      <c r="DX84" s="19">
        <f t="shared" si="464"/>
        <v>39.484886347824329</v>
      </c>
      <c r="DY84" s="10">
        <f t="shared" si="465"/>
        <v>0.55231341932891775</v>
      </c>
      <c r="DZ84" s="10">
        <f t="shared" si="466"/>
        <v>16.734643889748725</v>
      </c>
      <c r="EA84" s="539">
        <f t="shared" si="467"/>
        <v>1196.3596916781362</v>
      </c>
      <c r="EB84" s="19">
        <f t="shared" si="468"/>
        <v>40.83253109098689</v>
      </c>
      <c r="EC84" s="10">
        <f t="shared" si="469"/>
        <v>0.57116423403254857</v>
      </c>
      <c r="ED84" s="10">
        <f t="shared" si="470"/>
        <v>17.305808123781272</v>
      </c>
      <c r="EE84" s="539">
        <f t="shared" si="471"/>
        <v>1237.192222769123</v>
      </c>
      <c r="EF84" s="19">
        <f t="shared" si="472"/>
        <v>42.226171822026302</v>
      </c>
      <c r="EG84" s="10">
        <f t="shared" si="473"/>
        <v>0.59065843925061279</v>
      </c>
      <c r="EH84" s="10">
        <f t="shared" si="474"/>
        <v>17.896466563031886</v>
      </c>
      <c r="EI84" s="539">
        <f t="shared" si="475"/>
        <v>1279.4183945911495</v>
      </c>
      <c r="EJ84" s="19">
        <f t="shared" si="476"/>
        <v>43.667378413797799</v>
      </c>
      <c r="EK84" s="10">
        <f t="shared" si="477"/>
        <v>0.61081799431805572</v>
      </c>
      <c r="EL84" s="10">
        <f t="shared" si="478"/>
        <v>18.507284557349941</v>
      </c>
      <c r="EM84" s="539">
        <f t="shared" si="479"/>
        <v>1323.0857730049472</v>
      </c>
      <c r="EN84" s="19">
        <f t="shared" si="480"/>
        <v>45.157774319933857</v>
      </c>
      <c r="EO84" s="10">
        <f t="shared" si="481"/>
        <v>0.6316656080561458</v>
      </c>
      <c r="EP84" s="10">
        <f t="shared" si="482"/>
        <v>19.138950165406087</v>
      </c>
      <c r="EQ84" s="539">
        <f t="shared" si="483"/>
        <v>1368.2435473248811</v>
      </c>
      <c r="ER84" s="19">
        <f t="shared" si="484"/>
        <v>46.699038403590848</v>
      </c>
      <c r="ES84" s="10">
        <f t="shared" si="485"/>
        <v>0.65322476435292842</v>
      </c>
      <c r="ET84" s="10">
        <f t="shared" si="486"/>
        <v>19.792174929759014</v>
      </c>
      <c r="EU84" s="539">
        <f t="shared" si="487"/>
        <v>1414.9425857284718</v>
      </c>
      <c r="EV84" s="19">
        <f t="shared" si="488"/>
        <v>48.29290682861199</v>
      </c>
      <c r="EW84" s="10">
        <f t="shared" si="489"/>
        <v>0.67551974861675745</v>
      </c>
      <c r="EX84" s="10">
        <f t="shared" si="490"/>
        <v>20.467694678375771</v>
      </c>
      <c r="EY84" s="539">
        <f t="shared" si="491"/>
        <v>1463.2354925570837</v>
      </c>
      <c r="EZ84" s="19">
        <f t="shared" si="492"/>
        <v>49.94117501523688</v>
      </c>
      <c r="FA84" s="10">
        <f t="shared" si="493"/>
        <v>0.69857567513270225</v>
      </c>
      <c r="FB84" s="10">
        <f t="shared" si="494"/>
        <v>21.166270353508473</v>
      </c>
      <c r="FC84" s="539">
        <f t="shared" si="495"/>
        <v>1513.1766675723206</v>
      </c>
      <c r="FD84" s="19">
        <f t="shared" si="496"/>
        <v>51.645699662560673</v>
      </c>
      <c r="FE84" s="10">
        <f t="shared" si="497"/>
        <v>0.72241851535264623</v>
      </c>
      <c r="FF84" s="10">
        <f t="shared" si="498"/>
        <v>21.88868886886112</v>
      </c>
      <c r="FG84" s="539">
        <f t="shared" si="499"/>
        <v>1564.8223672348813</v>
      </c>
      <c r="FH84" s="19">
        <f t="shared" si="500"/>
        <v>53.40840084002113</v>
      </c>
      <c r="FI84" s="10">
        <f t="shared" si="501"/>
        <v>0.74707512715094604</v>
      </c>
      <c r="FJ84" s="10">
        <f t="shared" si="502"/>
        <v>22.635763996012066</v>
      </c>
      <c r="FK84" s="539">
        <f t="shared" si="503"/>
        <v>1618.2307680749025</v>
      </c>
      <c r="FL84" s="19">
        <f t="shared" si="504"/>
        <v>55.231264150269439</v>
      </c>
      <c r="FM84" s="10">
        <f t="shared" si="505"/>
        <v>0.77257328507860457</v>
      </c>
      <c r="FN84" s="10">
        <f t="shared" si="506"/>
        <v>23.40833728109067</v>
      </c>
      <c r="FO84" s="539">
        <f t="shared" si="507"/>
        <v>1673.4620322251719</v>
      </c>
      <c r="FP84" s="19">
        <f t="shared" si="508"/>
        <v>57.116342965861236</v>
      </c>
      <c r="FQ84" s="10">
        <f t="shared" si="509"/>
        <v>0.79894171165003836</v>
      </c>
      <c r="FR84" s="10">
        <f t="shared" si="510"/>
        <v>24.207278992740708</v>
      </c>
      <c r="FS84" s="539">
        <f t="shared" si="511"/>
        <v>1730.578375191033</v>
      </c>
      <c r="FT84" s="19">
        <f t="shared" si="512"/>
        <v>59.065760742287324</v>
      </c>
      <c r="FU84" s="10">
        <f t="shared" si="513"/>
        <v>0.8262101096976826</v>
      </c>
      <c r="FV84" s="10">
        <f t="shared" si="514"/>
        <v>25.033489102438391</v>
      </c>
      <c r="FW84" s="539">
        <f t="shared" si="515"/>
        <v>1789.6441359333205</v>
      </c>
      <c r="FX84" s="19">
        <f t="shared" si="516"/>
        <v>61.081713409949671</v>
      </c>
      <c r="FY84" s="10">
        <f t="shared" si="517"/>
        <v>0.85440919583088093</v>
      </c>
      <c r="FZ84" s="10">
        <f t="shared" si="518"/>
        <v>25.887898298269274</v>
      </c>
      <c r="GA84" s="539">
        <f t="shared" si="519"/>
        <v>1850.7258493432703</v>
      </c>
      <c r="GB84" s="19">
        <f t="shared" si="520"/>
        <v>63.166471847777025</v>
      </c>
      <c r="GC84" s="10">
        <f t="shared" si="521"/>
        <v>0.88357073503674677</v>
      </c>
      <c r="GD84" s="10">
        <f t="shared" si="522"/>
        <v>26.771469033306019</v>
      </c>
      <c r="GE84" s="539">
        <f t="shared" si="523"/>
        <v>1913.8923211910471</v>
      </c>
      <c r="GF84" s="19">
        <f t="shared" si="524"/>
        <v>65.322384441266678</v>
      </c>
      <c r="GG84" s="10">
        <f t="shared" si="525"/>
        <v>0.91372757646197622</v>
      </c>
      <c r="GH84" s="10">
        <f t="shared" si="526"/>
        <v>27.685196609767996</v>
      </c>
      <c r="GI84" s="539">
        <f t="shared" si="527"/>
        <v>1979.2147056323138</v>
      </c>
      <c r="GJ84" s="19">
        <f t="shared" si="528"/>
        <v>67.551879727833906</v>
      </c>
      <c r="GK84" s="10">
        <f t="shared" si="529"/>
        <v>0.94491369041591711</v>
      </c>
      <c r="GL84" s="10">
        <f t="shared" si="530"/>
        <v>28.630110300183912</v>
      </c>
      <c r="GM84" s="539">
        <f t="shared" si="531"/>
        <v>2046.7665853601477</v>
      </c>
      <c r="GN84" s="19">
        <f t="shared" si="532"/>
        <v>69.857469132448742</v>
      </c>
      <c r="GO84" s="10">
        <f t="shared" si="533"/>
        <v>0.97716420663657499</v>
      </c>
      <c r="GP84" s="10">
        <f t="shared" si="534"/>
        <v>29.607274506820488</v>
      </c>
      <c r="GQ84" s="539">
        <f t="shared" si="535"/>
        <v>2116.6240544925968</v>
      </c>
      <c r="GR84" s="19">
        <f t="shared" si="536"/>
        <v>72.241749796641983</v>
      </c>
      <c r="GS84" s="10">
        <f t="shared" si="537"/>
        <v>1.0105154538626659</v>
      </c>
      <c r="GT84" s="10">
        <f t="shared" si="538"/>
        <v>30.617789960683155</v>
      </c>
      <c r="GU84" s="539">
        <f t="shared" si="539"/>
        <v>2188.8658042892384</v>
      </c>
      <c r="GV84" s="19">
        <f t="shared" si="540"/>
        <v>74.707407504066893</v>
      </c>
      <c r="GW84" s="10">
        <f t="shared" si="541"/>
        <v>1.0450050007562861</v>
      </c>
      <c r="GX84" s="10">
        <f t="shared" si="542"/>
        <v>31.662794961439442</v>
      </c>
      <c r="GY84" s="539">
        <f t="shared" si="543"/>
        <v>2263.5732117933057</v>
      </c>
      <c r="GZ84" s="19">
        <f t="shared" si="544"/>
        <v>77.257219705912235</v>
      </c>
      <c r="HA84" s="10">
        <f t="shared" si="545"/>
        <v>1.0806716982223001</v>
      </c>
      <c r="HB84" s="10">
        <f t="shared" si="546"/>
        <v>32.743466659661742</v>
      </c>
      <c r="HC84" s="539">
        <f t="shared" si="547"/>
        <v>2340.8304314992179</v>
      </c>
      <c r="HD84" s="19">
        <f t="shared" si="548"/>
        <v>79.894058649574646</v>
      </c>
      <c r="HE84" s="10">
        <f t="shared" si="549"/>
        <v>1.1175557231721172</v>
      </c>
      <c r="HF84" s="10">
        <f t="shared" si="550"/>
        <v>33.861022382833859</v>
      </c>
      <c r="HG84" s="539">
        <f t="shared" si="551"/>
        <v>2420.7244901487925</v>
      </c>
      <c r="HH84" s="19">
        <f t="shared" si="552"/>
        <v>82.620894614114619</v>
      </c>
      <c r="HI84" s="10">
        <f t="shared" si="553"/>
        <v>1.1556986237811528</v>
      </c>
      <c r="HJ84" s="10">
        <f t="shared" si="554"/>
        <v>35.016721006615015</v>
      </c>
      <c r="HK84" s="539">
        <f t="shared" si="555"/>
        <v>2503.3453847629071</v>
      </c>
      <c r="HL84" s="19">
        <f t="shared" si="556"/>
        <v>85.440799256140636</v>
      </c>
      <c r="HM84" s="10">
        <f t="shared" si="557"/>
        <v>1.1951433662909587</v>
      </c>
      <c r="HN84" s="10">
        <f t="shared" si="558"/>
        <v>36.211864372905971</v>
      </c>
      <c r="HO84" s="539">
        <f t="shared" si="559"/>
        <v>2588.7861840190476</v>
      </c>
      <c r="HP84" s="19">
        <f t="shared" si="560"/>
        <v>88.356949069890561</v>
      </c>
      <c r="HQ84" s="10">
        <f t="shared" si="561"/>
        <v>1.2359343834087364</v>
      </c>
      <c r="HR84" s="10">
        <f t="shared" si="562"/>
        <v>37.447798756314711</v>
      </c>
      <c r="HS84" s="539">
        <f t="shared" si="563"/>
        <v>2677.1431330889386</v>
      </c>
      <c r="HT84" s="19">
        <f t="shared" si="564"/>
        <v>91.372628965407898</v>
      </c>
      <c r="HU84" s="10">
        <f t="shared" si="565"/>
        <v>1.2781176243587622</v>
      </c>
      <c r="HV84" s="10">
        <f t="shared" si="566"/>
        <v>38.725916380673475</v>
      </c>
      <c r="HW84" s="539">
        <f t="shared" si="567"/>
        <v>2768.5157620543464</v>
      </c>
      <c r="HX84" s="19">
        <f t="shared" si="568"/>
        <v>94.49123596884327</v>
      </c>
      <c r="HY84" s="10">
        <f t="shared" si="569"/>
        <v>1.3217406066420936</v>
      </c>
      <c r="HZ84" s="10">
        <f t="shared" si="570"/>
        <v>40.04765698731557</v>
      </c>
      <c r="IA84" s="539">
        <f t="shared" si="571"/>
        <v>2863.0069980231897</v>
      </c>
      <c r="IB84" s="19">
        <f t="shared" si="572"/>
        <v>97.716283049049991</v>
      </c>
      <c r="IP84" s="11">
        <v>43</v>
      </c>
      <c r="IQ84" s="19">
        <f t="shared" si="358"/>
        <v>241.16938896701146</v>
      </c>
      <c r="IR84" s="20">
        <f t="shared" si="620"/>
        <v>4.0034713161016171</v>
      </c>
    </row>
    <row r="85" spans="1:252">
      <c r="A85" s="11"/>
      <c r="B85" s="20"/>
      <c r="C85" s="826" t="s">
        <v>2343</v>
      </c>
      <c r="D85" s="47" t="s">
        <v>1202</v>
      </c>
      <c r="E85" s="396">
        <f t="shared" si="600"/>
        <v>9.0496999999999996</v>
      </c>
      <c r="F85" s="242">
        <v>1.0497000000000001</v>
      </c>
      <c r="G85" s="48">
        <f>'Update Stock Prices'!S85</f>
        <v>16169718.502323037</v>
      </c>
      <c r="H85" s="991">
        <f t="shared" si="610"/>
        <v>6.4917642187103872E-8</v>
      </c>
      <c r="I85" s="49">
        <f>'Update Stock Prices'!D85</f>
        <v>36.590000000000003</v>
      </c>
      <c r="J85" s="49">
        <f t="shared" si="404"/>
        <v>38.40852300000001</v>
      </c>
      <c r="K85" s="30">
        <v>23.97</v>
      </c>
      <c r="L85" s="49">
        <f t="shared" si="611"/>
        <v>14.438523000000011</v>
      </c>
      <c r="M85" s="50">
        <f t="shared" si="613"/>
        <v>0.60235807259073892</v>
      </c>
      <c r="N85" s="49">
        <f t="shared" si="612"/>
        <v>22.835095741640465</v>
      </c>
      <c r="O85" s="48">
        <f t="shared" si="601"/>
        <v>8</v>
      </c>
      <c r="P85" s="49">
        <f t="shared" si="602"/>
        <v>28.289999999999964</v>
      </c>
      <c r="Q85" s="30">
        <f>0.21125*4</f>
        <v>0.84499999999999997</v>
      </c>
      <c r="R85" s="49">
        <f>S85/365.25</f>
        <v>2.4284640657084191E-3</v>
      </c>
      <c r="S85" s="49">
        <f t="shared" si="603"/>
        <v>0.88699650000000008</v>
      </c>
      <c r="T85" s="49">
        <f>S85/12</f>
        <v>7.3916375000000006E-2</v>
      </c>
      <c r="U85" s="49" t="s">
        <v>54</v>
      </c>
      <c r="V85" s="50">
        <f t="shared" si="604"/>
        <v>2.3093741459415139E-2</v>
      </c>
      <c r="W85" s="50">
        <f t="shared" si="575"/>
        <v>3.7004443053817275E-2</v>
      </c>
      <c r="X85" s="49">
        <f t="shared" si="618"/>
        <v>6.7599999999999989</v>
      </c>
      <c r="Y85" s="49">
        <f t="shared" ref="Y85" si="657">IF(U85="Q",3*T85,IF(U85="Y",12*T85,IF(U85="B",6*T85,IF(U85="M",T85,0))))</f>
        <v>0.22174912500000002</v>
      </c>
      <c r="Z85" s="860">
        <f t="shared" si="605"/>
        <v>0</v>
      </c>
      <c r="AA85" s="860">
        <f t="shared" si="606"/>
        <v>172.157400591716</v>
      </c>
      <c r="AB85" s="49">
        <f t="shared" si="607"/>
        <v>6299.2392876508893</v>
      </c>
      <c r="AC85" s="48">
        <v>1</v>
      </c>
      <c r="AD85" s="47" t="str">
        <f t="shared" si="608"/>
        <v>MSEX</v>
      </c>
      <c r="AE85" s="49">
        <f t="shared" si="609"/>
        <v>38.40852300000001</v>
      </c>
      <c r="AF85" s="50" t="e">
        <f t="shared" si="405"/>
        <v>#REF!</v>
      </c>
      <c r="AG85" s="890" t="e">
        <f t="shared" si="599"/>
        <v>#REF!</v>
      </c>
      <c r="AH85" s="207" t="s">
        <v>1204</v>
      </c>
      <c r="AI85" s="240">
        <f t="shared" si="406"/>
        <v>3.3489105351812861E-3</v>
      </c>
      <c r="AJ85" s="11">
        <f t="shared" si="595"/>
        <v>4</v>
      </c>
      <c r="AK85" s="11"/>
      <c r="AL85" s="11">
        <v>1</v>
      </c>
      <c r="AM85" s="11"/>
      <c r="AN85" s="11"/>
      <c r="AO85" s="11"/>
      <c r="AP85" s="11"/>
      <c r="AQ85" s="11" t="str">
        <f>'Update Stock Prices'!Q85</f>
        <v>small</v>
      </c>
      <c r="AR85" s="11"/>
      <c r="AS85" s="11"/>
      <c r="AT85" s="16" t="e">
        <f t="shared" si="647"/>
        <v>#REF!</v>
      </c>
      <c r="AU85" s="224" t="s">
        <v>855</v>
      </c>
      <c r="AV85" s="19" t="e">
        <f>SUM(AE184:AE186)</f>
        <v>#REF!</v>
      </c>
      <c r="AW85" s="15" t="e">
        <f t="shared" si="648"/>
        <v>#REF!</v>
      </c>
      <c r="AX85" s="19">
        <v>763.14999999999986</v>
      </c>
      <c r="AY85" s="15">
        <v>2.7194156831045532E-3</v>
      </c>
      <c r="AZ85" s="19" t="e">
        <f t="shared" si="651"/>
        <v>#REF!</v>
      </c>
      <c r="BA85" s="15" t="e">
        <f t="shared" si="652"/>
        <v>#REF!</v>
      </c>
      <c r="BB85" s="516">
        <v>0</v>
      </c>
      <c r="BC85" s="234" t="e">
        <f>(1-BB85)*AV85</f>
        <v>#REF!</v>
      </c>
      <c r="BD85" s="225">
        <v>0</v>
      </c>
      <c r="BE85" s="1019" t="s">
        <v>1881</v>
      </c>
      <c r="BF85" s="1018" t="s">
        <v>1900</v>
      </c>
      <c r="BH85" s="225">
        <f ca="1">BD85/BI85</f>
        <v>0</v>
      </c>
      <c r="BI85" s="1029">
        <f ca="1">YEAR(TODAY())-2014</f>
        <v>3</v>
      </c>
      <c r="BJ85" s="1452"/>
      <c r="BK85" s="19"/>
      <c r="BL85" s="1307"/>
      <c r="BM85" s="19"/>
      <c r="BN85" s="19"/>
      <c r="BO85" s="19"/>
      <c r="BP85" s="19"/>
      <c r="BS85" s="420" t="str">
        <f t="shared" si="407"/>
        <v>MSEX</v>
      </c>
      <c r="BT85" s="425">
        <f t="shared" si="408"/>
        <v>1.0497000000000001</v>
      </c>
      <c r="BU85" s="19">
        <f t="shared" si="409"/>
        <v>36.590000000000003</v>
      </c>
      <c r="BV85" s="19">
        <f t="shared" si="410"/>
        <v>38.40852300000001</v>
      </c>
      <c r="BW85" s="539">
        <f t="shared" si="411"/>
        <v>0.84499999999999997</v>
      </c>
      <c r="BX85" s="19">
        <f t="shared" si="412"/>
        <v>0.88699650000000008</v>
      </c>
      <c r="BY85" s="10">
        <f t="shared" si="413"/>
        <v>2.4241500409948075E-2</v>
      </c>
      <c r="BZ85" s="10">
        <f t="shared" si="414"/>
        <v>1.0739415004099482</v>
      </c>
      <c r="CA85" s="539">
        <f t="shared" si="415"/>
        <v>39.295519500000005</v>
      </c>
      <c r="CB85" s="19">
        <f t="shared" si="416"/>
        <v>0.90748056784640618</v>
      </c>
      <c r="CC85" s="10">
        <f t="shared" si="417"/>
        <v>2.4801327353003718E-2</v>
      </c>
      <c r="CD85" s="10">
        <f t="shared" si="418"/>
        <v>1.0987428277629518</v>
      </c>
      <c r="CE85" s="539">
        <f t="shared" si="419"/>
        <v>40.203000067846411</v>
      </c>
      <c r="CF85" s="19">
        <f t="shared" si="420"/>
        <v>0.92843768945969429</v>
      </c>
      <c r="CG85" s="10">
        <f t="shared" si="421"/>
        <v>2.5374082794744308E-2</v>
      </c>
      <c r="CH85" s="10">
        <f t="shared" si="422"/>
        <v>1.1241169105576962</v>
      </c>
      <c r="CI85" s="539">
        <f t="shared" si="423"/>
        <v>41.131437757306109</v>
      </c>
      <c r="CJ85" s="19">
        <f t="shared" si="424"/>
        <v>0.94987878942125326</v>
      </c>
      <c r="CK85" s="10">
        <f t="shared" si="425"/>
        <v>2.5960065302575927E-2</v>
      </c>
      <c r="CL85" s="10">
        <f t="shared" si="426"/>
        <v>1.1500769758602722</v>
      </c>
      <c r="CM85" s="539">
        <f t="shared" si="427"/>
        <v>42.081316546727365</v>
      </c>
      <c r="CN85" s="19">
        <f t="shared" si="428"/>
        <v>0.97181504460193002</v>
      </c>
      <c r="CO85" s="10">
        <f t="shared" si="429"/>
        <v>2.6559580338943151E-2</v>
      </c>
      <c r="CP85" s="10">
        <f t="shared" si="430"/>
        <v>1.1766365561992154</v>
      </c>
      <c r="CQ85" s="539">
        <f t="shared" si="431"/>
        <v>43.053131591329297</v>
      </c>
      <c r="CR85" s="19">
        <f t="shared" si="432"/>
        <v>0.99425788998833697</v>
      </c>
      <c r="CS85" s="10">
        <f t="shared" si="433"/>
        <v>2.7172940420561269E-2</v>
      </c>
      <c r="CT85" s="10">
        <f t="shared" si="434"/>
        <v>1.2038094966197765</v>
      </c>
      <c r="CU85" s="539">
        <f t="shared" si="435"/>
        <v>44.04738948131763</v>
      </c>
      <c r="CV85" s="19">
        <f t="shared" si="436"/>
        <v>1.0172190246437112</v>
      </c>
      <c r="CW85" s="10">
        <f t="shared" si="437"/>
        <v>2.7800465281325803E-2</v>
      </c>
      <c r="CX85" s="10">
        <f t="shared" si="438"/>
        <v>1.2316099619011023</v>
      </c>
      <c r="CY85" s="539">
        <f t="shared" si="439"/>
        <v>45.064608505961338</v>
      </c>
      <c r="CZ85" s="19">
        <f t="shared" si="440"/>
        <v>1.0407104178064315</v>
      </c>
      <c r="DA85" s="10">
        <f t="shared" si="441"/>
        <v>2.8442482038984186E-2</v>
      </c>
      <c r="DB85" s="10">
        <f t="shared" si="442"/>
        <v>1.2600524439400864</v>
      </c>
      <c r="DC85" s="539">
        <f t="shared" si="443"/>
        <v>46.105318923767769</v>
      </c>
      <c r="DD85" s="19">
        <f t="shared" si="444"/>
        <v>1.064744315129373</v>
      </c>
      <c r="DE85" s="10">
        <f t="shared" si="445"/>
        <v>2.9099325365656542E-2</v>
      </c>
      <c r="DF85" s="10">
        <f t="shared" si="446"/>
        <v>1.289151769305743</v>
      </c>
      <c r="DG85" s="539">
        <f t="shared" si="447"/>
        <v>47.170063238897143</v>
      </c>
      <c r="DH85" s="19">
        <f t="shared" si="448"/>
        <v>1.0893332450633528</v>
      </c>
      <c r="DI85" s="10">
        <f t="shared" si="449"/>
        <v>2.9771337662294416E-2</v>
      </c>
      <c r="DJ85" s="10">
        <f t="shared" si="450"/>
        <v>1.3189231069680374</v>
      </c>
      <c r="DK85" s="539">
        <f t="shared" si="451"/>
        <v>48.259396483960494</v>
      </c>
      <c r="DL85" s="19">
        <f t="shared" si="452"/>
        <v>1.1144900253879915</v>
      </c>
      <c r="DM85" s="10">
        <f t="shared" si="453"/>
        <v>3.0458869237168389E-2</v>
      </c>
      <c r="DN85" s="10">
        <f t="shared" si="454"/>
        <v>1.3493819762052057</v>
      </c>
      <c r="DO85" s="539">
        <f t="shared" si="455"/>
        <v>49.37388650934848</v>
      </c>
      <c r="DP85" s="19">
        <f t="shared" si="456"/>
        <v>1.1402277698933987</v>
      </c>
      <c r="DQ85" s="10">
        <f t="shared" si="457"/>
        <v>3.1162278488477687E-2</v>
      </c>
      <c r="DR85" s="10">
        <f t="shared" si="458"/>
        <v>1.3805442546936835</v>
      </c>
      <c r="DS85" s="539">
        <f t="shared" si="459"/>
        <v>50.51411427924188</v>
      </c>
      <c r="DT85" s="19">
        <f t="shared" si="460"/>
        <v>1.1665598952161624</v>
      </c>
      <c r="DU85" s="10">
        <f t="shared" si="461"/>
        <v>3.1881932091176887E-2</v>
      </c>
      <c r="DV85" s="10">
        <f t="shared" si="462"/>
        <v>1.4124261867848604</v>
      </c>
      <c r="DW85" s="539">
        <f t="shared" si="463"/>
        <v>51.680674174458048</v>
      </c>
      <c r="DX85" s="19">
        <f t="shared" si="464"/>
        <v>1.1935001278332069</v>
      </c>
      <c r="DY85" s="10">
        <f t="shared" si="465"/>
        <v>3.2618205188117158E-2</v>
      </c>
      <c r="DZ85" s="10">
        <f t="shared" si="466"/>
        <v>1.4450443919729776</v>
      </c>
      <c r="EA85" s="539">
        <f t="shared" si="467"/>
        <v>52.874174302291259</v>
      </c>
      <c r="EB85" s="19">
        <f t="shared" si="468"/>
        <v>1.221062511217166</v>
      </c>
      <c r="EC85" s="10">
        <f t="shared" si="469"/>
        <v>3.3371481585601694E-2</v>
      </c>
      <c r="ED85" s="10">
        <f t="shared" si="470"/>
        <v>1.4784158735585793</v>
      </c>
      <c r="EE85" s="539">
        <f t="shared" si="471"/>
        <v>54.095236813508421</v>
      </c>
      <c r="EF85" s="19">
        <f t="shared" si="472"/>
        <v>1.2492614131569995</v>
      </c>
      <c r="EG85" s="10">
        <f t="shared" si="473"/>
        <v>3.414215395345721E-2</v>
      </c>
      <c r="EH85" s="10">
        <f t="shared" si="474"/>
        <v>1.5125580275120365</v>
      </c>
      <c r="EI85" s="539">
        <f t="shared" si="475"/>
        <v>55.344498226665422</v>
      </c>
      <c r="EJ85" s="19">
        <f t="shared" si="476"/>
        <v>1.2781115332476709</v>
      </c>
      <c r="EK85" s="10">
        <f t="shared" si="477"/>
        <v>3.4930624029725903E-2</v>
      </c>
      <c r="EL85" s="10">
        <f t="shared" si="478"/>
        <v>1.5474886515417623</v>
      </c>
      <c r="EM85" s="539">
        <f t="shared" si="479"/>
        <v>56.62260975991309</v>
      </c>
      <c r="EN85" s="19">
        <f t="shared" si="480"/>
        <v>1.307627910552789</v>
      </c>
      <c r="EO85" s="10">
        <f t="shared" si="481"/>
        <v>3.5737302830084416E-2</v>
      </c>
      <c r="EP85" s="10">
        <f t="shared" si="482"/>
        <v>1.5832259543718468</v>
      </c>
      <c r="EQ85" s="539">
        <f t="shared" si="483"/>
        <v>57.930237670465878</v>
      </c>
      <c r="ER85" s="19">
        <f t="shared" si="484"/>
        <v>1.3378259314442105</v>
      </c>
      <c r="ES85" s="10">
        <f t="shared" si="485"/>
        <v>3.6562610862099214E-2</v>
      </c>
      <c r="ET85" s="10">
        <f t="shared" si="486"/>
        <v>1.6197885652339459</v>
      </c>
      <c r="EU85" s="539">
        <f t="shared" si="487"/>
        <v>59.268063601910086</v>
      </c>
      <c r="EV85" s="19">
        <f t="shared" si="488"/>
        <v>1.3687213376226843</v>
      </c>
      <c r="EW85" s="10">
        <f t="shared" si="489"/>
        <v>3.7406978344429742E-2</v>
      </c>
      <c r="EX85" s="10">
        <f t="shared" si="490"/>
        <v>1.6571955435783756</v>
      </c>
      <c r="EY85" s="539">
        <f t="shared" si="491"/>
        <v>60.636784939532767</v>
      </c>
      <c r="EZ85" s="19">
        <f t="shared" si="492"/>
        <v>1.4003302343237274</v>
      </c>
      <c r="FA85" s="10">
        <f t="shared" si="493"/>
        <v>3.8270845431093943E-2</v>
      </c>
      <c r="FB85" s="10">
        <f t="shared" si="494"/>
        <v>1.6954663890094697</v>
      </c>
      <c r="FC85" s="539">
        <f t="shared" si="495"/>
        <v>62.037115173856499</v>
      </c>
      <c r="FD85" s="19">
        <f t="shared" si="496"/>
        <v>1.4326690987130017</v>
      </c>
      <c r="FE85" s="10">
        <f t="shared" si="497"/>
        <v>3.9154662440912862E-2</v>
      </c>
      <c r="FF85" s="10">
        <f t="shared" si="498"/>
        <v>1.7346210514503826</v>
      </c>
      <c r="FG85" s="539">
        <f t="shared" si="499"/>
        <v>63.469784272569505</v>
      </c>
      <c r="FH85" s="19">
        <f t="shared" si="500"/>
        <v>1.4657547884755733</v>
      </c>
      <c r="FI85" s="10">
        <f t="shared" si="501"/>
        <v>4.0058890092253982E-2</v>
      </c>
      <c r="FJ85" s="10">
        <f t="shared" si="502"/>
        <v>1.7746799415426366</v>
      </c>
      <c r="FK85" s="539">
        <f t="shared" si="503"/>
        <v>64.935539061045077</v>
      </c>
      <c r="FL85" s="19">
        <f t="shared" si="504"/>
        <v>1.4996045506035278</v>
      </c>
      <c r="FM85" s="10">
        <f t="shared" si="505"/>
        <v>4.0983999743195616E-2</v>
      </c>
      <c r="FN85" s="10">
        <f t="shared" si="506"/>
        <v>1.8156639412858322</v>
      </c>
      <c r="FO85" s="539">
        <f t="shared" si="507"/>
        <v>66.435143611648613</v>
      </c>
      <c r="FP85" s="19">
        <f t="shared" si="508"/>
        <v>1.5342360303865281</v>
      </c>
      <c r="FQ85" s="10">
        <f t="shared" si="509"/>
        <v>4.1930473637237717E-2</v>
      </c>
      <c r="FR85" s="10">
        <f t="shared" si="510"/>
        <v>1.8575944149230699</v>
      </c>
      <c r="FS85" s="539">
        <f t="shared" si="511"/>
        <v>67.969379642035136</v>
      </c>
      <c r="FT85" s="19">
        <f t="shared" si="512"/>
        <v>1.5696672806099941</v>
      </c>
      <c r="FU85" s="10">
        <f t="shared" si="513"/>
        <v>4.2898805154686907E-2</v>
      </c>
      <c r="FV85" s="10">
        <f t="shared" si="514"/>
        <v>1.9004932200777567</v>
      </c>
      <c r="FW85" s="539">
        <f t="shared" si="515"/>
        <v>69.539046922645127</v>
      </c>
      <c r="FX85" s="19">
        <f t="shared" si="516"/>
        <v>1.6059167709657043</v>
      </c>
      <c r="FY85" s="10">
        <f t="shared" si="517"/>
        <v>4.3889499069847064E-2</v>
      </c>
      <c r="FZ85" s="10">
        <f t="shared" si="518"/>
        <v>1.9443827191476037</v>
      </c>
      <c r="GA85" s="539">
        <f t="shared" si="519"/>
        <v>71.144963693610833</v>
      </c>
      <c r="GB85" s="19">
        <f t="shared" si="520"/>
        <v>1.6430033976797251</v>
      </c>
      <c r="GC85" s="10">
        <f t="shared" si="521"/>
        <v>4.4903071814149355E-2</v>
      </c>
      <c r="GD85" s="10">
        <f t="shared" si="522"/>
        <v>1.9892857909617532</v>
      </c>
      <c r="GE85" s="539">
        <f t="shared" si="523"/>
        <v>72.787967091290554</v>
      </c>
      <c r="GF85" s="19">
        <f t="shared" si="524"/>
        <v>1.6809464933626814</v>
      </c>
      <c r="GG85" s="10">
        <f t="shared" si="525"/>
        <v>4.5940051745358874E-2</v>
      </c>
      <c r="GH85" s="10">
        <f t="shared" si="526"/>
        <v>2.0352258427071122</v>
      </c>
      <c r="GI85" s="539">
        <f t="shared" si="527"/>
        <v>74.468913584653237</v>
      </c>
      <c r="GJ85" s="19">
        <f t="shared" si="528"/>
        <v>1.7197658370875097</v>
      </c>
      <c r="GK85" s="10">
        <f t="shared" si="529"/>
        <v>4.700097942299835E-2</v>
      </c>
      <c r="GL85" s="10">
        <f t="shared" si="530"/>
        <v>2.0822268221301106</v>
      </c>
      <c r="GM85" s="539">
        <f t="shared" si="531"/>
        <v>76.188679421740758</v>
      </c>
      <c r="GN85" s="19">
        <f t="shared" si="532"/>
        <v>1.7594816646999434</v>
      </c>
      <c r="GO85" s="10">
        <f t="shared" si="533"/>
        <v>4.8086407890132361E-2</v>
      </c>
      <c r="GP85" s="10">
        <f t="shared" si="534"/>
        <v>2.130313230020243</v>
      </c>
      <c r="GQ85" s="539">
        <f t="shared" si="535"/>
        <v>77.948161086440692</v>
      </c>
      <c r="GR85" s="19">
        <f t="shared" si="536"/>
        <v>1.8001146793671052</v>
      </c>
      <c r="GS85" s="10">
        <f t="shared" si="537"/>
        <v>4.9196902961659059E-2</v>
      </c>
      <c r="GT85" s="10">
        <f t="shared" si="538"/>
        <v>2.179510132981902</v>
      </c>
      <c r="GU85" s="539">
        <f t="shared" si="539"/>
        <v>79.748275765807804</v>
      </c>
      <c r="GV85" s="19">
        <f t="shared" si="540"/>
        <v>1.8416860623697071</v>
      </c>
      <c r="GW85" s="10">
        <f t="shared" si="541"/>
        <v>5.0333043519259553E-2</v>
      </c>
      <c r="GX85" s="10">
        <f t="shared" si="542"/>
        <v>2.2298431765011615</v>
      </c>
      <c r="GY85" s="539">
        <f t="shared" si="543"/>
        <v>81.589961828177508</v>
      </c>
      <c r="GZ85" s="19">
        <f t="shared" si="544"/>
        <v>1.8842174841434813</v>
      </c>
      <c r="HA85" s="10">
        <f t="shared" si="545"/>
        <v>5.1495421813158818E-2</v>
      </c>
      <c r="HB85" s="10">
        <f t="shared" si="546"/>
        <v>2.2813385983143202</v>
      </c>
      <c r="HC85" s="539">
        <f t="shared" si="547"/>
        <v>83.474179312320985</v>
      </c>
      <c r="HD85" s="19">
        <f t="shared" si="548"/>
        <v>1.9277311155756005</v>
      </c>
      <c r="HE85" s="10">
        <f t="shared" si="549"/>
        <v>5.2684643770855431E-2</v>
      </c>
      <c r="HF85" s="10">
        <f t="shared" si="550"/>
        <v>2.3340232420851756</v>
      </c>
      <c r="HG85" s="539">
        <f t="shared" si="551"/>
        <v>85.401910427896581</v>
      </c>
      <c r="HH85" s="19">
        <f t="shared" si="552"/>
        <v>1.9722496395619733</v>
      </c>
      <c r="HI85" s="10">
        <f t="shared" si="553"/>
        <v>5.3901329312980951E-2</v>
      </c>
      <c r="HJ85" s="10">
        <f t="shared" si="554"/>
        <v>2.3879245713981567</v>
      </c>
      <c r="HK85" s="539">
        <f t="shared" si="555"/>
        <v>87.374160067458561</v>
      </c>
      <c r="HL85" s="19">
        <f t="shared" si="556"/>
        <v>2.0177962628314425</v>
      </c>
      <c r="HM85" s="10">
        <f t="shared" si="557"/>
        <v>5.5146112676453737E-2</v>
      </c>
      <c r="HN85" s="10">
        <f t="shared" si="558"/>
        <v>2.4430706840746104</v>
      </c>
      <c r="HO85" s="539">
        <f t="shared" si="559"/>
        <v>89.39195633029</v>
      </c>
      <c r="HP85" s="19">
        <f t="shared" si="560"/>
        <v>2.0643947280430459</v>
      </c>
      <c r="HQ85" s="10">
        <f t="shared" si="561"/>
        <v>5.641964274509554E-2</v>
      </c>
      <c r="HR85" s="10">
        <f t="shared" si="562"/>
        <v>2.4994903268197057</v>
      </c>
      <c r="HS85" s="539">
        <f t="shared" si="563"/>
        <v>91.456351058333041</v>
      </c>
      <c r="HT85" s="19">
        <f t="shared" si="564"/>
        <v>2.1120693261626511</v>
      </c>
      <c r="HU85" s="10">
        <f t="shared" si="565"/>
        <v>5.7722583387883324E-2</v>
      </c>
      <c r="HV85" s="10">
        <f t="shared" si="566"/>
        <v>2.5572129102075891</v>
      </c>
      <c r="HW85" s="539">
        <f t="shared" si="567"/>
        <v>93.568420384495695</v>
      </c>
      <c r="HX85" s="19">
        <f t="shared" si="568"/>
        <v>2.1608449091254127</v>
      </c>
      <c r="HY85" s="10">
        <f t="shared" si="569"/>
        <v>5.905561380501264E-2</v>
      </c>
      <c r="HZ85" s="10">
        <f t="shared" si="570"/>
        <v>2.6162685240126016</v>
      </c>
      <c r="IA85" s="539">
        <f t="shared" si="571"/>
        <v>95.729265293621097</v>
      </c>
      <c r="IB85" s="19">
        <f t="shared" si="572"/>
        <v>2.2107469027906483</v>
      </c>
      <c r="IP85" s="11">
        <v>44</v>
      </c>
      <c r="IQ85" s="19">
        <f t="shared" si="358"/>
        <v>260.46294008437241</v>
      </c>
      <c r="IR85" s="20">
        <f t="shared" si="620"/>
        <v>3.9306809285361339</v>
      </c>
    </row>
    <row r="86" spans="1:252" ht="13.5" thickBot="1">
      <c r="A86" s="11"/>
      <c r="B86" s="20"/>
      <c r="C86" s="826" t="s">
        <v>2347</v>
      </c>
      <c r="D86" s="47" t="s">
        <v>886</v>
      </c>
      <c r="E86" s="396">
        <f t="shared" si="600"/>
        <v>6.0354999999999999</v>
      </c>
      <c r="F86" s="242">
        <v>1.0355000000000001</v>
      </c>
      <c r="G86" s="48">
        <f>'Update Stock Prices'!S86</f>
        <v>7789886934.6733665</v>
      </c>
      <c r="H86" s="991">
        <f t="shared" si="610"/>
        <v>1.3292875861790913E-10</v>
      </c>
      <c r="I86" s="49">
        <f>'Update Stock Prices'!D86</f>
        <v>63.68</v>
      </c>
      <c r="J86" s="49">
        <f t="shared" si="404"/>
        <v>65.940640000000002</v>
      </c>
      <c r="K86" s="30">
        <v>49.65</v>
      </c>
      <c r="L86" s="49">
        <f t="shared" si="611"/>
        <v>16.290640000000003</v>
      </c>
      <c r="M86" s="50">
        <f t="shared" si="613"/>
        <v>0.32810956696878157</v>
      </c>
      <c r="N86" s="49">
        <f t="shared" si="612"/>
        <v>47.947851279575076</v>
      </c>
      <c r="O86" s="48">
        <f t="shared" si="601"/>
        <v>5</v>
      </c>
      <c r="P86" s="49">
        <f t="shared" si="602"/>
        <v>2.6100000000000136</v>
      </c>
      <c r="Q86" s="30">
        <f>0.39*4</f>
        <v>1.56</v>
      </c>
      <c r="R86" s="49">
        <f>S86/365.25</f>
        <v>4.4226694045174549E-3</v>
      </c>
      <c r="S86" s="49">
        <f t="shared" si="603"/>
        <v>1.6153800000000003</v>
      </c>
      <c r="T86" s="49">
        <f>S86/12</f>
        <v>0.13461500000000001</v>
      </c>
      <c r="U86" s="49" t="s">
        <v>54</v>
      </c>
      <c r="V86" s="50">
        <f t="shared" si="604"/>
        <v>2.4497487437185932E-2</v>
      </c>
      <c r="W86" s="50">
        <f t="shared" si="575"/>
        <v>3.2535347432024173E-2</v>
      </c>
      <c r="X86" s="49">
        <f t="shared" si="618"/>
        <v>7.8000000000000007</v>
      </c>
      <c r="Y86" s="49">
        <f t="shared" si="654"/>
        <v>0.40384500000000001</v>
      </c>
      <c r="Z86" s="860">
        <f t="shared" si="605"/>
        <v>0</v>
      </c>
      <c r="AA86" s="860">
        <f t="shared" si="606"/>
        <v>162.24655128205129</v>
      </c>
      <c r="AB86" s="49">
        <f t="shared" si="607"/>
        <v>10331.860385641026</v>
      </c>
      <c r="AC86" s="48">
        <v>1</v>
      </c>
      <c r="AD86" s="47" t="str">
        <f t="shared" si="608"/>
        <v>MSFT</v>
      </c>
      <c r="AE86" s="49">
        <f t="shared" si="609"/>
        <v>65.940640000000002</v>
      </c>
      <c r="AF86" s="50" t="e">
        <f t="shared" si="405"/>
        <v>#REF!</v>
      </c>
      <c r="AG86" s="890" t="e">
        <f t="shared" si="599"/>
        <v>#REF!</v>
      </c>
      <c r="AH86" s="207" t="s">
        <v>885</v>
      </c>
      <c r="AI86" s="240">
        <f t="shared" si="406"/>
        <v>9.8708521801866688E-3</v>
      </c>
      <c r="AJ86" s="11">
        <f t="shared" si="595"/>
        <v>4</v>
      </c>
      <c r="AK86" s="11"/>
      <c r="AL86" s="11"/>
      <c r="AM86" s="11"/>
      <c r="AN86" s="11"/>
      <c r="AO86" s="11"/>
      <c r="AP86" s="11"/>
      <c r="AQ86" s="11" t="str">
        <f>'Update Stock Prices'!Q86</f>
        <v>mega</v>
      </c>
      <c r="AR86" s="11"/>
      <c r="AS86" s="11"/>
      <c r="AT86" s="578" t="e">
        <f t="shared" si="647"/>
        <v>#REF!</v>
      </c>
      <c r="AU86" s="445" t="s">
        <v>8</v>
      </c>
      <c r="AV86" s="21" t="e">
        <f>SUM(AV77:AV85)</f>
        <v>#REF!</v>
      </c>
      <c r="AW86" s="15" t="e">
        <f t="shared" si="648"/>
        <v>#REF!</v>
      </c>
      <c r="AX86" s="21">
        <v>280630.13857769943</v>
      </c>
      <c r="AY86" s="18">
        <v>1</v>
      </c>
      <c r="AZ86" s="21" t="e">
        <f>AV86-AX86</f>
        <v>#REF!</v>
      </c>
      <c r="BA86" s="18" t="e">
        <f>(AV86-AX86)/AX86</f>
        <v>#REF!</v>
      </c>
      <c r="BB86" s="955" t="e">
        <f>BC86/AV86-1</f>
        <v>#REF!</v>
      </c>
      <c r="BC86" s="909" t="e">
        <f>SUM(BC77:BC85)</f>
        <v>#REF!</v>
      </c>
      <c r="BD86" s="917" t="e">
        <f>SUM(BD77:BD85)</f>
        <v>#REF!</v>
      </c>
      <c r="BE86" s="1020" t="e">
        <f>BD86-MAX(BD77:BD85)</f>
        <v>#REF!</v>
      </c>
      <c r="BF86" s="1017">
        <f>COUNTIF(BD77:BD85,"&gt;0")/COUNTA(BD77:BD85)</f>
        <v>0.66666666666666663</v>
      </c>
      <c r="BH86" s="917" t="e">
        <f ca="1">SUM(BH77:BH85)</f>
        <v>#REF!</v>
      </c>
      <c r="BI86" s="889"/>
      <c r="BJ86" s="1453"/>
      <c r="BK86" s="19"/>
      <c r="BL86" s="1307"/>
      <c r="BM86" s="19"/>
      <c r="BN86" s="19"/>
      <c r="BO86" s="19"/>
      <c r="BP86" s="19"/>
      <c r="BS86" s="420" t="str">
        <f t="shared" si="407"/>
        <v>MSFT</v>
      </c>
      <c r="BT86" s="425">
        <f t="shared" si="408"/>
        <v>1.0355000000000001</v>
      </c>
      <c r="BU86" s="19">
        <f t="shared" si="409"/>
        <v>63.68</v>
      </c>
      <c r="BV86" s="19">
        <f t="shared" si="410"/>
        <v>65.940640000000002</v>
      </c>
      <c r="BW86" s="539">
        <f t="shared" si="411"/>
        <v>1.56</v>
      </c>
      <c r="BX86" s="19">
        <f t="shared" si="412"/>
        <v>1.6153800000000003</v>
      </c>
      <c r="BY86" s="10">
        <f t="shared" si="413"/>
        <v>2.5367148241206033E-2</v>
      </c>
      <c r="BZ86" s="10">
        <f t="shared" si="414"/>
        <v>1.0608671482412062</v>
      </c>
      <c r="CA86" s="539">
        <f t="shared" si="415"/>
        <v>67.556020000000004</v>
      </c>
      <c r="CB86" s="19">
        <f t="shared" si="416"/>
        <v>1.6549527512562818</v>
      </c>
      <c r="CC86" s="10">
        <f t="shared" si="417"/>
        <v>2.5988579636562214E-2</v>
      </c>
      <c r="CD86" s="10">
        <f t="shared" si="418"/>
        <v>1.0868557278777684</v>
      </c>
      <c r="CE86" s="539">
        <f t="shared" si="419"/>
        <v>69.210972751256293</v>
      </c>
      <c r="CF86" s="19">
        <f t="shared" si="420"/>
        <v>1.6954949354893187</v>
      </c>
      <c r="CG86" s="10">
        <f t="shared" si="421"/>
        <v>2.6625234539719201E-2</v>
      </c>
      <c r="CH86" s="10">
        <f t="shared" si="422"/>
        <v>1.1134809624174875</v>
      </c>
      <c r="CI86" s="539">
        <f t="shared" si="423"/>
        <v>70.9064676867456</v>
      </c>
      <c r="CJ86" s="19">
        <f t="shared" si="424"/>
        <v>1.7370303013712807</v>
      </c>
      <c r="CK86" s="10">
        <f t="shared" si="425"/>
        <v>2.7277485888368102E-2</v>
      </c>
      <c r="CL86" s="10">
        <f t="shared" si="426"/>
        <v>1.1407584483058557</v>
      </c>
      <c r="CM86" s="539">
        <f t="shared" si="427"/>
        <v>72.643497988116891</v>
      </c>
      <c r="CN86" s="19">
        <f t="shared" si="428"/>
        <v>1.7795831793571351</v>
      </c>
      <c r="CO86" s="10">
        <f t="shared" si="429"/>
        <v>2.7945715756236417E-2</v>
      </c>
      <c r="CP86" s="10">
        <f t="shared" si="430"/>
        <v>1.1687041640620921</v>
      </c>
      <c r="CQ86" s="539">
        <f t="shared" si="431"/>
        <v>74.423081167474024</v>
      </c>
      <c r="CR86" s="19">
        <f t="shared" si="432"/>
        <v>1.8231784959368638</v>
      </c>
      <c r="CS86" s="10">
        <f t="shared" si="433"/>
        <v>2.8630315576897988E-2</v>
      </c>
      <c r="CT86" s="10">
        <f t="shared" si="434"/>
        <v>1.19733447963899</v>
      </c>
      <c r="CU86" s="539">
        <f t="shared" si="435"/>
        <v>76.246259663410882</v>
      </c>
      <c r="CV86" s="19">
        <f t="shared" si="436"/>
        <v>1.8678417882368243</v>
      </c>
      <c r="CW86" s="10">
        <f t="shared" si="437"/>
        <v>2.9331686373065709E-2</v>
      </c>
      <c r="CX86" s="10">
        <f t="shared" si="438"/>
        <v>1.2266661660120557</v>
      </c>
      <c r="CY86" s="539">
        <f t="shared" si="439"/>
        <v>78.114101451647713</v>
      </c>
      <c r="CZ86" s="19">
        <f t="shared" si="440"/>
        <v>1.9135992189788069</v>
      </c>
      <c r="DA86" s="10">
        <f t="shared" si="441"/>
        <v>3.0050238991501364E-2</v>
      </c>
      <c r="DB86" s="10">
        <f t="shared" si="442"/>
        <v>1.2567164050035571</v>
      </c>
      <c r="DC86" s="539">
        <f t="shared" si="443"/>
        <v>80.027700670626515</v>
      </c>
      <c r="DD86" s="19">
        <f t="shared" si="444"/>
        <v>1.960477591805549</v>
      </c>
      <c r="DE86" s="10">
        <f t="shared" si="445"/>
        <v>3.0786394343680103E-2</v>
      </c>
      <c r="DF86" s="10">
        <f t="shared" si="446"/>
        <v>1.2875027993472372</v>
      </c>
      <c r="DG86" s="539">
        <f t="shared" si="447"/>
        <v>81.988178262432072</v>
      </c>
      <c r="DH86" s="19">
        <f t="shared" si="448"/>
        <v>2.0085043669816902</v>
      </c>
      <c r="DI86" s="10">
        <f t="shared" si="449"/>
        <v>3.1540583652350664E-2</v>
      </c>
      <c r="DJ86" s="10">
        <f t="shared" si="450"/>
        <v>1.3190433829995878</v>
      </c>
      <c r="DK86" s="539">
        <f t="shared" si="451"/>
        <v>83.996682629413755</v>
      </c>
      <c r="DL86" s="19">
        <f t="shared" si="452"/>
        <v>2.0577076774793572</v>
      </c>
      <c r="DM86" s="10">
        <f t="shared" si="453"/>
        <v>3.2313248704135634E-2</v>
      </c>
      <c r="DN86" s="10">
        <f t="shared" si="454"/>
        <v>1.3513566317037233</v>
      </c>
      <c r="DO86" s="539">
        <f t="shared" si="455"/>
        <v>86.054390306893097</v>
      </c>
      <c r="DP86" s="19">
        <f t="shared" si="456"/>
        <v>2.1081163454578085</v>
      </c>
      <c r="DQ86" s="10">
        <f t="shared" si="457"/>
        <v>3.3104842108319855E-2</v>
      </c>
      <c r="DR86" s="10">
        <f t="shared" si="458"/>
        <v>1.3844614738120431</v>
      </c>
      <c r="DS86" s="539">
        <f t="shared" si="459"/>
        <v>88.162506652350899</v>
      </c>
      <c r="DT86" s="19">
        <f t="shared" si="460"/>
        <v>2.1597598991467875</v>
      </c>
      <c r="DU86" s="10">
        <f t="shared" si="461"/>
        <v>3.3915827561978446E-2</v>
      </c>
      <c r="DV86" s="10">
        <f t="shared" si="462"/>
        <v>1.4183773013740215</v>
      </c>
      <c r="DW86" s="539">
        <f t="shared" si="463"/>
        <v>90.322266551497691</v>
      </c>
      <c r="DX86" s="19">
        <f t="shared" si="464"/>
        <v>2.2126685901434735</v>
      </c>
      <c r="DY86" s="10">
        <f t="shared" si="465"/>
        <v>3.4746680121599774E-2</v>
      </c>
      <c r="DZ86" s="10">
        <f t="shared" si="466"/>
        <v>1.4531239814956214</v>
      </c>
      <c r="EA86" s="539">
        <f t="shared" si="467"/>
        <v>92.534935141641171</v>
      </c>
      <c r="EB86" s="19">
        <f t="shared" si="468"/>
        <v>2.2668734111331696</v>
      </c>
      <c r="EC86" s="10">
        <f t="shared" si="469"/>
        <v>3.5597886481362591E-2</v>
      </c>
      <c r="ED86" s="10">
        <f t="shared" si="470"/>
        <v>1.488721867976984</v>
      </c>
      <c r="EE86" s="539">
        <f t="shared" si="471"/>
        <v>94.801808552774347</v>
      </c>
      <c r="EF86" s="19">
        <f t="shared" si="472"/>
        <v>2.322406114044095</v>
      </c>
      <c r="EG86" s="10">
        <f t="shared" si="473"/>
        <v>3.6469945258230135E-2</v>
      </c>
      <c r="EH86" s="10">
        <f t="shared" si="474"/>
        <v>1.5251918132352142</v>
      </c>
      <c r="EI86" s="539">
        <f t="shared" si="475"/>
        <v>97.124214666818446</v>
      </c>
      <c r="EJ86" s="19">
        <f t="shared" si="476"/>
        <v>2.3792992286469343</v>
      </c>
      <c r="EK86" s="10">
        <f t="shared" si="477"/>
        <v>3.736336728402849E-2</v>
      </c>
      <c r="EL86" s="10">
        <f t="shared" si="478"/>
        <v>1.5625551805192428</v>
      </c>
      <c r="EM86" s="539">
        <f t="shared" si="479"/>
        <v>99.503513895465375</v>
      </c>
      <c r="EN86" s="19">
        <f t="shared" si="480"/>
        <v>2.4375860816100188</v>
      </c>
      <c r="EO86" s="10">
        <f t="shared" si="481"/>
        <v>3.827867590467994E-2</v>
      </c>
      <c r="EP86" s="10">
        <f t="shared" si="482"/>
        <v>1.6008338564239228</v>
      </c>
      <c r="EQ86" s="539">
        <f t="shared" si="483"/>
        <v>101.94109997707541</v>
      </c>
      <c r="ER86" s="19">
        <f t="shared" si="484"/>
        <v>2.4973008160213199</v>
      </c>
      <c r="ES86" s="10">
        <f t="shared" si="485"/>
        <v>3.9216407286766959E-2</v>
      </c>
      <c r="ET86" s="10">
        <f t="shared" si="486"/>
        <v>1.6400502637106897</v>
      </c>
      <c r="EU86" s="539">
        <f t="shared" si="487"/>
        <v>104.43840079309672</v>
      </c>
      <c r="EV86" s="19">
        <f t="shared" si="488"/>
        <v>2.558478411388676</v>
      </c>
      <c r="EW86" s="10">
        <f t="shared" si="489"/>
        <v>4.0177110731606097E-2</v>
      </c>
      <c r="EX86" s="10">
        <f t="shared" si="490"/>
        <v>1.6802273744422958</v>
      </c>
      <c r="EY86" s="539">
        <f t="shared" si="491"/>
        <v>106.9968792044854</v>
      </c>
      <c r="EZ86" s="19">
        <f t="shared" si="492"/>
        <v>2.6211547041299816</v>
      </c>
      <c r="FA86" s="10">
        <f t="shared" si="493"/>
        <v>4.1161348997016046E-2</v>
      </c>
      <c r="FB86" s="10">
        <f t="shared" si="494"/>
        <v>1.7213887234393117</v>
      </c>
      <c r="FC86" s="539">
        <f t="shared" si="495"/>
        <v>109.61803390861537</v>
      </c>
      <c r="FD86" s="19">
        <f t="shared" si="496"/>
        <v>2.6853664085653262</v>
      </c>
      <c r="FE86" s="10">
        <f t="shared" si="497"/>
        <v>4.2169698626968059E-2</v>
      </c>
      <c r="FF86" s="10">
        <f t="shared" si="498"/>
        <v>1.7635584220662797</v>
      </c>
      <c r="FG86" s="539">
        <f t="shared" si="499"/>
        <v>112.30340031718069</v>
      </c>
      <c r="FH86" s="19">
        <f t="shared" si="500"/>
        <v>2.7511511384233964</v>
      </c>
      <c r="FI86" s="10">
        <f t="shared" si="501"/>
        <v>4.3202750289312128E-2</v>
      </c>
      <c r="FJ86" s="10">
        <f t="shared" si="502"/>
        <v>1.8067611723555919</v>
      </c>
      <c r="FK86" s="539">
        <f t="shared" si="503"/>
        <v>115.05455145560408</v>
      </c>
      <c r="FL86" s="19">
        <f t="shared" si="504"/>
        <v>2.8185474288747234</v>
      </c>
      <c r="FM86" s="10">
        <f t="shared" si="505"/>
        <v>4.4261109121776436E-2</v>
      </c>
      <c r="FN86" s="10">
        <f t="shared" si="506"/>
        <v>1.8510222814773682</v>
      </c>
      <c r="FO86" s="539">
        <f t="shared" si="507"/>
        <v>117.87309888447881</v>
      </c>
      <c r="FP86" s="19">
        <f t="shared" si="508"/>
        <v>2.8875947591046947</v>
      </c>
      <c r="FQ86" s="10">
        <f t="shared" si="509"/>
        <v>4.5345395086443072E-2</v>
      </c>
      <c r="FR86" s="10">
        <f t="shared" si="510"/>
        <v>1.8963676765638113</v>
      </c>
      <c r="FS86" s="539">
        <f t="shared" si="511"/>
        <v>120.76069364358351</v>
      </c>
      <c r="FT86" s="19">
        <f t="shared" si="512"/>
        <v>2.9583335754395459</v>
      </c>
      <c r="FU86" s="10">
        <f t="shared" si="513"/>
        <v>4.6456243332907439E-2</v>
      </c>
      <c r="FV86" s="10">
        <f t="shared" si="514"/>
        <v>1.9428239198967188</v>
      </c>
      <c r="FW86" s="539">
        <f t="shared" si="515"/>
        <v>123.71902721902305</v>
      </c>
      <c r="FX86" s="19">
        <f t="shared" si="516"/>
        <v>3.0308053150388812</v>
      </c>
      <c r="FY86" s="10">
        <f t="shared" si="517"/>
        <v>4.7594304570334187E-2</v>
      </c>
      <c r="FZ86" s="10">
        <f t="shared" si="518"/>
        <v>1.990418224467053</v>
      </c>
      <c r="GA86" s="539">
        <f t="shared" si="519"/>
        <v>126.74983253406194</v>
      </c>
      <c r="GB86" s="19">
        <f t="shared" si="520"/>
        <v>3.1050524301686027</v>
      </c>
      <c r="GC86" s="10">
        <f t="shared" si="521"/>
        <v>4.8760245448627552E-2</v>
      </c>
      <c r="GD86" s="10">
        <f t="shared" si="522"/>
        <v>2.0391784699156803</v>
      </c>
      <c r="GE86" s="539">
        <f t="shared" si="523"/>
        <v>129.85488496423051</v>
      </c>
      <c r="GF86" s="19">
        <f t="shared" si="524"/>
        <v>3.1811184130684613</v>
      </c>
      <c r="GG86" s="10">
        <f t="shared" si="525"/>
        <v>4.9954748948939406E-2</v>
      </c>
      <c r="GH86" s="10">
        <f t="shared" si="526"/>
        <v>2.0891332188646197</v>
      </c>
      <c r="GI86" s="539">
        <f t="shared" si="527"/>
        <v>133.03600337729898</v>
      </c>
      <c r="GJ86" s="19">
        <f t="shared" si="528"/>
        <v>3.259047821428807</v>
      </c>
      <c r="GK86" s="10">
        <f t="shared" si="529"/>
        <v>5.1178514783743828E-2</v>
      </c>
      <c r="GL86" s="10">
        <f t="shared" si="530"/>
        <v>2.1403117336483635</v>
      </c>
      <c r="GM86" s="539">
        <f t="shared" si="531"/>
        <v>136.29505119872778</v>
      </c>
      <c r="GN86" s="19">
        <f t="shared" si="532"/>
        <v>3.3388863044914472</v>
      </c>
      <c r="GO86" s="10">
        <f t="shared" si="533"/>
        <v>5.2432259806712428E-2</v>
      </c>
      <c r="GP86" s="10">
        <f t="shared" si="534"/>
        <v>2.1927439934550761</v>
      </c>
      <c r="GQ86" s="539">
        <f t="shared" si="535"/>
        <v>139.63393750321924</v>
      </c>
      <c r="GR86" s="19">
        <f t="shared" si="536"/>
        <v>3.4206806297899188</v>
      </c>
      <c r="GS86" s="10">
        <f t="shared" si="537"/>
        <v>5.3716718432630636E-2</v>
      </c>
      <c r="GT86" s="10">
        <f t="shared" si="538"/>
        <v>2.2464607118877069</v>
      </c>
      <c r="GU86" s="539">
        <f t="shared" si="539"/>
        <v>143.05461813300917</v>
      </c>
      <c r="GV86" s="19">
        <f t="shared" si="540"/>
        <v>3.5044787105448227</v>
      </c>
      <c r="GW86" s="10">
        <f t="shared" si="541"/>
        <v>5.5032643067600862E-2</v>
      </c>
      <c r="GX86" s="10">
        <f t="shared" si="542"/>
        <v>2.3014933549553076</v>
      </c>
      <c r="GY86" s="539">
        <f t="shared" si="543"/>
        <v>146.55909684355399</v>
      </c>
      <c r="GZ86" s="19">
        <f t="shared" si="544"/>
        <v>3.5903296337302799</v>
      </c>
      <c r="HA86" s="10">
        <f t="shared" si="545"/>
        <v>5.6380804549784544E-2</v>
      </c>
      <c r="HB86" s="10">
        <f t="shared" si="546"/>
        <v>2.357874159505092</v>
      </c>
      <c r="HC86" s="539">
        <f t="shared" si="547"/>
        <v>150.14942647728427</v>
      </c>
      <c r="HD86" s="19">
        <f t="shared" si="548"/>
        <v>3.6782836888279435</v>
      </c>
      <c r="HE86" s="10">
        <f t="shared" si="549"/>
        <v>5.7761992600941323E-2</v>
      </c>
      <c r="HF86" s="10">
        <f t="shared" si="550"/>
        <v>2.4156361521060332</v>
      </c>
      <c r="HG86" s="539">
        <f t="shared" si="551"/>
        <v>153.82771016611218</v>
      </c>
      <c r="HH86" s="19">
        <f t="shared" si="552"/>
        <v>3.7683923972854121</v>
      </c>
      <c r="HI86" s="10">
        <f t="shared" si="553"/>
        <v>5.9177016289029716E-2</v>
      </c>
      <c r="HJ86" s="10">
        <f t="shared" si="554"/>
        <v>2.4748131683950629</v>
      </c>
      <c r="HK86" s="539">
        <f t="shared" si="555"/>
        <v>157.59610256339761</v>
      </c>
      <c r="HL86" s="19">
        <f t="shared" si="556"/>
        <v>3.8607085426962984</v>
      </c>
      <c r="HM86" s="10">
        <f t="shared" si="557"/>
        <v>6.0626704502140367E-2</v>
      </c>
      <c r="HN86" s="10">
        <f t="shared" si="558"/>
        <v>2.5354398728972032</v>
      </c>
      <c r="HO86" s="539">
        <f t="shared" si="559"/>
        <v>161.45681110609391</v>
      </c>
      <c r="HP86" s="19">
        <f t="shared" si="560"/>
        <v>3.9552862017196371</v>
      </c>
      <c r="HQ86" s="10">
        <f t="shared" si="561"/>
        <v>6.2111906434039528E-2</v>
      </c>
      <c r="HR86" s="10">
        <f t="shared" si="562"/>
        <v>2.5975517793312428</v>
      </c>
      <c r="HS86" s="539">
        <f t="shared" si="563"/>
        <v>165.41209730781355</v>
      </c>
      <c r="HT86" s="19">
        <f t="shared" si="564"/>
        <v>4.0521807757567387</v>
      </c>
      <c r="HU86" s="10">
        <f t="shared" si="565"/>
        <v>6.3633492081607082E-2</v>
      </c>
      <c r="HV86" s="10">
        <f t="shared" si="566"/>
        <v>2.6611852714128501</v>
      </c>
      <c r="HW86" s="539">
        <f t="shared" si="567"/>
        <v>169.46427808357029</v>
      </c>
      <c r="HX86" s="19">
        <f t="shared" si="568"/>
        <v>4.1514490234040462</v>
      </c>
      <c r="HY86" s="10">
        <f t="shared" si="569"/>
        <v>6.5192352754460531E-2</v>
      </c>
      <c r="HZ86" s="10">
        <f t="shared" si="570"/>
        <v>2.7263776241673106</v>
      </c>
      <c r="IA86" s="539">
        <f t="shared" si="571"/>
        <v>173.61572710697433</v>
      </c>
      <c r="IB86" s="19">
        <f t="shared" si="572"/>
        <v>4.2531490937010048</v>
      </c>
      <c r="IP86" s="11">
        <v>45</v>
      </c>
      <c r="IQ86" s="19">
        <f t="shared" si="358"/>
        <v>281.29997529112222</v>
      </c>
      <c r="IR86" s="20">
        <f t="shared" si="620"/>
        <v>3.8592140025627497</v>
      </c>
    </row>
    <row r="87" spans="1:252">
      <c r="A87" s="11"/>
      <c r="B87" s="20"/>
      <c r="C87" s="826" t="s">
        <v>2342</v>
      </c>
      <c r="D87" s="47" t="s">
        <v>351</v>
      </c>
      <c r="E87" s="396">
        <f t="shared" si="600"/>
        <v>23.3475</v>
      </c>
      <c r="F87" s="242">
        <f>3.0809+0.2666</f>
        <v>3.3475000000000001</v>
      </c>
      <c r="G87" s="48">
        <f>'Update Stock Prices'!S87</f>
        <v>45941250</v>
      </c>
      <c r="H87" s="991">
        <f t="shared" si="610"/>
        <v>7.2864800152368522E-8</v>
      </c>
      <c r="I87" s="49">
        <f>'Update Stock Prices'!D87</f>
        <v>16</v>
      </c>
      <c r="J87" s="49">
        <f t="shared" si="404"/>
        <v>53.56</v>
      </c>
      <c r="K87" s="30">
        <v>58.66</v>
      </c>
      <c r="L87" s="49">
        <f t="shared" si="611"/>
        <v>-5.0999999999999943</v>
      </c>
      <c r="M87" s="50">
        <f t="shared" si="613"/>
        <v>-8.6941697920218108E-2</v>
      </c>
      <c r="N87" s="49">
        <f t="shared" si="612"/>
        <v>17.523525018670647</v>
      </c>
      <c r="O87" s="48">
        <f t="shared" si="601"/>
        <v>20</v>
      </c>
      <c r="P87" s="49">
        <f t="shared" si="602"/>
        <v>1.0099999999999909</v>
      </c>
      <c r="Q87" s="30">
        <f>0.4*4</f>
        <v>1.6</v>
      </c>
      <c r="R87" s="49">
        <f t="shared" si="242"/>
        <v>1.4663928815879537E-2</v>
      </c>
      <c r="S87" s="49">
        <f t="shared" si="603"/>
        <v>5.3560000000000008</v>
      </c>
      <c r="T87" s="49">
        <f t="shared" si="399"/>
        <v>0.44633333333333342</v>
      </c>
      <c r="U87" s="49" t="s">
        <v>54</v>
      </c>
      <c r="V87" s="50">
        <f t="shared" si="604"/>
        <v>0.1</v>
      </c>
      <c r="W87" s="50">
        <f t="shared" si="575"/>
        <v>9.1305830207978195E-2</v>
      </c>
      <c r="X87" s="49">
        <f>12*((E87*Q87)/12-T87)</f>
        <v>32</v>
      </c>
      <c r="Y87" s="49">
        <f t="shared" si="654"/>
        <v>1.3390000000000002</v>
      </c>
      <c r="Z87" s="860">
        <f t="shared" si="605"/>
        <v>0</v>
      </c>
      <c r="AA87" s="860">
        <f t="shared" si="606"/>
        <v>36.652500000000003</v>
      </c>
      <c r="AB87" s="49">
        <f t="shared" si="607"/>
        <v>586.44000000000005</v>
      </c>
      <c r="AC87" s="48">
        <v>1</v>
      </c>
      <c r="AD87" s="47" t="str">
        <f t="shared" si="608"/>
        <v>MTGE</v>
      </c>
      <c r="AE87" s="49">
        <f t="shared" si="609"/>
        <v>53.56</v>
      </c>
      <c r="AF87" s="50" t="e">
        <f t="shared" si="405"/>
        <v>#REF!</v>
      </c>
      <c r="AG87" s="890" t="e">
        <f t="shared" si="599"/>
        <v>#REF!</v>
      </c>
      <c r="AH87" s="207" t="s">
        <v>349</v>
      </c>
      <c r="AI87" s="240">
        <f t="shared" si="406"/>
        <v>6.5122260766597335E-3</v>
      </c>
      <c r="AJ87" s="11">
        <f t="shared" si="595"/>
        <v>4</v>
      </c>
      <c r="AK87" s="11"/>
      <c r="AL87" s="11"/>
      <c r="AM87" s="11"/>
      <c r="AN87" s="11"/>
      <c r="AO87" s="11"/>
      <c r="AP87" s="11"/>
      <c r="AQ87" s="11" t="str">
        <f>'Update Stock Prices'!Q87</f>
        <v>small</v>
      </c>
      <c r="AR87" s="11"/>
      <c r="AS87" s="11"/>
      <c r="AU87" s="376" t="s">
        <v>1767</v>
      </c>
      <c r="AV87" s="910" t="e">
        <f>AG191</f>
        <v>#REF!</v>
      </c>
      <c r="AW87" s="896"/>
      <c r="AX87" s="910">
        <v>678.47127073188369</v>
      </c>
      <c r="AY87" s="910"/>
      <c r="AZ87" s="910" t="e">
        <f>AV87-AX87</f>
        <v>#REF!</v>
      </c>
      <c r="BA87" s="429" t="e">
        <f>(AV87-AX87)/AX87</f>
        <v>#REF!</v>
      </c>
      <c r="BB87" s="428"/>
      <c r="BC87" s="1043"/>
      <c r="BD87" s="19"/>
      <c r="BE87" s="975"/>
      <c r="BF87" s="800"/>
      <c r="BK87" s="19"/>
      <c r="BL87" s="19"/>
      <c r="BM87" s="19"/>
      <c r="BN87" s="19"/>
      <c r="BO87" s="19"/>
      <c r="BP87" s="19"/>
      <c r="BS87" s="420" t="str">
        <f t="shared" si="407"/>
        <v>MTGE</v>
      </c>
      <c r="BT87" s="425">
        <f t="shared" si="408"/>
        <v>3.3475000000000001</v>
      </c>
      <c r="BU87" s="19">
        <f t="shared" si="409"/>
        <v>16</v>
      </c>
      <c r="BV87" s="19">
        <f t="shared" si="410"/>
        <v>53.56</v>
      </c>
      <c r="BW87" s="539">
        <f t="shared" si="411"/>
        <v>1.6</v>
      </c>
      <c r="BX87" s="19">
        <f t="shared" si="412"/>
        <v>5.3560000000000008</v>
      </c>
      <c r="BY87" s="10">
        <f t="shared" si="413"/>
        <v>0.33475000000000005</v>
      </c>
      <c r="BZ87" s="10">
        <f t="shared" si="414"/>
        <v>3.6822500000000002</v>
      </c>
      <c r="CA87" s="539">
        <f t="shared" si="415"/>
        <v>58.916000000000004</v>
      </c>
      <c r="CB87" s="19">
        <f t="shared" si="416"/>
        <v>5.8916000000000004</v>
      </c>
      <c r="CC87" s="10">
        <f t="shared" si="417"/>
        <v>0.36822500000000002</v>
      </c>
      <c r="CD87" s="10">
        <f t="shared" si="418"/>
        <v>4.0504750000000005</v>
      </c>
      <c r="CE87" s="539">
        <f t="shared" si="419"/>
        <v>64.807600000000008</v>
      </c>
      <c r="CF87" s="19">
        <f t="shared" si="420"/>
        <v>6.480760000000001</v>
      </c>
      <c r="CG87" s="10">
        <f t="shared" si="421"/>
        <v>0.40504750000000006</v>
      </c>
      <c r="CH87" s="10">
        <f t="shared" si="422"/>
        <v>4.4555225000000007</v>
      </c>
      <c r="CI87" s="539">
        <f t="shared" si="423"/>
        <v>71.288360000000011</v>
      </c>
      <c r="CJ87" s="19">
        <f t="shared" si="424"/>
        <v>7.1288360000000015</v>
      </c>
      <c r="CK87" s="10">
        <f t="shared" si="425"/>
        <v>0.44555225000000009</v>
      </c>
      <c r="CL87" s="10">
        <f t="shared" si="426"/>
        <v>4.9010747500000011</v>
      </c>
      <c r="CM87" s="539">
        <f t="shared" si="427"/>
        <v>78.417196000000018</v>
      </c>
      <c r="CN87" s="19">
        <f t="shared" si="428"/>
        <v>7.841719600000002</v>
      </c>
      <c r="CO87" s="10">
        <f t="shared" si="429"/>
        <v>0.49010747500000013</v>
      </c>
      <c r="CP87" s="10">
        <f t="shared" si="430"/>
        <v>5.3911822250000014</v>
      </c>
      <c r="CQ87" s="539">
        <f t="shared" si="431"/>
        <v>86.258915600000023</v>
      </c>
      <c r="CR87" s="19">
        <f t="shared" si="432"/>
        <v>8.625891560000003</v>
      </c>
      <c r="CS87" s="10">
        <f t="shared" si="433"/>
        <v>0.53911822250000019</v>
      </c>
      <c r="CT87" s="10">
        <f t="shared" si="434"/>
        <v>5.9303004475000014</v>
      </c>
      <c r="CU87" s="539">
        <f t="shared" si="435"/>
        <v>94.884807160000022</v>
      </c>
      <c r="CV87" s="19">
        <f t="shared" si="436"/>
        <v>9.4884807160000033</v>
      </c>
      <c r="CW87" s="10">
        <f t="shared" si="437"/>
        <v>0.59303004475000021</v>
      </c>
      <c r="CX87" s="10">
        <f t="shared" si="438"/>
        <v>6.5233304922500013</v>
      </c>
      <c r="CY87" s="539">
        <f t="shared" si="439"/>
        <v>104.37328787600002</v>
      </c>
      <c r="CZ87" s="19">
        <f t="shared" si="440"/>
        <v>10.437328787600002</v>
      </c>
      <c r="DA87" s="10">
        <f t="shared" si="441"/>
        <v>0.65233304922500013</v>
      </c>
      <c r="DB87" s="10">
        <f t="shared" si="442"/>
        <v>7.1756635414750018</v>
      </c>
      <c r="DC87" s="539">
        <f t="shared" si="443"/>
        <v>114.81061666360003</v>
      </c>
      <c r="DD87" s="19">
        <f t="shared" si="444"/>
        <v>11.481061666360004</v>
      </c>
      <c r="DE87" s="10">
        <f t="shared" si="445"/>
        <v>0.71756635414750025</v>
      </c>
      <c r="DF87" s="10">
        <f t="shared" si="446"/>
        <v>7.8932298956225022</v>
      </c>
      <c r="DG87" s="539">
        <f t="shared" si="447"/>
        <v>126.29167832996004</v>
      </c>
      <c r="DH87" s="19">
        <f t="shared" si="448"/>
        <v>12.629167832996004</v>
      </c>
      <c r="DI87" s="10">
        <f t="shared" si="449"/>
        <v>0.78932298956225022</v>
      </c>
      <c r="DJ87" s="10">
        <f t="shared" si="450"/>
        <v>8.6825528851847515</v>
      </c>
      <c r="DK87" s="539">
        <f t="shared" si="451"/>
        <v>138.92084616295602</v>
      </c>
      <c r="DL87" s="19">
        <f t="shared" si="452"/>
        <v>13.892084616295604</v>
      </c>
      <c r="DM87" s="10">
        <f t="shared" si="453"/>
        <v>0.86825528851847522</v>
      </c>
      <c r="DN87" s="10">
        <f t="shared" si="454"/>
        <v>9.550808173703226</v>
      </c>
      <c r="DO87" s="539">
        <f t="shared" si="455"/>
        <v>152.81293077925162</v>
      </c>
      <c r="DP87" s="19">
        <f t="shared" si="456"/>
        <v>15.281293077925163</v>
      </c>
      <c r="DQ87" s="10">
        <f t="shared" si="457"/>
        <v>0.95508081737032269</v>
      </c>
      <c r="DR87" s="10">
        <f t="shared" si="458"/>
        <v>10.505888991073549</v>
      </c>
      <c r="DS87" s="539">
        <f t="shared" si="459"/>
        <v>168.09422385717679</v>
      </c>
      <c r="DT87" s="19">
        <f t="shared" si="460"/>
        <v>16.809422385717678</v>
      </c>
      <c r="DU87" s="10">
        <f t="shared" si="461"/>
        <v>1.0505888991073549</v>
      </c>
      <c r="DV87" s="10">
        <f t="shared" si="462"/>
        <v>11.556477890180904</v>
      </c>
      <c r="DW87" s="539">
        <f t="shared" si="463"/>
        <v>184.90364624289447</v>
      </c>
      <c r="DX87" s="19">
        <f t="shared" si="464"/>
        <v>18.490364624289448</v>
      </c>
      <c r="DY87" s="10">
        <f t="shared" si="465"/>
        <v>1.1556477890180905</v>
      </c>
      <c r="DZ87" s="10">
        <f t="shared" si="466"/>
        <v>12.712125679198994</v>
      </c>
      <c r="EA87" s="539">
        <f t="shared" si="467"/>
        <v>203.39401086718391</v>
      </c>
      <c r="EB87" s="19">
        <f t="shared" si="468"/>
        <v>20.339401086718393</v>
      </c>
      <c r="EC87" s="10">
        <f t="shared" si="469"/>
        <v>1.2712125679198996</v>
      </c>
      <c r="ED87" s="10">
        <f t="shared" si="470"/>
        <v>13.983338247118894</v>
      </c>
      <c r="EE87" s="539">
        <f t="shared" si="471"/>
        <v>223.7334119539023</v>
      </c>
      <c r="EF87" s="19">
        <f t="shared" si="472"/>
        <v>22.373341195390232</v>
      </c>
      <c r="EG87" s="10">
        <f t="shared" si="473"/>
        <v>1.3983338247118895</v>
      </c>
      <c r="EH87" s="10">
        <f t="shared" si="474"/>
        <v>15.381672071830783</v>
      </c>
      <c r="EI87" s="539">
        <f t="shared" si="475"/>
        <v>246.10675314929253</v>
      </c>
      <c r="EJ87" s="19">
        <f t="shared" si="476"/>
        <v>24.610675314929253</v>
      </c>
      <c r="EK87" s="10">
        <f t="shared" si="477"/>
        <v>1.5381672071830783</v>
      </c>
      <c r="EL87" s="10">
        <f t="shared" si="478"/>
        <v>16.919839279013861</v>
      </c>
      <c r="EM87" s="539">
        <f t="shared" si="479"/>
        <v>270.71742846422177</v>
      </c>
      <c r="EN87" s="19">
        <f t="shared" si="480"/>
        <v>27.071742846422179</v>
      </c>
      <c r="EO87" s="10">
        <f t="shared" si="481"/>
        <v>1.6919839279013862</v>
      </c>
      <c r="EP87" s="10">
        <f t="shared" si="482"/>
        <v>18.611823206915247</v>
      </c>
      <c r="EQ87" s="539">
        <f t="shared" si="483"/>
        <v>297.78917131064395</v>
      </c>
      <c r="ER87" s="19">
        <f t="shared" si="484"/>
        <v>29.778917131064397</v>
      </c>
      <c r="ES87" s="10">
        <f t="shared" si="485"/>
        <v>1.8611823206915248</v>
      </c>
      <c r="ET87" s="10">
        <f t="shared" si="486"/>
        <v>20.473005527606773</v>
      </c>
      <c r="EU87" s="539">
        <f t="shared" si="487"/>
        <v>327.56808844170837</v>
      </c>
      <c r="EV87" s="19">
        <f t="shared" si="488"/>
        <v>32.756808844170841</v>
      </c>
      <c r="EW87" s="10">
        <f t="shared" si="489"/>
        <v>2.0473005527606776</v>
      </c>
      <c r="EX87" s="10">
        <f t="shared" si="490"/>
        <v>22.520306080367451</v>
      </c>
      <c r="EY87" s="539">
        <f t="shared" si="491"/>
        <v>360.32489728587922</v>
      </c>
      <c r="EZ87" s="19">
        <f t="shared" si="492"/>
        <v>36.032489728587926</v>
      </c>
      <c r="FA87" s="10">
        <f t="shared" si="493"/>
        <v>2.2520306080367454</v>
      </c>
      <c r="FB87" s="10">
        <f t="shared" si="494"/>
        <v>24.772336688404195</v>
      </c>
      <c r="FC87" s="539">
        <f t="shared" si="495"/>
        <v>396.35738701446712</v>
      </c>
      <c r="FD87" s="19">
        <f t="shared" si="496"/>
        <v>39.635738701446712</v>
      </c>
      <c r="FE87" s="10">
        <f t="shared" si="497"/>
        <v>2.4772336688404195</v>
      </c>
      <c r="FF87" s="10">
        <f t="shared" si="498"/>
        <v>27.249570357244615</v>
      </c>
      <c r="FG87" s="539">
        <f t="shared" si="499"/>
        <v>435.99312571591383</v>
      </c>
      <c r="FH87" s="19">
        <f t="shared" si="500"/>
        <v>43.599312571591383</v>
      </c>
      <c r="FI87" s="10">
        <f t="shared" si="501"/>
        <v>2.7249570357244615</v>
      </c>
      <c r="FJ87" s="10">
        <f t="shared" si="502"/>
        <v>29.974527392969076</v>
      </c>
      <c r="FK87" s="539">
        <f t="shared" si="503"/>
        <v>479.59243828750522</v>
      </c>
      <c r="FL87" s="19">
        <f t="shared" si="504"/>
        <v>47.959243828750523</v>
      </c>
      <c r="FM87" s="10">
        <f t="shared" si="505"/>
        <v>2.9974527392969077</v>
      </c>
      <c r="FN87" s="10">
        <f t="shared" si="506"/>
        <v>32.971980132265983</v>
      </c>
      <c r="FO87" s="539">
        <f t="shared" si="507"/>
        <v>527.55168211625573</v>
      </c>
      <c r="FP87" s="19">
        <f t="shared" si="508"/>
        <v>52.755168211625573</v>
      </c>
      <c r="FQ87" s="10">
        <f t="shared" si="509"/>
        <v>3.2971980132265983</v>
      </c>
      <c r="FR87" s="10">
        <f t="shared" si="510"/>
        <v>36.269178145492582</v>
      </c>
      <c r="FS87" s="539">
        <f t="shared" si="511"/>
        <v>580.30685032788131</v>
      </c>
      <c r="FT87" s="19">
        <f t="shared" si="512"/>
        <v>58.030685032788135</v>
      </c>
      <c r="FU87" s="10">
        <f t="shared" si="513"/>
        <v>3.6269178145492584</v>
      </c>
      <c r="FV87" s="10">
        <f t="shared" si="514"/>
        <v>39.896095960041841</v>
      </c>
      <c r="FW87" s="539">
        <f t="shared" si="515"/>
        <v>638.33753536066945</v>
      </c>
      <c r="FX87" s="19">
        <f t="shared" si="516"/>
        <v>63.833753536066951</v>
      </c>
      <c r="FY87" s="10">
        <f t="shared" si="517"/>
        <v>3.9896095960041844</v>
      </c>
      <c r="FZ87" s="10">
        <f t="shared" si="518"/>
        <v>43.885705556046027</v>
      </c>
      <c r="GA87" s="539">
        <f t="shared" si="519"/>
        <v>702.17128889673643</v>
      </c>
      <c r="GB87" s="19">
        <f t="shared" si="520"/>
        <v>70.217128889673646</v>
      </c>
      <c r="GC87" s="10">
        <f t="shared" si="521"/>
        <v>4.3885705556046029</v>
      </c>
      <c r="GD87" s="10">
        <f t="shared" si="522"/>
        <v>48.274276111650629</v>
      </c>
      <c r="GE87" s="539">
        <f t="shared" si="523"/>
        <v>772.38841778641006</v>
      </c>
      <c r="GF87" s="19">
        <f t="shared" si="524"/>
        <v>77.238841778641017</v>
      </c>
      <c r="GG87" s="10">
        <f t="shared" si="525"/>
        <v>4.8274276111650636</v>
      </c>
      <c r="GH87" s="10">
        <f t="shared" si="526"/>
        <v>53.101703722815692</v>
      </c>
      <c r="GI87" s="539">
        <f t="shared" si="527"/>
        <v>849.62725956505108</v>
      </c>
      <c r="GJ87" s="19">
        <f t="shared" si="528"/>
        <v>84.962725956505111</v>
      </c>
      <c r="GK87" s="10">
        <f t="shared" si="529"/>
        <v>5.3101703722815694</v>
      </c>
      <c r="GL87" s="10">
        <f t="shared" si="530"/>
        <v>58.411874095097261</v>
      </c>
      <c r="GM87" s="539">
        <f t="shared" si="531"/>
        <v>934.58998552155617</v>
      </c>
      <c r="GN87" s="19">
        <f t="shared" si="532"/>
        <v>93.45899855215562</v>
      </c>
      <c r="GO87" s="10">
        <f t="shared" si="533"/>
        <v>5.8411874095097263</v>
      </c>
      <c r="GP87" s="10">
        <f t="shared" si="534"/>
        <v>64.25306150460699</v>
      </c>
      <c r="GQ87" s="539">
        <f t="shared" si="535"/>
        <v>1028.0489840737118</v>
      </c>
      <c r="GR87" s="19">
        <f t="shared" si="536"/>
        <v>102.80489840737118</v>
      </c>
      <c r="GS87" s="10">
        <f t="shared" si="537"/>
        <v>6.425306150460699</v>
      </c>
      <c r="GT87" s="10">
        <f t="shared" si="538"/>
        <v>70.678367655067689</v>
      </c>
      <c r="GU87" s="539">
        <f t="shared" si="539"/>
        <v>1130.853882481083</v>
      </c>
      <c r="GV87" s="19">
        <f t="shared" si="540"/>
        <v>113.0853882481083</v>
      </c>
      <c r="GW87" s="10">
        <f t="shared" si="541"/>
        <v>7.0678367655067689</v>
      </c>
      <c r="GX87" s="10">
        <f t="shared" si="542"/>
        <v>77.746204420574458</v>
      </c>
      <c r="GY87" s="539">
        <f t="shared" si="543"/>
        <v>1243.9392707291913</v>
      </c>
      <c r="GZ87" s="19">
        <f t="shared" si="544"/>
        <v>124.39392707291914</v>
      </c>
      <c r="HA87" s="10">
        <f t="shared" si="545"/>
        <v>7.7746204420574463</v>
      </c>
      <c r="HB87" s="10">
        <f t="shared" si="546"/>
        <v>85.520824862631898</v>
      </c>
      <c r="HC87" s="539">
        <f t="shared" si="547"/>
        <v>1368.3331978021104</v>
      </c>
      <c r="HD87" s="19">
        <f t="shared" si="548"/>
        <v>136.83331978021104</v>
      </c>
      <c r="HE87" s="10">
        <f t="shared" si="549"/>
        <v>8.5520824862631901</v>
      </c>
      <c r="HF87" s="10">
        <f t="shared" si="550"/>
        <v>94.072907348895086</v>
      </c>
      <c r="HG87" s="539">
        <f t="shared" si="551"/>
        <v>1505.1665175823214</v>
      </c>
      <c r="HH87" s="19">
        <f t="shared" si="552"/>
        <v>150.51665175823214</v>
      </c>
      <c r="HI87" s="10">
        <f t="shared" si="553"/>
        <v>9.407290734889509</v>
      </c>
      <c r="HJ87" s="10">
        <f t="shared" si="554"/>
        <v>103.4801980837846</v>
      </c>
      <c r="HK87" s="539">
        <f t="shared" si="555"/>
        <v>1655.6831693405536</v>
      </c>
      <c r="HL87" s="19">
        <f t="shared" si="556"/>
        <v>165.56831693405536</v>
      </c>
      <c r="HM87" s="10">
        <f t="shared" si="557"/>
        <v>10.34801980837846</v>
      </c>
      <c r="HN87" s="10">
        <f t="shared" si="558"/>
        <v>113.82821789216305</v>
      </c>
      <c r="HO87" s="539">
        <f t="shared" si="559"/>
        <v>1821.2514862746089</v>
      </c>
      <c r="HP87" s="19">
        <f t="shared" si="560"/>
        <v>182.1251486274609</v>
      </c>
      <c r="HQ87" s="10">
        <f t="shared" si="561"/>
        <v>11.382821789216306</v>
      </c>
      <c r="HR87" s="10">
        <f t="shared" si="562"/>
        <v>125.21103968137936</v>
      </c>
      <c r="HS87" s="539">
        <f t="shared" si="563"/>
        <v>2003.3766349020698</v>
      </c>
      <c r="HT87" s="19">
        <f t="shared" si="564"/>
        <v>200.33766349020698</v>
      </c>
      <c r="HU87" s="10">
        <f t="shared" si="565"/>
        <v>12.521103968137936</v>
      </c>
      <c r="HV87" s="10">
        <f t="shared" si="566"/>
        <v>137.7321436495173</v>
      </c>
      <c r="HW87" s="539">
        <f t="shared" si="567"/>
        <v>2203.7142983922768</v>
      </c>
      <c r="HX87" s="19">
        <f t="shared" si="568"/>
        <v>220.37142983922769</v>
      </c>
      <c r="HY87" s="10">
        <f t="shared" si="569"/>
        <v>13.77321436495173</v>
      </c>
      <c r="HZ87" s="10">
        <f t="shared" si="570"/>
        <v>151.50535801446904</v>
      </c>
      <c r="IA87" s="539">
        <f t="shared" si="571"/>
        <v>2424.0857282315046</v>
      </c>
      <c r="IB87" s="19">
        <f t="shared" si="572"/>
        <v>242.40857282315048</v>
      </c>
      <c r="IP87" s="11">
        <v>46</v>
      </c>
      <c r="IQ87" s="19">
        <f t="shared" si="358"/>
        <v>303.80397331441202</v>
      </c>
      <c r="IR87" s="20">
        <f t="shared" si="620"/>
        <v>3.7890464752434267</v>
      </c>
    </row>
    <row r="88" spans="1:252">
      <c r="A88" s="11"/>
      <c r="B88" s="20"/>
      <c r="C88" s="826" t="s">
        <v>2344</v>
      </c>
      <c r="D88" s="47" t="s">
        <v>1136</v>
      </c>
      <c r="E88" s="396">
        <f t="shared" si="600"/>
        <v>26.043199999999999</v>
      </c>
      <c r="F88" s="242">
        <v>3.0432000000000001</v>
      </c>
      <c r="G88" s="48">
        <f>'Update Stock Prices'!S88</f>
        <v>164233576.64233577</v>
      </c>
      <c r="H88" s="991">
        <f t="shared" si="610"/>
        <v>1.8529706666666668E-8</v>
      </c>
      <c r="I88" s="49">
        <f>'Update Stock Prices'!D88</f>
        <v>13.7</v>
      </c>
      <c r="J88" s="49">
        <f t="shared" si="404"/>
        <v>41.691839999999999</v>
      </c>
      <c r="K88" s="30">
        <v>29.64</v>
      </c>
      <c r="L88" s="49">
        <f t="shared" si="611"/>
        <v>12.051839999999999</v>
      </c>
      <c r="M88" s="50">
        <f t="shared" si="613"/>
        <v>0.40660728744939267</v>
      </c>
      <c r="N88" s="49">
        <f t="shared" si="612"/>
        <v>9.7397476340694009</v>
      </c>
      <c r="O88" s="48">
        <f t="shared" si="601"/>
        <v>23</v>
      </c>
      <c r="P88" s="49">
        <f t="shared" si="602"/>
        <v>5.910000000000025</v>
      </c>
      <c r="Q88" s="30">
        <f>0.03*4</f>
        <v>0.12</v>
      </c>
      <c r="R88" s="49">
        <f t="shared" ref="R88" si="658">S88/365.25</f>
        <v>9.9981930184804926E-4</v>
      </c>
      <c r="S88" s="49">
        <f t="shared" si="603"/>
        <v>0.36518400000000001</v>
      </c>
      <c r="T88" s="49">
        <f t="shared" ref="T88" si="659">S88/12</f>
        <v>3.0432000000000001E-2</v>
      </c>
      <c r="U88" s="49" t="s">
        <v>54</v>
      </c>
      <c r="V88" s="50">
        <f t="shared" si="604"/>
        <v>8.7591240875912416E-3</v>
      </c>
      <c r="W88" s="50">
        <f t="shared" si="575"/>
        <v>1.2320647773279353E-2</v>
      </c>
      <c r="X88" s="49">
        <f t="shared" si="618"/>
        <v>2.7599999999999989</v>
      </c>
      <c r="Y88" s="49">
        <f t="shared" si="654"/>
        <v>9.1296000000000002E-2</v>
      </c>
      <c r="Z88" s="860">
        <f t="shared" si="605"/>
        <v>0</v>
      </c>
      <c r="AA88" s="860">
        <f t="shared" si="606"/>
        <v>453.62346666666667</v>
      </c>
      <c r="AB88" s="49">
        <f t="shared" si="607"/>
        <v>6214.6414933333335</v>
      </c>
      <c r="AC88" s="48">
        <v>1</v>
      </c>
      <c r="AD88" s="47" t="str">
        <f t="shared" si="608"/>
        <v>MWA</v>
      </c>
      <c r="AE88" s="49">
        <f t="shared" si="609"/>
        <v>41.691839999999999</v>
      </c>
      <c r="AF88" s="50" t="e">
        <f t="shared" si="405"/>
        <v>#REF!</v>
      </c>
      <c r="AG88" s="890" t="e">
        <f t="shared" si="599"/>
        <v>#REF!</v>
      </c>
      <c r="AH88" s="207" t="s">
        <v>1138</v>
      </c>
      <c r="AI88" s="240">
        <f t="shared" si="406"/>
        <v>3.9459398168129713E-3</v>
      </c>
      <c r="AJ88" s="11">
        <f t="shared" si="595"/>
        <v>3</v>
      </c>
      <c r="AK88" s="11"/>
      <c r="AL88" s="11">
        <v>1</v>
      </c>
      <c r="AM88" s="11"/>
      <c r="AN88" s="11"/>
      <c r="AO88" s="11"/>
      <c r="AP88" s="11"/>
      <c r="AQ88" s="11" t="str">
        <f>'Update Stock Prices'!Q88</f>
        <v>mid</v>
      </c>
      <c r="AR88" s="11"/>
      <c r="AS88" s="11"/>
      <c r="AU88" s="224" t="s">
        <v>1768</v>
      </c>
      <c r="AV88" s="10">
        <f>AI150</f>
        <v>990.63748413701785</v>
      </c>
      <c r="AW88" s="893"/>
      <c r="AX88" s="10">
        <v>990.71672124250404</v>
      </c>
      <c r="AY88" s="10"/>
      <c r="AZ88" s="10">
        <f>AV88-AX88</f>
        <v>-7.923710548618601E-2</v>
      </c>
      <c r="BA88" s="15">
        <f>(AV88-AX88)/AX88</f>
        <v>-7.9979578205575312E-5</v>
      </c>
      <c r="BC88" s="591"/>
      <c r="BD88" s="19" t="s">
        <v>1848</v>
      </c>
      <c r="BE88" s="225" t="s">
        <v>1848</v>
      </c>
      <c r="BF88" s="750" t="s">
        <v>1901</v>
      </c>
      <c r="BK88" s="19"/>
      <c r="BL88" s="19"/>
      <c r="BM88" s="19"/>
      <c r="BN88" s="19"/>
      <c r="BO88" s="19"/>
      <c r="BP88" s="19"/>
      <c r="BS88" s="420" t="str">
        <f t="shared" si="407"/>
        <v>MWA</v>
      </c>
      <c r="BT88" s="425">
        <f t="shared" si="408"/>
        <v>3.0432000000000001</v>
      </c>
      <c r="BU88" s="19">
        <f t="shared" si="409"/>
        <v>13.7</v>
      </c>
      <c r="BV88" s="19">
        <f t="shared" si="410"/>
        <v>41.691839999999999</v>
      </c>
      <c r="BW88" s="539">
        <f t="shared" si="411"/>
        <v>0.12</v>
      </c>
      <c r="BX88" s="19">
        <f t="shared" si="412"/>
        <v>0.36518400000000001</v>
      </c>
      <c r="BY88" s="10">
        <f t="shared" si="413"/>
        <v>2.6655766423357666E-2</v>
      </c>
      <c r="BZ88" s="10">
        <f t="shared" si="414"/>
        <v>3.0698557664233577</v>
      </c>
      <c r="CA88" s="539">
        <f t="shared" si="415"/>
        <v>42.057023999999998</v>
      </c>
      <c r="CB88" s="19">
        <f t="shared" si="416"/>
        <v>0.36838269197080292</v>
      </c>
      <c r="CC88" s="10">
        <f t="shared" si="417"/>
        <v>2.6889247589109704E-2</v>
      </c>
      <c r="CD88" s="10">
        <f t="shared" si="418"/>
        <v>3.0967450140124675</v>
      </c>
      <c r="CE88" s="539">
        <f t="shared" si="419"/>
        <v>42.425406691970799</v>
      </c>
      <c r="CF88" s="19">
        <f t="shared" si="420"/>
        <v>0.37160940168149609</v>
      </c>
      <c r="CG88" s="10">
        <f t="shared" si="421"/>
        <v>2.7124773845364679E-2</v>
      </c>
      <c r="CH88" s="10">
        <f t="shared" si="422"/>
        <v>3.1238697878578323</v>
      </c>
      <c r="CI88" s="539">
        <f t="shared" si="423"/>
        <v>42.797016093652303</v>
      </c>
      <c r="CJ88" s="19">
        <f t="shared" si="424"/>
        <v>0.37486437454293986</v>
      </c>
      <c r="CK88" s="10">
        <f t="shared" si="425"/>
        <v>2.736236310532408E-2</v>
      </c>
      <c r="CL88" s="10">
        <f t="shared" si="426"/>
        <v>3.1512321509631565</v>
      </c>
      <c r="CM88" s="539">
        <f t="shared" si="427"/>
        <v>43.171880468195241</v>
      </c>
      <c r="CN88" s="19">
        <f t="shared" si="428"/>
        <v>0.37814785811557877</v>
      </c>
      <c r="CO88" s="10">
        <f t="shared" si="429"/>
        <v>2.7602033439093343E-2</v>
      </c>
      <c r="CP88" s="10">
        <f t="shared" si="430"/>
        <v>3.1788341844022496</v>
      </c>
      <c r="CQ88" s="539">
        <f t="shared" si="431"/>
        <v>43.550028326310816</v>
      </c>
      <c r="CR88" s="19">
        <f t="shared" si="432"/>
        <v>0.38146010212826992</v>
      </c>
      <c r="CS88" s="10">
        <f t="shared" si="433"/>
        <v>2.7843803075056201E-2</v>
      </c>
      <c r="CT88" s="10">
        <f t="shared" si="434"/>
        <v>3.2066779874773057</v>
      </c>
      <c r="CU88" s="539">
        <f t="shared" si="435"/>
        <v>43.931488428439089</v>
      </c>
      <c r="CV88" s="19">
        <f t="shared" si="436"/>
        <v>0.38480135849727665</v>
      </c>
      <c r="CW88" s="10">
        <f t="shared" si="437"/>
        <v>2.8087690401261071E-2</v>
      </c>
      <c r="CX88" s="10">
        <f t="shared" si="438"/>
        <v>3.2347656778785669</v>
      </c>
      <c r="CY88" s="539">
        <f t="shared" si="439"/>
        <v>44.316289786936366</v>
      </c>
      <c r="CZ88" s="19">
        <f t="shared" si="440"/>
        <v>0.38817188134542802</v>
      </c>
      <c r="DA88" s="10">
        <f t="shared" si="441"/>
        <v>2.8333713966819565E-2</v>
      </c>
      <c r="DB88" s="10">
        <f t="shared" si="442"/>
        <v>3.2630993918453863</v>
      </c>
      <c r="DC88" s="539">
        <f t="shared" si="443"/>
        <v>44.704461668281787</v>
      </c>
      <c r="DD88" s="19">
        <f t="shared" si="444"/>
        <v>0.39157192702144633</v>
      </c>
      <c r="DE88" s="10">
        <f t="shared" si="445"/>
        <v>2.8581892483317252E-2</v>
      </c>
      <c r="DF88" s="10">
        <f t="shared" si="446"/>
        <v>3.2916812843287038</v>
      </c>
      <c r="DG88" s="539">
        <f t="shared" si="447"/>
        <v>45.09603359530324</v>
      </c>
      <c r="DH88" s="19">
        <f t="shared" si="448"/>
        <v>0.39500175411944444</v>
      </c>
      <c r="DI88" s="10">
        <f t="shared" si="449"/>
        <v>2.8832244826236822E-2</v>
      </c>
      <c r="DJ88" s="10">
        <f t="shared" si="450"/>
        <v>3.3205135291549408</v>
      </c>
      <c r="DK88" s="539">
        <f t="shared" si="451"/>
        <v>45.491035349422688</v>
      </c>
      <c r="DL88" s="19">
        <f t="shared" si="452"/>
        <v>0.39846162349859288</v>
      </c>
      <c r="DM88" s="10">
        <f t="shared" si="453"/>
        <v>2.9084790036393641E-2</v>
      </c>
      <c r="DN88" s="10">
        <f t="shared" si="454"/>
        <v>3.3495983191913346</v>
      </c>
      <c r="DO88" s="539">
        <f t="shared" si="455"/>
        <v>45.889496972921279</v>
      </c>
      <c r="DP88" s="19">
        <f t="shared" si="456"/>
        <v>0.40195179830296013</v>
      </c>
      <c r="DQ88" s="10">
        <f t="shared" si="457"/>
        <v>2.9339547321383951E-2</v>
      </c>
      <c r="DR88" s="10">
        <f t="shared" si="458"/>
        <v>3.3789378665127185</v>
      </c>
      <c r="DS88" s="539">
        <f t="shared" si="459"/>
        <v>46.291448771224239</v>
      </c>
      <c r="DT88" s="19">
        <f t="shared" si="460"/>
        <v>0.40547254398152621</v>
      </c>
      <c r="DU88" s="10">
        <f t="shared" si="461"/>
        <v>2.9596536057045712E-2</v>
      </c>
      <c r="DV88" s="10">
        <f t="shared" si="462"/>
        <v>3.4085344025697641</v>
      </c>
      <c r="DW88" s="539">
        <f t="shared" si="463"/>
        <v>46.696921315205763</v>
      </c>
      <c r="DX88" s="19">
        <f t="shared" si="464"/>
        <v>0.4090241283083717</v>
      </c>
      <c r="DY88" s="10">
        <f t="shared" si="465"/>
        <v>2.9855775788932244E-2</v>
      </c>
      <c r="DZ88" s="10">
        <f t="shared" si="466"/>
        <v>3.4383901783586963</v>
      </c>
      <c r="EA88" s="539">
        <f t="shared" si="467"/>
        <v>47.105945443514138</v>
      </c>
      <c r="EB88" s="19">
        <f t="shared" si="468"/>
        <v>0.41260682140304356</v>
      </c>
      <c r="EC88" s="10">
        <f t="shared" si="469"/>
        <v>3.01172862337988E-2</v>
      </c>
      <c r="ED88" s="10">
        <f t="shared" si="470"/>
        <v>3.4685074645924949</v>
      </c>
      <c r="EE88" s="539">
        <f t="shared" si="471"/>
        <v>47.518552264917176</v>
      </c>
      <c r="EF88" s="19">
        <f t="shared" si="472"/>
        <v>0.41622089575109938</v>
      </c>
      <c r="EG88" s="10">
        <f t="shared" si="473"/>
        <v>3.0381087281102146E-2</v>
      </c>
      <c r="EH88" s="10">
        <f t="shared" si="474"/>
        <v>3.498888551873597</v>
      </c>
      <c r="EI88" s="539">
        <f t="shared" si="475"/>
        <v>47.934773160668279</v>
      </c>
      <c r="EJ88" s="19">
        <f t="shared" si="476"/>
        <v>0.41986662622483162</v>
      </c>
      <c r="EK88" s="10">
        <f t="shared" si="477"/>
        <v>3.0647198994513257E-2</v>
      </c>
      <c r="EL88" s="10">
        <f t="shared" si="478"/>
        <v>3.5295357508681104</v>
      </c>
      <c r="EM88" s="539">
        <f t="shared" si="479"/>
        <v>48.354639786893109</v>
      </c>
      <c r="EN88" s="19">
        <f t="shared" si="480"/>
        <v>0.42354429010417322</v>
      </c>
      <c r="EO88" s="10">
        <f t="shared" si="481"/>
        <v>3.09156416134433E-2</v>
      </c>
      <c r="EP88" s="10">
        <f t="shared" si="482"/>
        <v>3.560451392481554</v>
      </c>
      <c r="EQ88" s="539">
        <f t="shared" si="483"/>
        <v>48.778184076997285</v>
      </c>
      <c r="ER88" s="19">
        <f t="shared" si="484"/>
        <v>0.42725416709778646</v>
      </c>
      <c r="ES88" s="10">
        <f t="shared" si="485"/>
        <v>3.1186435554582954E-2</v>
      </c>
      <c r="ET88" s="10">
        <f t="shared" si="486"/>
        <v>3.591637828036137</v>
      </c>
      <c r="EU88" s="539">
        <f t="shared" si="487"/>
        <v>49.20543824409507</v>
      </c>
      <c r="EV88" s="19">
        <f t="shared" si="488"/>
        <v>0.43099653936433641</v>
      </c>
      <c r="EW88" s="10">
        <f t="shared" si="489"/>
        <v>3.1459601413455211E-2</v>
      </c>
      <c r="EX88" s="10">
        <f t="shared" si="490"/>
        <v>3.6230974294495923</v>
      </c>
      <c r="EY88" s="539">
        <f t="shared" si="491"/>
        <v>49.636434783459414</v>
      </c>
      <c r="EZ88" s="19">
        <f t="shared" si="492"/>
        <v>0.43477169153395107</v>
      </c>
      <c r="FA88" s="10">
        <f t="shared" si="493"/>
        <v>3.1735159965981828E-2</v>
      </c>
      <c r="FB88" s="10">
        <f t="shared" si="494"/>
        <v>3.654832589415574</v>
      </c>
      <c r="FC88" s="539">
        <f t="shared" si="495"/>
        <v>50.07120647499336</v>
      </c>
      <c r="FD88" s="19">
        <f t="shared" si="496"/>
        <v>0.43857991072986885</v>
      </c>
      <c r="FE88" s="10">
        <f t="shared" si="497"/>
        <v>3.2013132170063421E-2</v>
      </c>
      <c r="FF88" s="10">
        <f t="shared" si="498"/>
        <v>3.6868457215856374</v>
      </c>
      <c r="FG88" s="539">
        <f t="shared" si="499"/>
        <v>50.509786385723231</v>
      </c>
      <c r="FH88" s="19">
        <f t="shared" si="500"/>
        <v>0.44242148659027647</v>
      </c>
      <c r="FI88" s="10">
        <f t="shared" si="501"/>
        <v>3.2293539167173466E-2</v>
      </c>
      <c r="FJ88" s="10">
        <f t="shared" si="502"/>
        <v>3.7191392607528106</v>
      </c>
      <c r="FK88" s="539">
        <f t="shared" si="503"/>
        <v>50.952207872313501</v>
      </c>
      <c r="FL88" s="19">
        <f t="shared" si="504"/>
        <v>0.44629671129033727</v>
      </c>
      <c r="FM88" s="10">
        <f t="shared" si="505"/>
        <v>3.2576402283966223E-2</v>
      </c>
      <c r="FN88" s="10">
        <f t="shared" si="506"/>
        <v>3.7517156630367769</v>
      </c>
      <c r="FO88" s="539">
        <f t="shared" si="507"/>
        <v>51.398504583603838</v>
      </c>
      <c r="FP88" s="19">
        <f t="shared" si="508"/>
        <v>0.45020587956441321</v>
      </c>
      <c r="FQ88" s="10">
        <f t="shared" si="509"/>
        <v>3.2861743033898778E-2</v>
      </c>
      <c r="FR88" s="10">
        <f t="shared" si="510"/>
        <v>3.7845774060706758</v>
      </c>
      <c r="FS88" s="539">
        <f t="shared" si="511"/>
        <v>51.848710463168253</v>
      </c>
      <c r="FT88" s="19">
        <f t="shared" si="512"/>
        <v>0.45414928872848109</v>
      </c>
      <c r="FU88" s="10">
        <f t="shared" si="513"/>
        <v>3.3149583118867232E-2</v>
      </c>
      <c r="FV88" s="10">
        <f t="shared" si="514"/>
        <v>3.8177269891895431</v>
      </c>
      <c r="FW88" s="539">
        <f t="shared" si="515"/>
        <v>52.30285975189674</v>
      </c>
      <c r="FX88" s="19">
        <f t="shared" si="516"/>
        <v>0.45812723870274513</v>
      </c>
      <c r="FY88" s="10">
        <f t="shared" si="517"/>
        <v>3.3439944430857307E-2</v>
      </c>
      <c r="FZ88" s="10">
        <f t="shared" si="518"/>
        <v>3.8511669336204006</v>
      </c>
      <c r="GA88" s="539">
        <f t="shared" si="519"/>
        <v>52.760986990599484</v>
      </c>
      <c r="GB88" s="19">
        <f t="shared" si="520"/>
        <v>0.46214003203444803</v>
      </c>
      <c r="GC88" s="10">
        <f t="shared" si="521"/>
        <v>3.3732849053609348E-2</v>
      </c>
      <c r="GD88" s="10">
        <f t="shared" si="522"/>
        <v>3.8848997826740099</v>
      </c>
      <c r="GE88" s="539">
        <f t="shared" si="523"/>
        <v>53.223127022633932</v>
      </c>
      <c r="GF88" s="19">
        <f t="shared" si="524"/>
        <v>0.46618797392088118</v>
      </c>
      <c r="GG88" s="10">
        <f t="shared" si="525"/>
        <v>3.4028319264297897E-2</v>
      </c>
      <c r="GH88" s="10">
        <f t="shared" si="526"/>
        <v>3.9189281019383078</v>
      </c>
      <c r="GI88" s="539">
        <f t="shared" si="527"/>
        <v>53.689314996554813</v>
      </c>
      <c r="GJ88" s="19">
        <f t="shared" si="528"/>
        <v>0.47027137223259691</v>
      </c>
      <c r="GK88" s="10">
        <f t="shared" si="529"/>
        <v>3.4326377535226056E-2</v>
      </c>
      <c r="GL88" s="10">
        <f t="shared" si="530"/>
        <v>3.953254479473534</v>
      </c>
      <c r="GM88" s="539">
        <f t="shared" si="531"/>
        <v>54.159586368787416</v>
      </c>
      <c r="GN88" s="19">
        <f t="shared" si="532"/>
        <v>0.47439053753682409</v>
      </c>
      <c r="GO88" s="10">
        <f t="shared" si="533"/>
        <v>3.4627046535534604E-2</v>
      </c>
      <c r="GP88" s="10">
        <f t="shared" si="534"/>
        <v>3.9878815260090685</v>
      </c>
      <c r="GQ88" s="539">
        <f t="shared" si="535"/>
        <v>54.633976906324236</v>
      </c>
      <c r="GR88" s="19">
        <f t="shared" si="536"/>
        <v>0.4785457831210882</v>
      </c>
      <c r="GS88" s="10">
        <f t="shared" si="537"/>
        <v>3.4930349132926149E-2</v>
      </c>
      <c r="GT88" s="10">
        <f t="shared" si="538"/>
        <v>4.0228118751419943</v>
      </c>
      <c r="GU88" s="539">
        <f t="shared" si="539"/>
        <v>55.112522689445321</v>
      </c>
      <c r="GV88" s="19">
        <f t="shared" si="540"/>
        <v>0.48273742501703931</v>
      </c>
      <c r="GW88" s="10">
        <f t="shared" si="541"/>
        <v>3.5236308395404328E-2</v>
      </c>
      <c r="GX88" s="10">
        <f t="shared" si="542"/>
        <v>4.0580481835373989</v>
      </c>
      <c r="GY88" s="539">
        <f t="shared" si="543"/>
        <v>55.595260114462363</v>
      </c>
      <c r="GZ88" s="19">
        <f t="shared" si="544"/>
        <v>0.48696578202448787</v>
      </c>
      <c r="HA88" s="10">
        <f t="shared" si="545"/>
        <v>3.5544947593028314E-2</v>
      </c>
      <c r="HB88" s="10">
        <f t="shared" si="546"/>
        <v>4.0935931311304277</v>
      </c>
      <c r="HC88" s="539">
        <f t="shared" si="547"/>
        <v>56.082225896486854</v>
      </c>
      <c r="HD88" s="19">
        <f t="shared" si="548"/>
        <v>0.49123117573565128</v>
      </c>
      <c r="HE88" s="10">
        <f t="shared" si="549"/>
        <v>3.5856290199682575E-2</v>
      </c>
      <c r="HF88" s="10">
        <f t="shared" si="550"/>
        <v>4.1294494213301105</v>
      </c>
      <c r="HG88" s="539">
        <f t="shared" si="551"/>
        <v>56.57345707222251</v>
      </c>
      <c r="HH88" s="19">
        <f t="shared" si="552"/>
        <v>0.49553393055961326</v>
      </c>
      <c r="HI88" s="10">
        <f t="shared" si="553"/>
        <v>3.6170359894862281E-2</v>
      </c>
      <c r="HJ88" s="10">
        <f t="shared" si="554"/>
        <v>4.1656197812249731</v>
      </c>
      <c r="HK88" s="539">
        <f t="shared" si="555"/>
        <v>57.068991002782127</v>
      </c>
      <c r="HL88" s="19">
        <f t="shared" si="556"/>
        <v>0.49987437374699678</v>
      </c>
      <c r="HM88" s="10">
        <f t="shared" si="557"/>
        <v>3.6487180565474217E-2</v>
      </c>
      <c r="HN88" s="10">
        <f t="shared" si="558"/>
        <v>4.202106961790447</v>
      </c>
      <c r="HO88" s="539">
        <f t="shared" si="559"/>
        <v>57.568865376529118</v>
      </c>
      <c r="HP88" s="19">
        <f t="shared" si="560"/>
        <v>0.50425283541485366</v>
      </c>
      <c r="HQ88" s="10">
        <f t="shared" si="561"/>
        <v>3.6806776307653555E-2</v>
      </c>
      <c r="HR88" s="10">
        <f t="shared" si="562"/>
        <v>4.2389137380981001</v>
      </c>
      <c r="HS88" s="539">
        <f t="shared" si="563"/>
        <v>58.073118211943971</v>
      </c>
      <c r="HT88" s="19">
        <f t="shared" si="564"/>
        <v>0.50866964857177199</v>
      </c>
      <c r="HU88" s="10">
        <f t="shared" si="565"/>
        <v>3.7129171428596501E-2</v>
      </c>
      <c r="HV88" s="10">
        <f t="shared" si="566"/>
        <v>4.276042909526697</v>
      </c>
      <c r="HW88" s="539">
        <f t="shared" si="567"/>
        <v>58.581787860515746</v>
      </c>
      <c r="HX88" s="19">
        <f t="shared" si="568"/>
        <v>0.51312514914320362</v>
      </c>
      <c r="HY88" s="10">
        <f t="shared" si="569"/>
        <v>3.7454390448409022E-2</v>
      </c>
      <c r="HZ88" s="10">
        <f t="shared" si="570"/>
        <v>4.313497299975106</v>
      </c>
      <c r="IA88" s="539">
        <f t="shared" si="571"/>
        <v>59.094913009658946</v>
      </c>
      <c r="IB88" s="19">
        <f t="shared" si="572"/>
        <v>0.51761967599701275</v>
      </c>
      <c r="IP88" s="11">
        <v>47</v>
      </c>
      <c r="IQ88" s="19">
        <f t="shared" si="358"/>
        <v>328.10829117956501</v>
      </c>
      <c r="IR88" s="20">
        <f t="shared" si="620"/>
        <v>3.7201547211480919</v>
      </c>
    </row>
    <row r="89" spans="1:252" ht="13.5" thickBot="1">
      <c r="A89" s="11"/>
      <c r="B89" s="20"/>
      <c r="C89" s="826" t="s">
        <v>2342</v>
      </c>
      <c r="D89" s="47" t="s">
        <v>1681</v>
      </c>
      <c r="E89" s="396">
        <f t="shared" si="600"/>
        <v>1296</v>
      </c>
      <c r="F89" s="242">
        <v>2</v>
      </c>
      <c r="G89" s="48">
        <f>'Update Stock Prices'!S89</f>
        <v>9032258064.5161285</v>
      </c>
      <c r="H89" s="991">
        <f t="shared" si="610"/>
        <v>2.2142857142857144E-10</v>
      </c>
      <c r="I89" s="49">
        <f>'Update Stock Prices'!D89</f>
        <v>0.248</v>
      </c>
      <c r="J89" s="49">
        <f t="shared" si="404"/>
        <v>0.496</v>
      </c>
      <c r="K89" s="30">
        <v>278.35000000000002</v>
      </c>
      <c r="L89" s="49">
        <f t="shared" si="611"/>
        <v>-277.85400000000004</v>
      </c>
      <c r="M89" s="50">
        <f t="shared" si="613"/>
        <v>-0.99821807077420521</v>
      </c>
      <c r="N89" s="49">
        <f t="shared" si="612"/>
        <v>139.17500000000001</v>
      </c>
      <c r="O89" s="48">
        <f t="shared" si="601"/>
        <v>1294</v>
      </c>
      <c r="P89" s="49">
        <f>IF(($B$11-$B$12)-(O89*I89)&lt;0,0,($B$11-$B$12)-(O89*I89))</f>
        <v>9.8000000000013188E-2</v>
      </c>
      <c r="Q89" s="30">
        <v>0</v>
      </c>
      <c r="R89" s="49">
        <f t="shared" si="242"/>
        <v>0</v>
      </c>
      <c r="S89" s="49">
        <f t="shared" si="603"/>
        <v>0</v>
      </c>
      <c r="T89" s="49">
        <f t="shared" si="399"/>
        <v>0</v>
      </c>
      <c r="U89" s="49"/>
      <c r="V89" s="50">
        <f t="shared" si="604"/>
        <v>0</v>
      </c>
      <c r="W89" s="50">
        <f t="shared" si="575"/>
        <v>0</v>
      </c>
      <c r="X89" s="49">
        <f t="shared" si="618"/>
        <v>0</v>
      </c>
      <c r="Y89" s="49">
        <f t="shared" si="654"/>
        <v>0</v>
      </c>
      <c r="Z89" s="860">
        <f t="shared" si="605"/>
        <v>0</v>
      </c>
      <c r="AA89" s="860" t="str">
        <f t="shared" si="606"/>
        <v/>
      </c>
      <c r="AB89" s="49" t="str">
        <f t="shared" si="607"/>
        <v/>
      </c>
      <c r="AC89" s="48">
        <v>1</v>
      </c>
      <c r="AD89" s="47" t="str">
        <f t="shared" si="608"/>
        <v>NBGGY</v>
      </c>
      <c r="AE89" s="49">
        <f t="shared" si="609"/>
        <v>0.496</v>
      </c>
      <c r="AF89" s="50" t="e">
        <f t="shared" si="405"/>
        <v>#REF!</v>
      </c>
      <c r="AG89" s="890" t="e">
        <f t="shared" si="599"/>
        <v>#REF!</v>
      </c>
      <c r="AH89" s="207" t="s">
        <v>261</v>
      </c>
      <c r="AI89" s="240">
        <f t="shared" si="406"/>
        <v>5.5848522134951882E-7</v>
      </c>
      <c r="AJ89" s="11">
        <f t="shared" si="595"/>
        <v>5</v>
      </c>
      <c r="AK89" s="11"/>
      <c r="AL89" s="11"/>
      <c r="AM89" s="11"/>
      <c r="AN89" s="11"/>
      <c r="AO89" s="11"/>
      <c r="AP89" s="11"/>
      <c r="AQ89" s="11" t="str">
        <f>'Update Stock Prices'!Q89</f>
        <v>mid</v>
      </c>
      <c r="AR89" s="11"/>
      <c r="AS89" s="11"/>
      <c r="AU89" s="694" t="s">
        <v>1959</v>
      </c>
      <c r="AV89" s="183" t="e">
        <f>SUM(AF153,AF154,AF155,AF156,AF157,AF158,AF159,AF172,AF180)</f>
        <v>#REF!</v>
      </c>
      <c r="AW89" s="893"/>
      <c r="AX89" s="15">
        <v>8.7122257785677643E-2</v>
      </c>
      <c r="AY89" s="10"/>
      <c r="AZ89" s="10" t="e">
        <f>AV89-AX89</f>
        <v>#REF!</v>
      </c>
      <c r="BA89" s="15" t="e">
        <f>(AV89-AX89)/AX89</f>
        <v>#REF!</v>
      </c>
      <c r="BC89" s="591"/>
      <c r="BD89" s="832" t="e">
        <f>BD86/AV86</f>
        <v>#REF!</v>
      </c>
      <c r="BE89" s="967" t="e">
        <f>BE86/AV86</f>
        <v>#REF!</v>
      </c>
      <c r="BF89" s="1017">
        <f>COUNTIF(BD77:BD85,"&lt;0")/COUNTA(BD77:BD85)</f>
        <v>0</v>
      </c>
      <c r="BS89" s="420" t="str">
        <f t="shared" si="407"/>
        <v>NBGGY</v>
      </c>
      <c r="BT89" s="425">
        <f t="shared" si="408"/>
        <v>2</v>
      </c>
      <c r="BU89" s="19">
        <f t="shared" si="409"/>
        <v>0.248</v>
      </c>
      <c r="BV89" s="19">
        <f t="shared" si="410"/>
        <v>0.496</v>
      </c>
      <c r="BW89" s="539">
        <f t="shared" si="411"/>
        <v>0</v>
      </c>
      <c r="BX89" s="19">
        <f t="shared" si="412"/>
        <v>0</v>
      </c>
      <c r="BY89" s="10">
        <f t="shared" si="413"/>
        <v>0</v>
      </c>
      <c r="BZ89" s="10">
        <f t="shared" si="414"/>
        <v>2</v>
      </c>
      <c r="CA89" s="539">
        <f t="shared" si="415"/>
        <v>0.496</v>
      </c>
      <c r="CB89" s="19">
        <f t="shared" si="416"/>
        <v>0</v>
      </c>
      <c r="CC89" s="10">
        <f t="shared" si="417"/>
        <v>0</v>
      </c>
      <c r="CD89" s="10">
        <f t="shared" si="418"/>
        <v>2</v>
      </c>
      <c r="CE89" s="539">
        <f t="shared" si="419"/>
        <v>0.496</v>
      </c>
      <c r="CF89" s="19">
        <f t="shared" si="420"/>
        <v>0</v>
      </c>
      <c r="CG89" s="10">
        <f t="shared" si="421"/>
        <v>0</v>
      </c>
      <c r="CH89" s="10">
        <f t="shared" si="422"/>
        <v>2</v>
      </c>
      <c r="CI89" s="539">
        <f t="shared" si="423"/>
        <v>0.496</v>
      </c>
      <c r="CJ89" s="19">
        <f t="shared" si="424"/>
        <v>0</v>
      </c>
      <c r="CK89" s="10">
        <f t="shared" si="425"/>
        <v>0</v>
      </c>
      <c r="CL89" s="10">
        <f t="shared" si="426"/>
        <v>2</v>
      </c>
      <c r="CM89" s="539">
        <f t="shared" si="427"/>
        <v>0.496</v>
      </c>
      <c r="CN89" s="19">
        <f t="shared" si="428"/>
        <v>0</v>
      </c>
      <c r="CO89" s="10">
        <f t="shared" si="429"/>
        <v>0</v>
      </c>
      <c r="CP89" s="10">
        <f t="shared" si="430"/>
        <v>2</v>
      </c>
      <c r="CQ89" s="539">
        <f t="shared" si="431"/>
        <v>0.496</v>
      </c>
      <c r="CR89" s="19">
        <f t="shared" si="432"/>
        <v>0</v>
      </c>
      <c r="CS89" s="10">
        <f t="shared" si="433"/>
        <v>0</v>
      </c>
      <c r="CT89" s="10">
        <f t="shared" si="434"/>
        <v>2</v>
      </c>
      <c r="CU89" s="539">
        <f t="shared" si="435"/>
        <v>0.496</v>
      </c>
      <c r="CV89" s="19">
        <f t="shared" si="436"/>
        <v>0</v>
      </c>
      <c r="CW89" s="10">
        <f t="shared" si="437"/>
        <v>0</v>
      </c>
      <c r="CX89" s="10">
        <f t="shared" si="438"/>
        <v>2</v>
      </c>
      <c r="CY89" s="539">
        <f t="shared" si="439"/>
        <v>0.496</v>
      </c>
      <c r="CZ89" s="19">
        <f t="shared" si="440"/>
        <v>0</v>
      </c>
      <c r="DA89" s="10">
        <f t="shared" si="441"/>
        <v>0</v>
      </c>
      <c r="DB89" s="10">
        <f t="shared" si="442"/>
        <v>2</v>
      </c>
      <c r="DC89" s="539">
        <f t="shared" si="443"/>
        <v>0.496</v>
      </c>
      <c r="DD89" s="19">
        <f t="shared" si="444"/>
        <v>0</v>
      </c>
      <c r="DE89" s="10">
        <f t="shared" si="445"/>
        <v>0</v>
      </c>
      <c r="DF89" s="10">
        <f t="shared" si="446"/>
        <v>2</v>
      </c>
      <c r="DG89" s="539">
        <f t="shared" si="447"/>
        <v>0.496</v>
      </c>
      <c r="DH89" s="19">
        <f t="shared" si="448"/>
        <v>0</v>
      </c>
      <c r="DI89" s="10">
        <f t="shared" si="449"/>
        <v>0</v>
      </c>
      <c r="DJ89" s="10">
        <f t="shared" si="450"/>
        <v>2</v>
      </c>
      <c r="DK89" s="539">
        <f t="shared" si="451"/>
        <v>0.496</v>
      </c>
      <c r="DL89" s="19">
        <f t="shared" si="452"/>
        <v>0</v>
      </c>
      <c r="DM89" s="10">
        <f t="shared" si="453"/>
        <v>0</v>
      </c>
      <c r="DN89" s="10">
        <f t="shared" si="454"/>
        <v>2</v>
      </c>
      <c r="DO89" s="539">
        <f t="shared" si="455"/>
        <v>0.496</v>
      </c>
      <c r="DP89" s="19">
        <f t="shared" si="456"/>
        <v>0</v>
      </c>
      <c r="DQ89" s="10">
        <f t="shared" si="457"/>
        <v>0</v>
      </c>
      <c r="DR89" s="10">
        <f t="shared" si="458"/>
        <v>2</v>
      </c>
      <c r="DS89" s="539">
        <f t="shared" si="459"/>
        <v>0.496</v>
      </c>
      <c r="DT89" s="19">
        <f t="shared" si="460"/>
        <v>0</v>
      </c>
      <c r="DU89" s="10">
        <f t="shared" si="461"/>
        <v>0</v>
      </c>
      <c r="DV89" s="10">
        <f t="shared" si="462"/>
        <v>2</v>
      </c>
      <c r="DW89" s="539">
        <f t="shared" si="463"/>
        <v>0.496</v>
      </c>
      <c r="DX89" s="19">
        <f t="shared" si="464"/>
        <v>0</v>
      </c>
      <c r="DY89" s="10">
        <f t="shared" si="465"/>
        <v>0</v>
      </c>
      <c r="DZ89" s="10">
        <f t="shared" si="466"/>
        <v>2</v>
      </c>
      <c r="EA89" s="539">
        <f t="shared" si="467"/>
        <v>0.496</v>
      </c>
      <c r="EB89" s="19">
        <f t="shared" si="468"/>
        <v>0</v>
      </c>
      <c r="EC89" s="10">
        <f t="shared" si="469"/>
        <v>0</v>
      </c>
      <c r="ED89" s="10">
        <f t="shared" si="470"/>
        <v>2</v>
      </c>
      <c r="EE89" s="539">
        <f t="shared" si="471"/>
        <v>0.496</v>
      </c>
      <c r="EF89" s="19">
        <f t="shared" si="472"/>
        <v>0</v>
      </c>
      <c r="EG89" s="10">
        <f t="shared" si="473"/>
        <v>0</v>
      </c>
      <c r="EH89" s="10">
        <f t="shared" si="474"/>
        <v>2</v>
      </c>
      <c r="EI89" s="539">
        <f t="shared" si="475"/>
        <v>0.496</v>
      </c>
      <c r="EJ89" s="19">
        <f t="shared" si="476"/>
        <v>0</v>
      </c>
      <c r="EK89" s="10">
        <f t="shared" si="477"/>
        <v>0</v>
      </c>
      <c r="EL89" s="10">
        <f t="shared" si="478"/>
        <v>2</v>
      </c>
      <c r="EM89" s="539">
        <f t="shared" si="479"/>
        <v>0.496</v>
      </c>
      <c r="EN89" s="19">
        <f t="shared" si="480"/>
        <v>0</v>
      </c>
      <c r="EO89" s="10">
        <f t="shared" si="481"/>
        <v>0</v>
      </c>
      <c r="EP89" s="10">
        <f t="shared" si="482"/>
        <v>2</v>
      </c>
      <c r="EQ89" s="539">
        <f t="shared" si="483"/>
        <v>0.496</v>
      </c>
      <c r="ER89" s="19">
        <f t="shared" si="484"/>
        <v>0</v>
      </c>
      <c r="ES89" s="10">
        <f t="shared" si="485"/>
        <v>0</v>
      </c>
      <c r="ET89" s="10">
        <f t="shared" si="486"/>
        <v>2</v>
      </c>
      <c r="EU89" s="539">
        <f t="shared" si="487"/>
        <v>0.496</v>
      </c>
      <c r="EV89" s="19">
        <f t="shared" si="488"/>
        <v>0</v>
      </c>
      <c r="EW89" s="10">
        <f t="shared" si="489"/>
        <v>0</v>
      </c>
      <c r="EX89" s="10">
        <f t="shared" si="490"/>
        <v>2</v>
      </c>
      <c r="EY89" s="539">
        <f t="shared" si="491"/>
        <v>0.496</v>
      </c>
      <c r="EZ89" s="19">
        <f t="shared" si="492"/>
        <v>0</v>
      </c>
      <c r="FA89" s="10">
        <f t="shared" si="493"/>
        <v>0</v>
      </c>
      <c r="FB89" s="10">
        <f t="shared" si="494"/>
        <v>2</v>
      </c>
      <c r="FC89" s="539">
        <f t="shared" si="495"/>
        <v>0.496</v>
      </c>
      <c r="FD89" s="19">
        <f t="shared" si="496"/>
        <v>0</v>
      </c>
      <c r="FE89" s="10">
        <f t="shared" si="497"/>
        <v>0</v>
      </c>
      <c r="FF89" s="10">
        <f t="shared" si="498"/>
        <v>2</v>
      </c>
      <c r="FG89" s="539">
        <f t="shared" si="499"/>
        <v>0.496</v>
      </c>
      <c r="FH89" s="19">
        <f t="shared" si="500"/>
        <v>0</v>
      </c>
      <c r="FI89" s="10">
        <f t="shared" si="501"/>
        <v>0</v>
      </c>
      <c r="FJ89" s="10">
        <f t="shared" si="502"/>
        <v>2</v>
      </c>
      <c r="FK89" s="539">
        <f t="shared" si="503"/>
        <v>0.496</v>
      </c>
      <c r="FL89" s="19">
        <f t="shared" si="504"/>
        <v>0</v>
      </c>
      <c r="FM89" s="10">
        <f t="shared" si="505"/>
        <v>0</v>
      </c>
      <c r="FN89" s="10">
        <f t="shared" si="506"/>
        <v>2</v>
      </c>
      <c r="FO89" s="539">
        <f t="shared" si="507"/>
        <v>0.496</v>
      </c>
      <c r="FP89" s="19">
        <f t="shared" si="508"/>
        <v>0</v>
      </c>
      <c r="FQ89" s="10">
        <f t="shared" si="509"/>
        <v>0</v>
      </c>
      <c r="FR89" s="10">
        <f t="shared" si="510"/>
        <v>2</v>
      </c>
      <c r="FS89" s="539">
        <f t="shared" si="511"/>
        <v>0.496</v>
      </c>
      <c r="FT89" s="19">
        <f t="shared" si="512"/>
        <v>0</v>
      </c>
      <c r="FU89" s="10">
        <f t="shared" si="513"/>
        <v>0</v>
      </c>
      <c r="FV89" s="10">
        <f t="shared" si="514"/>
        <v>2</v>
      </c>
      <c r="FW89" s="539">
        <f t="shared" si="515"/>
        <v>0.496</v>
      </c>
      <c r="FX89" s="19">
        <f t="shared" si="516"/>
        <v>0</v>
      </c>
      <c r="FY89" s="10">
        <f t="shared" si="517"/>
        <v>0</v>
      </c>
      <c r="FZ89" s="10">
        <f t="shared" si="518"/>
        <v>2</v>
      </c>
      <c r="GA89" s="539">
        <f t="shared" si="519"/>
        <v>0.496</v>
      </c>
      <c r="GB89" s="19">
        <f t="shared" si="520"/>
        <v>0</v>
      </c>
      <c r="GC89" s="10">
        <f t="shared" si="521"/>
        <v>0</v>
      </c>
      <c r="GD89" s="10">
        <f t="shared" si="522"/>
        <v>2</v>
      </c>
      <c r="GE89" s="539">
        <f t="shared" si="523"/>
        <v>0.496</v>
      </c>
      <c r="GF89" s="19">
        <f t="shared" si="524"/>
        <v>0</v>
      </c>
      <c r="GG89" s="10">
        <f t="shared" si="525"/>
        <v>0</v>
      </c>
      <c r="GH89" s="10">
        <f t="shared" si="526"/>
        <v>2</v>
      </c>
      <c r="GI89" s="539">
        <f t="shared" si="527"/>
        <v>0.496</v>
      </c>
      <c r="GJ89" s="19">
        <f t="shared" si="528"/>
        <v>0</v>
      </c>
      <c r="GK89" s="10">
        <f t="shared" si="529"/>
        <v>0</v>
      </c>
      <c r="GL89" s="10">
        <f t="shared" si="530"/>
        <v>2</v>
      </c>
      <c r="GM89" s="539">
        <f t="shared" si="531"/>
        <v>0.496</v>
      </c>
      <c r="GN89" s="19">
        <f t="shared" si="532"/>
        <v>0</v>
      </c>
      <c r="GO89" s="10">
        <f t="shared" si="533"/>
        <v>0</v>
      </c>
      <c r="GP89" s="10">
        <f t="shared" si="534"/>
        <v>2</v>
      </c>
      <c r="GQ89" s="539">
        <f t="shared" si="535"/>
        <v>0.496</v>
      </c>
      <c r="GR89" s="19">
        <f t="shared" si="536"/>
        <v>0</v>
      </c>
      <c r="GS89" s="10">
        <f t="shared" si="537"/>
        <v>0</v>
      </c>
      <c r="GT89" s="10">
        <f t="shared" si="538"/>
        <v>2</v>
      </c>
      <c r="GU89" s="539">
        <f t="shared" si="539"/>
        <v>0.496</v>
      </c>
      <c r="GV89" s="19">
        <f t="shared" si="540"/>
        <v>0</v>
      </c>
      <c r="GW89" s="10">
        <f t="shared" si="541"/>
        <v>0</v>
      </c>
      <c r="GX89" s="10">
        <f t="shared" si="542"/>
        <v>2</v>
      </c>
      <c r="GY89" s="539">
        <f t="shared" si="543"/>
        <v>0.496</v>
      </c>
      <c r="GZ89" s="19">
        <f t="shared" si="544"/>
        <v>0</v>
      </c>
      <c r="HA89" s="10">
        <f t="shared" si="545"/>
        <v>0</v>
      </c>
      <c r="HB89" s="10">
        <f t="shared" si="546"/>
        <v>2</v>
      </c>
      <c r="HC89" s="539">
        <f t="shared" si="547"/>
        <v>0.496</v>
      </c>
      <c r="HD89" s="19">
        <f t="shared" si="548"/>
        <v>0</v>
      </c>
      <c r="HE89" s="10">
        <f t="shared" si="549"/>
        <v>0</v>
      </c>
      <c r="HF89" s="10">
        <f t="shared" si="550"/>
        <v>2</v>
      </c>
      <c r="HG89" s="539">
        <f t="shared" si="551"/>
        <v>0.496</v>
      </c>
      <c r="HH89" s="19">
        <f t="shared" si="552"/>
        <v>0</v>
      </c>
      <c r="HI89" s="10">
        <f t="shared" si="553"/>
        <v>0</v>
      </c>
      <c r="HJ89" s="10">
        <f t="shared" si="554"/>
        <v>2</v>
      </c>
      <c r="HK89" s="539">
        <f t="shared" si="555"/>
        <v>0.496</v>
      </c>
      <c r="HL89" s="19">
        <f t="shared" si="556"/>
        <v>0</v>
      </c>
      <c r="HM89" s="10">
        <f t="shared" si="557"/>
        <v>0</v>
      </c>
      <c r="HN89" s="10">
        <f t="shared" si="558"/>
        <v>2</v>
      </c>
      <c r="HO89" s="539">
        <f t="shared" si="559"/>
        <v>0.496</v>
      </c>
      <c r="HP89" s="19">
        <f t="shared" si="560"/>
        <v>0</v>
      </c>
      <c r="HQ89" s="10">
        <f t="shared" si="561"/>
        <v>0</v>
      </c>
      <c r="HR89" s="10">
        <f t="shared" si="562"/>
        <v>2</v>
      </c>
      <c r="HS89" s="539">
        <f t="shared" si="563"/>
        <v>0.496</v>
      </c>
      <c r="HT89" s="19">
        <f t="shared" si="564"/>
        <v>0</v>
      </c>
      <c r="HU89" s="10">
        <f t="shared" si="565"/>
        <v>0</v>
      </c>
      <c r="HV89" s="10">
        <f t="shared" si="566"/>
        <v>2</v>
      </c>
      <c r="HW89" s="539">
        <f t="shared" si="567"/>
        <v>0.496</v>
      </c>
      <c r="HX89" s="19">
        <f t="shared" si="568"/>
        <v>0</v>
      </c>
      <c r="HY89" s="10">
        <f t="shared" si="569"/>
        <v>0</v>
      </c>
      <c r="HZ89" s="10">
        <f t="shared" si="570"/>
        <v>2</v>
      </c>
      <c r="IA89" s="539">
        <f t="shared" si="571"/>
        <v>0.496</v>
      </c>
      <c r="IB89" s="19">
        <f t="shared" si="572"/>
        <v>0</v>
      </c>
      <c r="IP89" s="11">
        <v>48</v>
      </c>
      <c r="IQ89" s="19">
        <f t="shared" si="358"/>
        <v>354.35695447393022</v>
      </c>
      <c r="IR89" s="20">
        <f t="shared" si="620"/>
        <v>3.6525155443999449</v>
      </c>
    </row>
    <row r="90" spans="1:252" ht="13.5" thickBot="1">
      <c r="A90" s="11"/>
      <c r="B90" s="20"/>
      <c r="C90" s="826" t="s">
        <v>2342</v>
      </c>
      <c r="D90" s="47" t="s">
        <v>350</v>
      </c>
      <c r="E90" s="396">
        <f t="shared" si="600"/>
        <v>44.478999999999999</v>
      </c>
      <c r="F90" s="242">
        <v>13.478999999999999</v>
      </c>
      <c r="G90" s="48">
        <f>'Update Stock Prices'!S90</f>
        <v>1020368574.199806</v>
      </c>
      <c r="H90" s="991">
        <f t="shared" si="610"/>
        <v>1.3209932509505704E-8</v>
      </c>
      <c r="I90" s="49">
        <f>'Update Stock Prices'!D90</f>
        <v>10.31</v>
      </c>
      <c r="J90" s="49">
        <f t="shared" si="404"/>
        <v>138.96849</v>
      </c>
      <c r="K90" s="30">
        <v>128.76</v>
      </c>
      <c r="L90" s="49">
        <f t="shared" si="611"/>
        <v>10.208490000000012</v>
      </c>
      <c r="M90" s="50">
        <f t="shared" si="613"/>
        <v>7.9283084808946969E-2</v>
      </c>
      <c r="N90" s="49">
        <f t="shared" si="612"/>
        <v>9.5526374360115742</v>
      </c>
      <c r="O90" s="48">
        <f t="shared" si="601"/>
        <v>31</v>
      </c>
      <c r="P90" s="49">
        <f>IF(($B$11-$B$12)-(O90*I90)&lt;0,0,($B$11-$B$12)-(O90*I90))</f>
        <v>1.3999999999999773</v>
      </c>
      <c r="Q90" s="30">
        <f>0.3*4</f>
        <v>1.2</v>
      </c>
      <c r="R90" s="49">
        <f t="shared" si="242"/>
        <v>4.4284188911704304E-2</v>
      </c>
      <c r="S90" s="49">
        <f t="shared" si="603"/>
        <v>16.174799999999998</v>
      </c>
      <c r="T90" s="49">
        <f t="shared" si="399"/>
        <v>1.3478999999999999</v>
      </c>
      <c r="U90" s="49" t="s">
        <v>54</v>
      </c>
      <c r="V90" s="50">
        <f t="shared" si="604"/>
        <v>0.11639185257032007</v>
      </c>
      <c r="W90" s="50">
        <f t="shared" si="575"/>
        <v>0.12561975768872319</v>
      </c>
      <c r="X90" s="49">
        <f>12*((E90*Q90)/12-T90)</f>
        <v>37.199999999999996</v>
      </c>
      <c r="Y90" s="49">
        <f t="shared" si="654"/>
        <v>4.0436999999999994</v>
      </c>
      <c r="Z90" s="860">
        <f t="shared" si="605"/>
        <v>0</v>
      </c>
      <c r="AA90" s="860">
        <f t="shared" si="606"/>
        <v>20.887666666666668</v>
      </c>
      <c r="AB90" s="49">
        <f t="shared" si="607"/>
        <v>215.35184333333336</v>
      </c>
      <c r="AC90" s="48">
        <v>1</v>
      </c>
      <c r="AD90" s="47" t="str">
        <f t="shared" si="608"/>
        <v>NLY</v>
      </c>
      <c r="AE90" s="49">
        <f t="shared" si="609"/>
        <v>138.96849</v>
      </c>
      <c r="AF90" s="50" t="e">
        <f t="shared" si="405"/>
        <v>#REF!</v>
      </c>
      <c r="AG90" s="890" t="e">
        <f t="shared" si="599"/>
        <v>#REF!</v>
      </c>
      <c r="AH90" s="207" t="s">
        <v>349</v>
      </c>
      <c r="AI90" s="240">
        <f t="shared" si="406"/>
        <v>4.3841056307437905E-2</v>
      </c>
      <c r="AJ90" s="11">
        <f t="shared" si="595"/>
        <v>3</v>
      </c>
      <c r="AK90" s="11"/>
      <c r="AL90" s="11"/>
      <c r="AM90" s="11"/>
      <c r="AN90" s="11"/>
      <c r="AO90" s="11"/>
      <c r="AP90" s="11"/>
      <c r="AQ90" s="11" t="str">
        <f>'Update Stock Prices'!Q90</f>
        <v>mid</v>
      </c>
      <c r="AR90" s="11"/>
      <c r="AS90" s="11"/>
      <c r="AU90" s="441" t="s">
        <v>2649</v>
      </c>
      <c r="AV90" s="1354" t="e">
        <f ca="1">AV128</f>
        <v>#REF!</v>
      </c>
      <c r="AW90" s="739"/>
      <c r="AX90" s="432">
        <v>75754.165648733542</v>
      </c>
      <c r="AY90" s="739"/>
      <c r="AZ90" s="739" t="e">
        <f ca="1">AV90-AX90</f>
        <v>#REF!</v>
      </c>
      <c r="BA90" s="408" t="e">
        <f ca="1">(AV90-AX90)/AX90</f>
        <v>#REF!</v>
      </c>
      <c r="BB90" s="238"/>
      <c r="BC90" s="628"/>
      <c r="BD90" s="183"/>
      <c r="BE90" s="183"/>
      <c r="BF90" s="1017"/>
      <c r="BS90" s="420" t="str">
        <f t="shared" si="407"/>
        <v>NLY</v>
      </c>
      <c r="BT90" s="425">
        <f t="shared" si="408"/>
        <v>13.478999999999999</v>
      </c>
      <c r="BU90" s="19">
        <f t="shared" si="409"/>
        <v>10.31</v>
      </c>
      <c r="BV90" s="19">
        <f t="shared" si="410"/>
        <v>138.96849</v>
      </c>
      <c r="BW90" s="539">
        <f t="shared" si="411"/>
        <v>1.2</v>
      </c>
      <c r="BX90" s="19">
        <f t="shared" si="412"/>
        <v>16.174799999999998</v>
      </c>
      <c r="BY90" s="10">
        <f t="shared" si="413"/>
        <v>1.568845780795344</v>
      </c>
      <c r="BZ90" s="10">
        <f t="shared" si="414"/>
        <v>15.047845780795344</v>
      </c>
      <c r="CA90" s="539">
        <f t="shared" si="415"/>
        <v>155.14329000000001</v>
      </c>
      <c r="CB90" s="19">
        <f t="shared" si="416"/>
        <v>18.057414936954412</v>
      </c>
      <c r="CC90" s="10">
        <f t="shared" si="417"/>
        <v>1.7514466476192445</v>
      </c>
      <c r="CD90" s="10">
        <f t="shared" si="418"/>
        <v>16.799292428414589</v>
      </c>
      <c r="CE90" s="539">
        <f t="shared" si="419"/>
        <v>173.20070493695442</v>
      </c>
      <c r="CF90" s="19">
        <f t="shared" si="420"/>
        <v>20.159150914097506</v>
      </c>
      <c r="CG90" s="10">
        <f t="shared" si="421"/>
        <v>1.9553007676137251</v>
      </c>
      <c r="CH90" s="10">
        <f t="shared" si="422"/>
        <v>18.754593196028313</v>
      </c>
      <c r="CI90" s="539">
        <f t="shared" si="423"/>
        <v>193.35985585105192</v>
      </c>
      <c r="CJ90" s="19">
        <f t="shared" si="424"/>
        <v>22.505511835233975</v>
      </c>
      <c r="CK90" s="10">
        <f t="shared" si="425"/>
        <v>2.1828818462884554</v>
      </c>
      <c r="CL90" s="10">
        <f t="shared" si="426"/>
        <v>20.93747504231677</v>
      </c>
      <c r="CM90" s="539">
        <f t="shared" si="427"/>
        <v>215.86536768628591</v>
      </c>
      <c r="CN90" s="19">
        <f t="shared" si="428"/>
        <v>25.124970050780124</v>
      </c>
      <c r="CO90" s="10">
        <f t="shared" si="429"/>
        <v>2.4369515083200897</v>
      </c>
      <c r="CP90" s="10">
        <f t="shared" si="430"/>
        <v>23.374426550636858</v>
      </c>
      <c r="CQ90" s="539">
        <f t="shared" si="431"/>
        <v>240.99033773706603</v>
      </c>
      <c r="CR90" s="19">
        <f t="shared" si="432"/>
        <v>28.049311860764231</v>
      </c>
      <c r="CS90" s="10">
        <f t="shared" si="433"/>
        <v>2.7205928089975004</v>
      </c>
      <c r="CT90" s="10">
        <f t="shared" si="434"/>
        <v>26.09501935963436</v>
      </c>
      <c r="CU90" s="539">
        <f t="shared" si="435"/>
        <v>269.03964959783025</v>
      </c>
      <c r="CV90" s="19">
        <f t="shared" si="436"/>
        <v>31.314023231561229</v>
      </c>
      <c r="CW90" s="10">
        <f t="shared" si="437"/>
        <v>3.0372476461262101</v>
      </c>
      <c r="CX90" s="10">
        <f t="shared" si="438"/>
        <v>29.132267005760571</v>
      </c>
      <c r="CY90" s="539">
        <f t="shared" si="439"/>
        <v>300.35367282939148</v>
      </c>
      <c r="CZ90" s="19">
        <f t="shared" si="440"/>
        <v>34.958720406912683</v>
      </c>
      <c r="DA90" s="10">
        <f t="shared" si="441"/>
        <v>3.3907585263736837</v>
      </c>
      <c r="DB90" s="10">
        <f t="shared" si="442"/>
        <v>32.523025532134255</v>
      </c>
      <c r="DC90" s="539">
        <f t="shared" si="443"/>
        <v>335.31239323630422</v>
      </c>
      <c r="DD90" s="19">
        <f t="shared" si="444"/>
        <v>39.027630638561106</v>
      </c>
      <c r="DE90" s="10">
        <f t="shared" si="445"/>
        <v>3.785415192876926</v>
      </c>
      <c r="DF90" s="10">
        <f t="shared" si="446"/>
        <v>36.308440725011181</v>
      </c>
      <c r="DG90" s="539">
        <f t="shared" si="447"/>
        <v>374.34002387486527</v>
      </c>
      <c r="DH90" s="19">
        <f t="shared" si="448"/>
        <v>43.570128870013413</v>
      </c>
      <c r="DI90" s="10">
        <f t="shared" si="449"/>
        <v>4.2260066799237066</v>
      </c>
      <c r="DJ90" s="10">
        <f t="shared" si="450"/>
        <v>40.534447404934888</v>
      </c>
      <c r="DK90" s="539">
        <f t="shared" si="451"/>
        <v>417.9101527448787</v>
      </c>
      <c r="DL90" s="19">
        <f t="shared" si="452"/>
        <v>48.641336885921866</v>
      </c>
      <c r="DM90" s="10">
        <f t="shared" si="453"/>
        <v>4.7178794263745747</v>
      </c>
      <c r="DN90" s="10">
        <f t="shared" si="454"/>
        <v>45.25232683130946</v>
      </c>
      <c r="DO90" s="539">
        <f t="shared" si="455"/>
        <v>466.55148963080057</v>
      </c>
      <c r="DP90" s="19">
        <f t="shared" si="456"/>
        <v>54.30279219757135</v>
      </c>
      <c r="DQ90" s="10">
        <f t="shared" si="457"/>
        <v>5.2670021530137099</v>
      </c>
      <c r="DR90" s="10">
        <f t="shared" si="458"/>
        <v>50.519328984323167</v>
      </c>
      <c r="DS90" s="539">
        <f t="shared" si="459"/>
        <v>520.85428182837188</v>
      </c>
      <c r="DT90" s="19">
        <f t="shared" si="460"/>
        <v>60.623194781187799</v>
      </c>
      <c r="DU90" s="10">
        <f t="shared" si="461"/>
        <v>5.8800382910948397</v>
      </c>
      <c r="DV90" s="10">
        <f t="shared" si="462"/>
        <v>56.399367275418008</v>
      </c>
      <c r="DW90" s="539">
        <f t="shared" si="463"/>
        <v>581.47747660955974</v>
      </c>
      <c r="DX90" s="19">
        <f t="shared" si="464"/>
        <v>67.679240730501604</v>
      </c>
      <c r="DY90" s="10">
        <f t="shared" si="465"/>
        <v>6.5644268409797863</v>
      </c>
      <c r="DZ90" s="10">
        <f t="shared" si="466"/>
        <v>62.963794116397793</v>
      </c>
      <c r="EA90" s="539">
        <f t="shared" si="467"/>
        <v>649.15671734006128</v>
      </c>
      <c r="EB90" s="19">
        <f t="shared" si="468"/>
        <v>75.556552939677346</v>
      </c>
      <c r="EC90" s="10">
        <f t="shared" si="469"/>
        <v>7.3284726420637574</v>
      </c>
      <c r="ED90" s="10">
        <f t="shared" si="470"/>
        <v>70.292266758461551</v>
      </c>
      <c r="EE90" s="539">
        <f t="shared" si="471"/>
        <v>724.71327027973859</v>
      </c>
      <c r="EF90" s="19">
        <f t="shared" si="472"/>
        <v>84.350720110153858</v>
      </c>
      <c r="EG90" s="10">
        <f t="shared" si="473"/>
        <v>8.1814471493844678</v>
      </c>
      <c r="EH90" s="10">
        <f t="shared" si="474"/>
        <v>78.473713907846019</v>
      </c>
      <c r="EI90" s="539">
        <f t="shared" si="475"/>
        <v>809.06399038989252</v>
      </c>
      <c r="EJ90" s="19">
        <f t="shared" si="476"/>
        <v>94.168456689415223</v>
      </c>
      <c r="EK90" s="10">
        <f t="shared" si="477"/>
        <v>9.1337009398074898</v>
      </c>
      <c r="EL90" s="10">
        <f t="shared" si="478"/>
        <v>87.607414847653502</v>
      </c>
      <c r="EM90" s="539">
        <f t="shared" si="479"/>
        <v>903.23244707930769</v>
      </c>
      <c r="EN90" s="19">
        <f t="shared" si="480"/>
        <v>105.1288978171842</v>
      </c>
      <c r="EO90" s="10">
        <f t="shared" si="481"/>
        <v>10.196789313014955</v>
      </c>
      <c r="EP90" s="10">
        <f t="shared" si="482"/>
        <v>97.804204160668462</v>
      </c>
      <c r="EQ90" s="539">
        <f t="shared" si="483"/>
        <v>1008.3613448964919</v>
      </c>
      <c r="ER90" s="19">
        <f t="shared" si="484"/>
        <v>117.36504499280215</v>
      </c>
      <c r="ES90" s="10">
        <f t="shared" si="485"/>
        <v>11.383612511426008</v>
      </c>
      <c r="ET90" s="10">
        <f t="shared" si="486"/>
        <v>109.18781667209447</v>
      </c>
      <c r="EU90" s="539">
        <f t="shared" si="487"/>
        <v>1125.7263898892941</v>
      </c>
      <c r="EV90" s="19">
        <f t="shared" si="488"/>
        <v>131.02538000651336</v>
      </c>
      <c r="EW90" s="10">
        <f t="shared" si="489"/>
        <v>12.708572260573556</v>
      </c>
      <c r="EX90" s="10">
        <f t="shared" si="490"/>
        <v>121.89638893266803</v>
      </c>
      <c r="EY90" s="539">
        <f t="shared" si="491"/>
        <v>1256.7517698958075</v>
      </c>
      <c r="EZ90" s="19">
        <f t="shared" si="492"/>
        <v>146.27566671920164</v>
      </c>
      <c r="FA90" s="10">
        <f t="shared" si="493"/>
        <v>14.187746529505493</v>
      </c>
      <c r="FB90" s="10">
        <f t="shared" si="494"/>
        <v>136.08413546217352</v>
      </c>
      <c r="FC90" s="539">
        <f t="shared" si="495"/>
        <v>1403.027436615009</v>
      </c>
      <c r="FD90" s="19">
        <f t="shared" si="496"/>
        <v>163.30096255460822</v>
      </c>
      <c r="FE90" s="10">
        <f t="shared" si="497"/>
        <v>15.839084631872765</v>
      </c>
      <c r="FF90" s="10">
        <f t="shared" si="498"/>
        <v>151.92322009404629</v>
      </c>
      <c r="FG90" s="539">
        <f t="shared" si="499"/>
        <v>1566.3283991696173</v>
      </c>
      <c r="FH90" s="19">
        <f t="shared" si="500"/>
        <v>182.30786411285553</v>
      </c>
      <c r="FI90" s="10">
        <f t="shared" si="501"/>
        <v>17.682625035194523</v>
      </c>
      <c r="FJ90" s="10">
        <f t="shared" si="502"/>
        <v>169.60584512924081</v>
      </c>
      <c r="FK90" s="539">
        <f t="shared" si="503"/>
        <v>1748.6362632824728</v>
      </c>
      <c r="FL90" s="19">
        <f t="shared" si="504"/>
        <v>203.52701415508895</v>
      </c>
      <c r="FM90" s="10">
        <f t="shared" si="505"/>
        <v>19.740738521347133</v>
      </c>
      <c r="FN90" s="10">
        <f t="shared" si="506"/>
        <v>189.34658365058795</v>
      </c>
      <c r="FO90" s="539">
        <f t="shared" si="507"/>
        <v>1952.1632774375619</v>
      </c>
      <c r="FP90" s="19">
        <f t="shared" si="508"/>
        <v>227.21590038070553</v>
      </c>
      <c r="FQ90" s="10">
        <f t="shared" si="509"/>
        <v>22.038399648953011</v>
      </c>
      <c r="FR90" s="10">
        <f t="shared" si="510"/>
        <v>211.38498329954095</v>
      </c>
      <c r="FS90" s="539">
        <f t="shared" si="511"/>
        <v>2179.3791778182672</v>
      </c>
      <c r="FT90" s="19">
        <f t="shared" si="512"/>
        <v>253.66197995944913</v>
      </c>
      <c r="FU90" s="10">
        <f t="shared" si="513"/>
        <v>24.603489811779738</v>
      </c>
      <c r="FV90" s="10">
        <f t="shared" si="514"/>
        <v>235.98847311132067</v>
      </c>
      <c r="FW90" s="539">
        <f t="shared" si="515"/>
        <v>2433.0411577777163</v>
      </c>
      <c r="FX90" s="19">
        <f t="shared" si="516"/>
        <v>283.1861677335848</v>
      </c>
      <c r="FY90" s="10">
        <f t="shared" si="517"/>
        <v>27.467135570667779</v>
      </c>
      <c r="FZ90" s="10">
        <f t="shared" si="518"/>
        <v>263.45560868198845</v>
      </c>
      <c r="GA90" s="539">
        <f t="shared" si="519"/>
        <v>2716.2273255113009</v>
      </c>
      <c r="GB90" s="19">
        <f t="shared" si="520"/>
        <v>316.14673041838614</v>
      </c>
      <c r="GC90" s="10">
        <f t="shared" si="521"/>
        <v>30.664086364537937</v>
      </c>
      <c r="GD90" s="10">
        <f t="shared" si="522"/>
        <v>294.11969504652637</v>
      </c>
      <c r="GE90" s="539">
        <f t="shared" si="523"/>
        <v>3032.3740559296871</v>
      </c>
      <c r="GF90" s="19">
        <f t="shared" si="524"/>
        <v>352.94363405583164</v>
      </c>
      <c r="GG90" s="10">
        <f t="shared" si="525"/>
        <v>34.233136183882799</v>
      </c>
      <c r="GH90" s="10">
        <f t="shared" si="526"/>
        <v>328.35283123040915</v>
      </c>
      <c r="GI90" s="539">
        <f t="shared" si="527"/>
        <v>3385.3176899855184</v>
      </c>
      <c r="GJ90" s="19">
        <f t="shared" si="528"/>
        <v>394.02339747649097</v>
      </c>
      <c r="GK90" s="10">
        <f t="shared" si="529"/>
        <v>38.217594323616972</v>
      </c>
      <c r="GL90" s="10">
        <f t="shared" si="530"/>
        <v>366.57042555402614</v>
      </c>
      <c r="GM90" s="539">
        <f t="shared" si="531"/>
        <v>3779.3410874620099</v>
      </c>
      <c r="GN90" s="19">
        <f t="shared" si="532"/>
        <v>439.88451066483134</v>
      </c>
      <c r="GO90" s="10">
        <f t="shared" si="533"/>
        <v>42.665810927723697</v>
      </c>
      <c r="GP90" s="10">
        <f t="shared" si="534"/>
        <v>409.23623648174987</v>
      </c>
      <c r="GQ90" s="539">
        <f t="shared" si="535"/>
        <v>4219.2255981268418</v>
      </c>
      <c r="GR90" s="19">
        <f t="shared" si="536"/>
        <v>491.08348377809983</v>
      </c>
      <c r="GS90" s="10">
        <f t="shared" si="537"/>
        <v>47.631763703016468</v>
      </c>
      <c r="GT90" s="10">
        <f t="shared" si="538"/>
        <v>456.86800018476634</v>
      </c>
      <c r="GU90" s="539">
        <f t="shared" si="539"/>
        <v>4710.3090819049412</v>
      </c>
      <c r="GV90" s="19">
        <f t="shared" si="540"/>
        <v>548.24160022171964</v>
      </c>
      <c r="GW90" s="10">
        <f t="shared" si="541"/>
        <v>53.17571292160229</v>
      </c>
      <c r="GX90" s="10">
        <f t="shared" si="542"/>
        <v>510.04371310636861</v>
      </c>
      <c r="GY90" s="539">
        <f t="shared" si="543"/>
        <v>5258.5506821266608</v>
      </c>
      <c r="GZ90" s="19">
        <f t="shared" si="544"/>
        <v>612.05245572764227</v>
      </c>
      <c r="HA90" s="10">
        <f t="shared" si="545"/>
        <v>59.364932660295075</v>
      </c>
      <c r="HB90" s="10">
        <f t="shared" si="546"/>
        <v>569.40864576666365</v>
      </c>
      <c r="HC90" s="539">
        <f t="shared" si="547"/>
        <v>5870.603137854303</v>
      </c>
      <c r="HD90" s="19">
        <f t="shared" si="548"/>
        <v>683.29037491999634</v>
      </c>
      <c r="HE90" s="10">
        <f t="shared" si="549"/>
        <v>66.274527150339111</v>
      </c>
      <c r="HF90" s="10">
        <f t="shared" si="550"/>
        <v>635.68317291700282</v>
      </c>
      <c r="HG90" s="539">
        <f t="shared" si="551"/>
        <v>6553.8935127742998</v>
      </c>
      <c r="HH90" s="19">
        <f t="shared" si="552"/>
        <v>762.81980750040339</v>
      </c>
      <c r="HI90" s="10">
        <f t="shared" si="553"/>
        <v>73.98834214358908</v>
      </c>
      <c r="HJ90" s="10">
        <f t="shared" si="554"/>
        <v>709.6715150605919</v>
      </c>
      <c r="HK90" s="539">
        <f t="shared" si="555"/>
        <v>7316.7133202747027</v>
      </c>
      <c r="HL90" s="19">
        <f t="shared" si="556"/>
        <v>851.60581807271024</v>
      </c>
      <c r="HM90" s="10">
        <f t="shared" si="557"/>
        <v>82.599982354288088</v>
      </c>
      <c r="HN90" s="10">
        <f t="shared" si="558"/>
        <v>792.27149741487995</v>
      </c>
      <c r="HO90" s="539">
        <f t="shared" si="559"/>
        <v>8168.3191383474123</v>
      </c>
      <c r="HP90" s="19">
        <f t="shared" si="560"/>
        <v>950.72579689785584</v>
      </c>
      <c r="HQ90" s="10">
        <f t="shared" si="561"/>
        <v>92.213947322779418</v>
      </c>
      <c r="HR90" s="10">
        <f t="shared" si="562"/>
        <v>884.48544473765935</v>
      </c>
      <c r="HS90" s="539">
        <f t="shared" si="563"/>
        <v>9119.0449352452688</v>
      </c>
      <c r="HT90" s="19">
        <f t="shared" si="564"/>
        <v>1061.3825336851912</v>
      </c>
      <c r="HU90" s="10">
        <f t="shared" si="565"/>
        <v>102.94689948449962</v>
      </c>
      <c r="HV90" s="10">
        <f t="shared" si="566"/>
        <v>987.43234422215892</v>
      </c>
      <c r="HW90" s="539">
        <f t="shared" si="567"/>
        <v>10180.427468930458</v>
      </c>
      <c r="HX90" s="19">
        <f t="shared" si="568"/>
        <v>1184.9188130665907</v>
      </c>
      <c r="HY90" s="10">
        <f t="shared" si="569"/>
        <v>114.92907983187106</v>
      </c>
      <c r="HZ90" s="10">
        <f t="shared" si="570"/>
        <v>1102.3614240540301</v>
      </c>
      <c r="IA90" s="539">
        <f t="shared" si="571"/>
        <v>11365.34628199705</v>
      </c>
      <c r="IB90" s="19">
        <f t="shared" si="572"/>
        <v>1322.8337088648361</v>
      </c>
      <c r="IP90" s="11">
        <v>49</v>
      </c>
      <c r="IQ90" s="19">
        <f t="shared" si="358"/>
        <v>382.70551083184466</v>
      </c>
      <c r="IR90" s="20">
        <f t="shared" si="620"/>
        <v>3.5861061708654005</v>
      </c>
    </row>
    <row r="91" spans="1:252">
      <c r="A91" s="11"/>
      <c r="B91" s="20"/>
      <c r="C91" s="826" t="s">
        <v>2348</v>
      </c>
      <c r="D91" s="47" t="s">
        <v>1367</v>
      </c>
      <c r="E91" s="396">
        <f t="shared" si="600"/>
        <v>5.0263999999999998</v>
      </c>
      <c r="F91" s="242">
        <v>1.0264</v>
      </c>
      <c r="G91" s="48">
        <f>'Update Stock Prices'!S91</f>
        <v>3074094178.3145609</v>
      </c>
      <c r="H91" s="991">
        <f t="shared" si="610"/>
        <v>3.3388697302785505E-10</v>
      </c>
      <c r="I91" s="49">
        <f>'Update Stock Prices'!D91</f>
        <v>73.69</v>
      </c>
      <c r="J91" s="49">
        <f t="shared" si="404"/>
        <v>75.635415999999992</v>
      </c>
      <c r="K91" s="30">
        <v>78.5</v>
      </c>
      <c r="L91" s="49">
        <f t="shared" si="611"/>
        <v>-2.8645840000000078</v>
      </c>
      <c r="M91" s="50">
        <f t="shared" si="613"/>
        <v>-3.6491515923566975E-2</v>
      </c>
      <c r="N91" s="49">
        <f t="shared" si="612"/>
        <v>76.480904130943102</v>
      </c>
      <c r="O91" s="48">
        <f t="shared" si="601"/>
        <v>4</v>
      </c>
      <c r="P91" s="49">
        <f t="shared" si="602"/>
        <v>26.25</v>
      </c>
      <c r="Q91" s="30">
        <v>2.3199999999999998</v>
      </c>
      <c r="R91" s="49">
        <f t="shared" ref="R91" si="660">S91/365.25</f>
        <v>6.5195017111567416E-3</v>
      </c>
      <c r="S91" s="49">
        <f t="shared" si="603"/>
        <v>2.3812479999999998</v>
      </c>
      <c r="T91" s="49">
        <f t="shared" ref="T91" si="661">S91/12</f>
        <v>0.19843733333333333</v>
      </c>
      <c r="U91" s="49" t="s">
        <v>57</v>
      </c>
      <c r="V91" s="50">
        <f t="shared" si="604"/>
        <v>3.1483240602524089E-2</v>
      </c>
      <c r="W91" s="50">
        <f t="shared" si="575"/>
        <v>3.0334369426751589E-2</v>
      </c>
      <c r="X91" s="49">
        <f t="shared" si="618"/>
        <v>9.2799999999999976</v>
      </c>
      <c r="Y91" s="49">
        <f t="shared" ref="Y91" si="662">IF(U91="Q",3*T91,IF(U91="Y",12*T91,IF(U91="B",6*T91,IF(U91="M",T91,0))))</f>
        <v>2.3812479999999998</v>
      </c>
      <c r="Z91" s="860">
        <f t="shared" si="605"/>
        <v>0</v>
      </c>
      <c r="AA91" s="860">
        <f t="shared" si="606"/>
        <v>30.736531034482763</v>
      </c>
      <c r="AB91" s="49">
        <f t="shared" si="607"/>
        <v>2264.9749719310348</v>
      </c>
      <c r="AC91" s="48">
        <v>1</v>
      </c>
      <c r="AD91" s="47" t="str">
        <f t="shared" si="608"/>
        <v>NSRGY</v>
      </c>
      <c r="AE91" s="49">
        <f t="shared" si="609"/>
        <v>75.635415999999992</v>
      </c>
      <c r="AF91" s="50" t="e">
        <f t="shared" si="405"/>
        <v>#REF!</v>
      </c>
      <c r="AG91" s="890" t="e">
        <f t="shared" si="599"/>
        <v>#REF!</v>
      </c>
      <c r="AH91" s="207" t="s">
        <v>1368</v>
      </c>
      <c r="AI91" s="240">
        <f t="shared" si="406"/>
        <v>1.2986697723974606E-2</v>
      </c>
      <c r="AJ91" s="11">
        <f t="shared" si="595"/>
        <v>5</v>
      </c>
      <c r="AK91" s="11"/>
      <c r="AL91" s="11">
        <v>1</v>
      </c>
      <c r="AM91" s="11"/>
      <c r="AN91" s="11"/>
      <c r="AO91" s="11">
        <v>1</v>
      </c>
      <c r="AP91" s="11"/>
      <c r="AQ91" s="11" t="str">
        <f>'Update Stock Prices'!Q91</f>
        <v>mega</v>
      </c>
      <c r="AR91" s="11"/>
      <c r="AS91" s="11"/>
      <c r="AU91" s="420"/>
      <c r="AV91" s="10"/>
      <c r="BF91" s="1021" t="s">
        <v>1905</v>
      </c>
      <c r="BS91" s="420" t="str">
        <f t="shared" si="407"/>
        <v>NSRGY</v>
      </c>
      <c r="BT91" s="425">
        <f t="shared" si="408"/>
        <v>1.0264</v>
      </c>
      <c r="BU91" s="19">
        <f t="shared" si="409"/>
        <v>73.69</v>
      </c>
      <c r="BV91" s="19">
        <f t="shared" si="410"/>
        <v>75.635415999999992</v>
      </c>
      <c r="BW91" s="539">
        <f t="shared" si="411"/>
        <v>2.3199999999999998</v>
      </c>
      <c r="BX91" s="19">
        <f t="shared" si="412"/>
        <v>2.3812479999999998</v>
      </c>
      <c r="BY91" s="10">
        <f t="shared" si="413"/>
        <v>3.2314398154430719E-2</v>
      </c>
      <c r="BZ91" s="10">
        <f t="shared" si="414"/>
        <v>1.0587143981544307</v>
      </c>
      <c r="CA91" s="539">
        <f t="shared" si="415"/>
        <v>78.016663999999992</v>
      </c>
      <c r="CB91" s="19">
        <f t="shared" si="416"/>
        <v>2.4562174037182789</v>
      </c>
      <c r="CC91" s="10">
        <f t="shared" si="417"/>
        <v>3.333176012645242E-2</v>
      </c>
      <c r="CD91" s="10">
        <f t="shared" si="418"/>
        <v>1.0920461582808831</v>
      </c>
      <c r="CE91" s="539">
        <f t="shared" si="419"/>
        <v>80.472881403718276</v>
      </c>
      <c r="CF91" s="19">
        <f t="shared" si="420"/>
        <v>2.5335470872116486</v>
      </c>
      <c r="CG91" s="10">
        <f t="shared" si="421"/>
        <v>3.4381151950219145E-2</v>
      </c>
      <c r="CH91" s="10">
        <f t="shared" si="422"/>
        <v>1.1264273102311022</v>
      </c>
      <c r="CI91" s="539">
        <f t="shared" si="423"/>
        <v>83.00642849092992</v>
      </c>
      <c r="CJ91" s="19">
        <f t="shared" si="424"/>
        <v>2.6133113597361568</v>
      </c>
      <c r="CK91" s="10">
        <f t="shared" si="425"/>
        <v>3.5463582029259831E-2</v>
      </c>
      <c r="CL91" s="10">
        <f t="shared" si="426"/>
        <v>1.1618908922603621</v>
      </c>
      <c r="CM91" s="539">
        <f t="shared" si="427"/>
        <v>85.619739850666079</v>
      </c>
      <c r="CN91" s="19">
        <f t="shared" si="428"/>
        <v>2.69558687004404</v>
      </c>
      <c r="CO91" s="10">
        <f t="shared" si="429"/>
        <v>3.6580090514914371E-2</v>
      </c>
      <c r="CP91" s="10">
        <f t="shared" si="430"/>
        <v>1.1984709827752764</v>
      </c>
      <c r="CQ91" s="539">
        <f t="shared" si="431"/>
        <v>88.315326720710118</v>
      </c>
      <c r="CR91" s="19">
        <f t="shared" si="432"/>
        <v>2.7804526800386409</v>
      </c>
      <c r="CS91" s="10">
        <f t="shared" si="433"/>
        <v>3.7731750305857521E-2</v>
      </c>
      <c r="CT91" s="10">
        <f t="shared" si="434"/>
        <v>1.236202733081134</v>
      </c>
      <c r="CU91" s="539">
        <f t="shared" si="435"/>
        <v>91.095779400748768</v>
      </c>
      <c r="CV91" s="19">
        <f t="shared" si="436"/>
        <v>2.8679903407482308</v>
      </c>
      <c r="CW91" s="10">
        <f t="shared" si="437"/>
        <v>3.8919668079091203E-2</v>
      </c>
      <c r="CX91" s="10">
        <f t="shared" si="438"/>
        <v>1.2751224011602253</v>
      </c>
      <c r="CY91" s="539">
        <f t="shared" si="439"/>
        <v>93.963769741497003</v>
      </c>
      <c r="CZ91" s="19">
        <f t="shared" si="440"/>
        <v>2.9582839706917228</v>
      </c>
      <c r="DA91" s="10">
        <f t="shared" si="441"/>
        <v>4.0144985353395612E-2</v>
      </c>
      <c r="DB91" s="10">
        <f t="shared" si="442"/>
        <v>1.3152673865136211</v>
      </c>
      <c r="DC91" s="539">
        <f t="shared" si="443"/>
        <v>96.922053712188728</v>
      </c>
      <c r="DD91" s="19">
        <f t="shared" si="444"/>
        <v>3.0514203367116006</v>
      </c>
      <c r="DE91" s="10">
        <f t="shared" si="445"/>
        <v>4.1408879586261375E-2</v>
      </c>
      <c r="DF91" s="10">
        <f t="shared" si="446"/>
        <v>1.3566762660998823</v>
      </c>
      <c r="DG91" s="539">
        <f t="shared" si="447"/>
        <v>99.973474048900329</v>
      </c>
      <c r="DH91" s="19">
        <f t="shared" si="448"/>
        <v>3.147488937351727</v>
      </c>
      <c r="DI91" s="10">
        <f t="shared" si="449"/>
        <v>4.2712565305356588E-2</v>
      </c>
      <c r="DJ91" s="10">
        <f t="shared" si="450"/>
        <v>1.399388831405239</v>
      </c>
      <c r="DK91" s="539">
        <f t="shared" si="451"/>
        <v>103.12096298625205</v>
      </c>
      <c r="DL91" s="19">
        <f t="shared" si="452"/>
        <v>3.246582088860154</v>
      </c>
      <c r="DM91" s="10">
        <f t="shared" si="453"/>
        <v>4.4057295275616151E-2</v>
      </c>
      <c r="DN91" s="10">
        <f t="shared" si="454"/>
        <v>1.4434461266808551</v>
      </c>
      <c r="DO91" s="539">
        <f t="shared" si="455"/>
        <v>106.36754507511222</v>
      </c>
      <c r="DP91" s="19">
        <f t="shared" si="456"/>
        <v>3.3487950138995837</v>
      </c>
      <c r="DQ91" s="10">
        <f t="shared" si="457"/>
        <v>4.5444361703074823E-2</v>
      </c>
      <c r="DR91" s="10">
        <f t="shared" si="458"/>
        <v>1.48889048838393</v>
      </c>
      <c r="DS91" s="539">
        <f t="shared" si="459"/>
        <v>109.71634008901179</v>
      </c>
      <c r="DT91" s="19">
        <f t="shared" si="460"/>
        <v>3.4542259330507172</v>
      </c>
      <c r="DU91" s="10">
        <f t="shared" si="461"/>
        <v>4.687509747660086E-2</v>
      </c>
      <c r="DV91" s="10">
        <f t="shared" si="462"/>
        <v>1.5357655858605308</v>
      </c>
      <c r="DW91" s="539">
        <f t="shared" si="463"/>
        <v>113.17056602206252</v>
      </c>
      <c r="DX91" s="19">
        <f t="shared" si="464"/>
        <v>3.5629761591964311</v>
      </c>
      <c r="DY91" s="10">
        <f t="shared" si="465"/>
        <v>4.8350877448723455E-2</v>
      </c>
      <c r="DZ91" s="10">
        <f t="shared" si="466"/>
        <v>1.5841164633092542</v>
      </c>
      <c r="EA91" s="539">
        <f t="shared" si="467"/>
        <v>116.73354218125894</v>
      </c>
      <c r="EB91" s="19">
        <f t="shared" si="468"/>
        <v>3.6751501948774692</v>
      </c>
      <c r="EC91" s="10">
        <f t="shared" si="469"/>
        <v>4.9873119756784767E-2</v>
      </c>
      <c r="ED91" s="10">
        <f t="shared" si="470"/>
        <v>1.6339895830660389</v>
      </c>
      <c r="EE91" s="539">
        <f t="shared" si="471"/>
        <v>120.4086923761364</v>
      </c>
      <c r="EF91" s="19">
        <f t="shared" si="472"/>
        <v>3.79085583271321</v>
      </c>
      <c r="EG91" s="10">
        <f t="shared" si="473"/>
        <v>5.1443287185686117E-2</v>
      </c>
      <c r="EH91" s="10">
        <f t="shared" si="474"/>
        <v>1.6854328702517249</v>
      </c>
      <c r="EI91" s="539">
        <f t="shared" si="475"/>
        <v>124.19954820884961</v>
      </c>
      <c r="EJ91" s="19">
        <f t="shared" si="476"/>
        <v>3.9102042589840016</v>
      </c>
      <c r="EK91" s="10">
        <f t="shared" si="477"/>
        <v>5.3062888573537817E-2</v>
      </c>
      <c r="EL91" s="10">
        <f t="shared" si="478"/>
        <v>1.7384957588252627</v>
      </c>
      <c r="EM91" s="539">
        <f t="shared" si="479"/>
        <v>128.1097524678336</v>
      </c>
      <c r="EN91" s="19">
        <f t="shared" si="480"/>
        <v>4.0333101604746089</v>
      </c>
      <c r="EO91" s="10">
        <f t="shared" si="481"/>
        <v>5.4733480261563425E-2</v>
      </c>
      <c r="EP91" s="10">
        <f t="shared" si="482"/>
        <v>1.7932292390868261</v>
      </c>
      <c r="EQ91" s="539">
        <f t="shared" si="483"/>
        <v>132.1430626283082</v>
      </c>
      <c r="ER91" s="19">
        <f t="shared" si="484"/>
        <v>4.1602918346814359</v>
      </c>
      <c r="ES91" s="10">
        <f t="shared" si="485"/>
        <v>5.6456667589651732E-2</v>
      </c>
      <c r="ET91" s="10">
        <f t="shared" si="486"/>
        <v>1.8496859066764779</v>
      </c>
      <c r="EU91" s="539">
        <f t="shared" si="487"/>
        <v>136.30335446298966</v>
      </c>
      <c r="EV91" s="19">
        <f t="shared" si="488"/>
        <v>4.2912713034894283</v>
      </c>
      <c r="EW91" s="10">
        <f t="shared" si="489"/>
        <v>5.8234106438993467E-2</v>
      </c>
      <c r="EX91" s="10">
        <f t="shared" si="490"/>
        <v>1.9079200131154714</v>
      </c>
      <c r="EY91" s="539">
        <f t="shared" si="491"/>
        <v>140.59462576647908</v>
      </c>
      <c r="EZ91" s="19">
        <f t="shared" si="492"/>
        <v>4.4263744304278934</v>
      </c>
      <c r="FA91" s="10">
        <f t="shared" si="493"/>
        <v>6.0067504823285295E-2</v>
      </c>
      <c r="FB91" s="10">
        <f t="shared" si="494"/>
        <v>1.9679875179387567</v>
      </c>
      <c r="FC91" s="539">
        <f t="shared" si="495"/>
        <v>145.02100019690698</v>
      </c>
      <c r="FD91" s="19">
        <f t="shared" si="496"/>
        <v>4.5657310416179149</v>
      </c>
      <c r="FE91" s="10">
        <f t="shared" si="497"/>
        <v>6.1958624530030058E-2</v>
      </c>
      <c r="FF91" s="10">
        <f t="shared" si="498"/>
        <v>2.0299461424687868</v>
      </c>
      <c r="FG91" s="539">
        <f t="shared" si="499"/>
        <v>149.58673123852489</v>
      </c>
      <c r="FH91" s="19">
        <f t="shared" si="500"/>
        <v>4.7094750505275851</v>
      </c>
      <c r="FI91" s="10">
        <f t="shared" si="501"/>
        <v>6.3909282813510451E-2</v>
      </c>
      <c r="FJ91" s="10">
        <f t="shared" si="502"/>
        <v>2.0938554252822974</v>
      </c>
      <c r="FK91" s="539">
        <f t="shared" si="503"/>
        <v>154.29620628905249</v>
      </c>
      <c r="FL91" s="19">
        <f t="shared" si="504"/>
        <v>4.8577445866549294</v>
      </c>
      <c r="FM91" s="10">
        <f t="shared" si="505"/>
        <v>6.5921354141062954E-2</v>
      </c>
      <c r="FN91" s="10">
        <f t="shared" si="506"/>
        <v>2.1597767794233604</v>
      </c>
      <c r="FO91" s="539">
        <f t="shared" si="507"/>
        <v>159.15395087570744</v>
      </c>
      <c r="FP91" s="19">
        <f t="shared" si="508"/>
        <v>5.0106821282621956</v>
      </c>
      <c r="FQ91" s="10">
        <f t="shared" si="509"/>
        <v>6.7996771994330241E-2</v>
      </c>
      <c r="FR91" s="10">
        <f t="shared" si="510"/>
        <v>2.2277735514176906</v>
      </c>
      <c r="FS91" s="539">
        <f t="shared" si="511"/>
        <v>164.16463300396961</v>
      </c>
      <c r="FT91" s="19">
        <f t="shared" si="512"/>
        <v>5.1684346392890417</v>
      </c>
      <c r="FU91" s="10">
        <f t="shared" si="513"/>
        <v>7.0137530727222716E-2</v>
      </c>
      <c r="FV91" s="10">
        <f t="shared" si="514"/>
        <v>2.2979110821449131</v>
      </c>
      <c r="FW91" s="539">
        <f t="shared" si="515"/>
        <v>169.33306764325863</v>
      </c>
      <c r="FX91" s="19">
        <f t="shared" si="516"/>
        <v>5.3311537105761984</v>
      </c>
      <c r="FY91" s="10">
        <f t="shared" si="517"/>
        <v>7.2345687482374799E-2</v>
      </c>
      <c r="FZ91" s="10">
        <f t="shared" si="518"/>
        <v>2.370256769627288</v>
      </c>
      <c r="GA91" s="539">
        <f t="shared" si="519"/>
        <v>174.66422135383485</v>
      </c>
      <c r="GB91" s="19">
        <f t="shared" si="520"/>
        <v>5.4989957055353083</v>
      </c>
      <c r="GC91" s="10">
        <f t="shared" si="521"/>
        <v>7.4623364167937425E-2</v>
      </c>
      <c r="GD91" s="10">
        <f t="shared" si="522"/>
        <v>2.4448801337952255</v>
      </c>
      <c r="GE91" s="539">
        <f t="shared" si="523"/>
        <v>180.16321705937017</v>
      </c>
      <c r="GF91" s="19">
        <f t="shared" si="524"/>
        <v>5.6721219104049228</v>
      </c>
      <c r="GG91" s="10">
        <f t="shared" si="525"/>
        <v>7.697274949660636E-2</v>
      </c>
      <c r="GH91" s="10">
        <f t="shared" si="526"/>
        <v>2.5218528832918317</v>
      </c>
      <c r="GI91" s="539">
        <f t="shared" si="527"/>
        <v>185.83533896977508</v>
      </c>
      <c r="GJ91" s="19">
        <f t="shared" si="528"/>
        <v>5.8506986892370492</v>
      </c>
      <c r="GK91" s="10">
        <f t="shared" si="529"/>
        <v>7.939610108884583E-2</v>
      </c>
      <c r="GL91" s="10">
        <f t="shared" si="530"/>
        <v>2.6012489843806774</v>
      </c>
      <c r="GM91" s="539">
        <f t="shared" si="531"/>
        <v>191.6860376590121</v>
      </c>
      <c r="GN91" s="19">
        <f t="shared" si="532"/>
        <v>6.0348976437631716</v>
      </c>
      <c r="GO91" s="10">
        <f t="shared" si="533"/>
        <v>8.1895747642328293E-2</v>
      </c>
      <c r="GP91" s="10">
        <f t="shared" si="534"/>
        <v>2.6831447320230057</v>
      </c>
      <c r="GQ91" s="539">
        <f t="shared" si="535"/>
        <v>197.72093530277527</v>
      </c>
      <c r="GR91" s="19">
        <f t="shared" si="536"/>
        <v>6.2248957782933729</v>
      </c>
      <c r="GS91" s="10">
        <f t="shared" si="537"/>
        <v>8.4474091169675303E-2</v>
      </c>
      <c r="GT91" s="10">
        <f t="shared" si="538"/>
        <v>2.7676188231926808</v>
      </c>
      <c r="GU91" s="539">
        <f t="shared" si="539"/>
        <v>203.94583108106863</v>
      </c>
      <c r="GV91" s="19">
        <f t="shared" si="540"/>
        <v>6.4208756698070193</v>
      </c>
      <c r="GW91" s="10">
        <f t="shared" si="541"/>
        <v>8.7133609306649748E-2</v>
      </c>
      <c r="GX91" s="10">
        <f t="shared" si="542"/>
        <v>2.8547524324993305</v>
      </c>
      <c r="GY91" s="539">
        <f t="shared" si="543"/>
        <v>210.36670675087566</v>
      </c>
      <c r="GZ91" s="19">
        <f t="shared" si="544"/>
        <v>6.6230256433984467</v>
      </c>
      <c r="HA91" s="10">
        <f t="shared" si="545"/>
        <v>8.9876857693017329E-2</v>
      </c>
      <c r="HB91" s="10">
        <f t="shared" si="546"/>
        <v>2.9446292901923479</v>
      </c>
      <c r="HC91" s="539">
        <f t="shared" si="547"/>
        <v>216.98973239427411</v>
      </c>
      <c r="HD91" s="19">
        <f t="shared" si="548"/>
        <v>6.8315399532462466</v>
      </c>
      <c r="HE91" s="10">
        <f t="shared" si="549"/>
        <v>9.2706472428365411E-2</v>
      </c>
      <c r="HF91" s="10">
        <f t="shared" si="550"/>
        <v>3.0373357626207134</v>
      </c>
      <c r="HG91" s="539">
        <f t="shared" si="551"/>
        <v>223.82127234752036</v>
      </c>
      <c r="HH91" s="19">
        <f t="shared" si="552"/>
        <v>7.0466189692800549</v>
      </c>
      <c r="HI91" s="10">
        <f t="shared" si="553"/>
        <v>9.5625172605238909E-2</v>
      </c>
      <c r="HJ91" s="10">
        <f t="shared" si="554"/>
        <v>3.1329609352259524</v>
      </c>
      <c r="HK91" s="539">
        <f t="shared" si="555"/>
        <v>230.86789131680044</v>
      </c>
      <c r="HL91" s="19">
        <f t="shared" si="556"/>
        <v>7.2684693697242091</v>
      </c>
      <c r="HM91" s="10">
        <f t="shared" si="557"/>
        <v>9.8635762922027539E-2</v>
      </c>
      <c r="HN91" s="10">
        <f t="shared" si="558"/>
        <v>3.23159669814798</v>
      </c>
      <c r="HO91" s="539">
        <f t="shared" si="559"/>
        <v>238.13636068652463</v>
      </c>
      <c r="HP91" s="19">
        <f t="shared" si="560"/>
        <v>7.4973043397033132</v>
      </c>
      <c r="HQ91" s="10">
        <f t="shared" si="561"/>
        <v>0.10174113637811526</v>
      </c>
      <c r="HR91" s="10">
        <f t="shared" si="562"/>
        <v>3.3333378345260951</v>
      </c>
      <c r="HS91" s="539">
        <f t="shared" si="563"/>
        <v>245.63366502622793</v>
      </c>
      <c r="HT91" s="19">
        <f t="shared" si="564"/>
        <v>7.7333437761005399</v>
      </c>
      <c r="HU91" s="10">
        <f t="shared" si="565"/>
        <v>0.10494427705388167</v>
      </c>
      <c r="HV91" s="10">
        <f t="shared" si="566"/>
        <v>3.4382821115799769</v>
      </c>
      <c r="HW91" s="539">
        <f t="shared" si="567"/>
        <v>253.36700880232848</v>
      </c>
      <c r="HX91" s="19">
        <f t="shared" si="568"/>
        <v>7.9768144988655454</v>
      </c>
      <c r="HY91" s="10">
        <f t="shared" si="569"/>
        <v>0.10824826297822697</v>
      </c>
      <c r="HZ91" s="10">
        <f t="shared" si="570"/>
        <v>3.5465303745582037</v>
      </c>
      <c r="IA91" s="539">
        <f t="shared" si="571"/>
        <v>261.34382330119405</v>
      </c>
      <c r="IB91" s="19">
        <f t="shared" si="572"/>
        <v>8.2279504689750329</v>
      </c>
      <c r="IP91" s="11">
        <v>50</v>
      </c>
      <c r="IQ91" s="19">
        <f t="shared" si="358"/>
        <v>413.32195169839224</v>
      </c>
      <c r="IR91" s="20">
        <f t="shared" si="620"/>
        <v>3.5209042404860291</v>
      </c>
    </row>
    <row r="92" spans="1:252" ht="13.5" thickBot="1">
      <c r="A92" s="11"/>
      <c r="B92" s="20"/>
      <c r="C92" s="826" t="s">
        <v>2342</v>
      </c>
      <c r="D92" s="47" t="s">
        <v>707</v>
      </c>
      <c r="E92" s="396">
        <f t="shared" si="600"/>
        <v>35.180999999999997</v>
      </c>
      <c r="F92" s="242">
        <v>3.181</v>
      </c>
      <c r="G92" s="48">
        <f>'Update Stock Prices'!S92</f>
        <v>167676767.67676768</v>
      </c>
      <c r="H92" s="991">
        <f t="shared" si="610"/>
        <v>1.8971024096385543E-8</v>
      </c>
      <c r="I92" s="49">
        <f>'Update Stock Prices'!D92</f>
        <v>9.9</v>
      </c>
      <c r="J92" s="49">
        <f t="shared" si="404"/>
        <v>31.491900000000001</v>
      </c>
      <c r="K92" s="30">
        <v>30.25</v>
      </c>
      <c r="L92" s="49">
        <f t="shared" si="611"/>
        <v>1.2419000000000011</v>
      </c>
      <c r="M92" s="50">
        <f t="shared" si="613"/>
        <v>4.1054545454545489E-2</v>
      </c>
      <c r="N92" s="49">
        <f t="shared" si="612"/>
        <v>9.5095881798176674</v>
      </c>
      <c r="O92" s="48">
        <f t="shared" si="601"/>
        <v>32</v>
      </c>
      <c r="P92" s="49">
        <f t="shared" si="602"/>
        <v>4.2099999999999795</v>
      </c>
      <c r="Q92" s="30">
        <f>0.03833*12</f>
        <v>0.45996000000000004</v>
      </c>
      <c r="R92" s="49">
        <f t="shared" ref="R92" si="663">S92/365.25</f>
        <v>4.0058391786447645E-3</v>
      </c>
      <c r="S92" s="49">
        <f t="shared" si="603"/>
        <v>1.4631327600000001</v>
      </c>
      <c r="T92" s="49">
        <f t="shared" ref="T92" si="664">S92/12</f>
        <v>0.12192773000000001</v>
      </c>
      <c r="U92" s="49" t="s">
        <v>56</v>
      </c>
      <c r="V92" s="50">
        <f t="shared" si="604"/>
        <v>4.6460606060606063E-2</v>
      </c>
      <c r="W92" s="50">
        <f t="shared" si="575"/>
        <v>4.836802512396695E-2</v>
      </c>
      <c r="X92" s="49">
        <f>12*((E92*Q92)/12-T92)</f>
        <v>14.718720000000001</v>
      </c>
      <c r="Y92" s="49">
        <f t="shared" si="654"/>
        <v>0.12192773000000001</v>
      </c>
      <c r="Z92" s="860">
        <f t="shared" si="605"/>
        <v>0</v>
      </c>
      <c r="AA92" s="860">
        <f t="shared" si="606"/>
        <v>255.10232898512911</v>
      </c>
      <c r="AB92" s="49">
        <f t="shared" si="607"/>
        <v>2525.5130569527782</v>
      </c>
      <c r="AC92" s="48">
        <v>1</v>
      </c>
      <c r="AD92" s="47" t="str">
        <f t="shared" si="608"/>
        <v>NYRT</v>
      </c>
      <c r="AE92" s="49">
        <f t="shared" si="609"/>
        <v>31.491900000000001</v>
      </c>
      <c r="AF92" s="50" t="e">
        <f t="shared" si="405"/>
        <v>#REF!</v>
      </c>
      <c r="AG92" s="890" t="e">
        <f t="shared" si="599"/>
        <v>#REF!</v>
      </c>
      <c r="AH92" s="207" t="s">
        <v>708</v>
      </c>
      <c r="AI92" s="240">
        <f t="shared" si="406"/>
        <v>2.251365775062682E-3</v>
      </c>
      <c r="AJ92" s="11">
        <f t="shared" si="595"/>
        <v>4</v>
      </c>
      <c r="AK92" s="11"/>
      <c r="AL92" s="11"/>
      <c r="AM92" s="11"/>
      <c r="AN92" s="11"/>
      <c r="AO92" s="11"/>
      <c r="AP92" s="11"/>
      <c r="AQ92" s="11" t="str">
        <f>'Update Stock Prices'!Q92</f>
        <v>small</v>
      </c>
      <c r="AR92" s="11"/>
      <c r="AS92" s="11"/>
      <c r="AT92" s="10" t="s">
        <v>2013</v>
      </c>
      <c r="AU92" s="420">
        <f ca="1">DATEDIF(AX76,AV76,"D")</f>
        <v>2</v>
      </c>
      <c r="AV92" s="420" t="s">
        <v>423</v>
      </c>
      <c r="AW92" s="19" t="e">
        <f ca="1">AZ86/AU92</f>
        <v>#REF!</v>
      </c>
      <c r="AX92" s="420" t="s">
        <v>428</v>
      </c>
      <c r="AY92" s="420" t="e">
        <f ca="1">IF(AW92&lt;0,"loss","gain")</f>
        <v>#REF!</v>
      </c>
      <c r="AZ92" s="420" t="s">
        <v>427</v>
      </c>
      <c r="BA92" s="420" t="s">
        <v>1761</v>
      </c>
      <c r="BB92" s="420" t="e">
        <f>IF(AZ87&gt;0,"more concentrated",IF(AZ87&lt;0,"less concentrated","no change in concentration"))</f>
        <v>#REF!</v>
      </c>
      <c r="BC92" s="15" t="s">
        <v>1267</v>
      </c>
      <c r="BD92" s="19"/>
      <c r="BE92" s="74"/>
      <c r="BF92" s="971">
        <f>1-(BF86+BF89)</f>
        <v>0.33333333333333337</v>
      </c>
      <c r="BS92" s="420" t="str">
        <f t="shared" si="407"/>
        <v>NYRT</v>
      </c>
      <c r="BT92" s="425">
        <f t="shared" si="408"/>
        <v>3.181</v>
      </c>
      <c r="BU92" s="19">
        <f t="shared" si="409"/>
        <v>9.9</v>
      </c>
      <c r="BV92" s="19">
        <f t="shared" si="410"/>
        <v>31.491900000000001</v>
      </c>
      <c r="BW92" s="539">
        <f t="shared" si="411"/>
        <v>0.45996000000000004</v>
      </c>
      <c r="BX92" s="19">
        <f t="shared" si="412"/>
        <v>1.4631327600000001</v>
      </c>
      <c r="BY92" s="10">
        <f t="shared" si="413"/>
        <v>0.14779118787878789</v>
      </c>
      <c r="BZ92" s="10">
        <f t="shared" si="414"/>
        <v>3.3287911878787879</v>
      </c>
      <c r="CA92" s="539">
        <f t="shared" si="415"/>
        <v>32.955032760000002</v>
      </c>
      <c r="CB92" s="19">
        <f t="shared" si="416"/>
        <v>1.5311107947767275</v>
      </c>
      <c r="CC92" s="10">
        <f t="shared" si="417"/>
        <v>0.15465765603805329</v>
      </c>
      <c r="CD92" s="10">
        <f t="shared" si="418"/>
        <v>3.4834488439168414</v>
      </c>
      <c r="CE92" s="539">
        <f t="shared" si="419"/>
        <v>34.486143554776731</v>
      </c>
      <c r="CF92" s="19">
        <f t="shared" si="420"/>
        <v>1.6022471302479906</v>
      </c>
      <c r="CG92" s="10">
        <f t="shared" si="421"/>
        <v>0.16184314446949399</v>
      </c>
      <c r="CH92" s="10">
        <f t="shared" si="422"/>
        <v>3.6452919883863353</v>
      </c>
      <c r="CI92" s="539">
        <f t="shared" si="423"/>
        <v>36.08839068502472</v>
      </c>
      <c r="CJ92" s="19">
        <f t="shared" si="424"/>
        <v>1.6766885029781788</v>
      </c>
      <c r="CK92" s="10">
        <f t="shared" si="425"/>
        <v>0.16936247504830088</v>
      </c>
      <c r="CL92" s="10">
        <f t="shared" si="426"/>
        <v>3.814654463434636</v>
      </c>
      <c r="CM92" s="539">
        <f t="shared" si="427"/>
        <v>37.7650791880029</v>
      </c>
      <c r="CN92" s="19">
        <f t="shared" si="428"/>
        <v>1.7545884670013954</v>
      </c>
      <c r="CO92" s="10">
        <f t="shared" si="429"/>
        <v>0.17723115828296923</v>
      </c>
      <c r="CP92" s="10">
        <f t="shared" si="430"/>
        <v>3.9918856217176053</v>
      </c>
      <c r="CQ92" s="539">
        <f t="shared" si="431"/>
        <v>39.519667655004291</v>
      </c>
      <c r="CR92" s="19">
        <f t="shared" si="432"/>
        <v>1.8361077105652299</v>
      </c>
      <c r="CS92" s="10">
        <f t="shared" si="433"/>
        <v>0.18546542530961918</v>
      </c>
      <c r="CT92" s="10">
        <f t="shared" si="434"/>
        <v>4.1773510470272246</v>
      </c>
      <c r="CU92" s="539">
        <f t="shared" si="435"/>
        <v>41.355775365569528</v>
      </c>
      <c r="CV92" s="19">
        <f t="shared" si="436"/>
        <v>1.9214143875906424</v>
      </c>
      <c r="CW92" s="10">
        <f t="shared" si="437"/>
        <v>0.19408226137279216</v>
      </c>
      <c r="CX92" s="10">
        <f t="shared" si="438"/>
        <v>4.3714333084000163</v>
      </c>
      <c r="CY92" s="539">
        <f t="shared" si="439"/>
        <v>43.277189753160165</v>
      </c>
      <c r="CZ92" s="19">
        <f t="shared" si="440"/>
        <v>2.0106844645316717</v>
      </c>
      <c r="DA92" s="10">
        <f t="shared" si="441"/>
        <v>0.20309944086178502</v>
      </c>
      <c r="DB92" s="10">
        <f t="shared" si="442"/>
        <v>4.5745327492618015</v>
      </c>
      <c r="DC92" s="539">
        <f t="shared" si="443"/>
        <v>45.287874217691837</v>
      </c>
      <c r="DD92" s="19">
        <f t="shared" si="444"/>
        <v>2.1041020833504582</v>
      </c>
      <c r="DE92" s="10">
        <f t="shared" si="445"/>
        <v>0.21253556397479376</v>
      </c>
      <c r="DF92" s="10">
        <f t="shared" si="446"/>
        <v>4.7870683132365954</v>
      </c>
      <c r="DG92" s="539">
        <f t="shared" si="447"/>
        <v>47.391976301042298</v>
      </c>
      <c r="DH92" s="19">
        <f t="shared" si="448"/>
        <v>2.2018599413563047</v>
      </c>
      <c r="DI92" s="10">
        <f t="shared" si="449"/>
        <v>0.22241009508649542</v>
      </c>
      <c r="DJ92" s="10">
        <f t="shared" si="450"/>
        <v>5.0094784083230905</v>
      </c>
      <c r="DK92" s="539">
        <f t="shared" si="451"/>
        <v>49.593836242398595</v>
      </c>
      <c r="DL92" s="19">
        <f t="shared" si="452"/>
        <v>2.3041596886922888</v>
      </c>
      <c r="DM92" s="10">
        <f t="shared" si="453"/>
        <v>0.23274340289821099</v>
      </c>
      <c r="DN92" s="10">
        <f t="shared" si="454"/>
        <v>5.2422218112213015</v>
      </c>
      <c r="DO92" s="539">
        <f t="shared" si="455"/>
        <v>51.89799593109089</v>
      </c>
      <c r="DP92" s="19">
        <f t="shared" si="456"/>
        <v>2.4112123442893498</v>
      </c>
      <c r="DQ92" s="10">
        <f t="shared" si="457"/>
        <v>0.24355680245346967</v>
      </c>
      <c r="DR92" s="10">
        <f t="shared" si="458"/>
        <v>5.4857786136747713</v>
      </c>
      <c r="DS92" s="539">
        <f t="shared" si="459"/>
        <v>54.309208275380236</v>
      </c>
      <c r="DT92" s="19">
        <f t="shared" si="460"/>
        <v>2.523238731145848</v>
      </c>
      <c r="DU92" s="10">
        <f t="shared" si="461"/>
        <v>0.2548725991056412</v>
      </c>
      <c r="DV92" s="10">
        <f t="shared" si="462"/>
        <v>5.7406512127804126</v>
      </c>
      <c r="DW92" s="539">
        <f t="shared" si="463"/>
        <v>56.832447006526088</v>
      </c>
      <c r="DX92" s="19">
        <f t="shared" si="464"/>
        <v>2.640469931830479</v>
      </c>
      <c r="DY92" s="10">
        <f t="shared" si="465"/>
        <v>0.2667141345283312</v>
      </c>
      <c r="DZ92" s="10">
        <f t="shared" si="466"/>
        <v>6.0073653473087436</v>
      </c>
      <c r="EA92" s="539">
        <f t="shared" si="467"/>
        <v>59.472916938356562</v>
      </c>
      <c r="EB92" s="19">
        <f t="shared" si="468"/>
        <v>2.7631477651481298</v>
      </c>
      <c r="EC92" s="10">
        <f t="shared" si="469"/>
        <v>0.27910583486344742</v>
      </c>
      <c r="ED92" s="10">
        <f t="shared" si="470"/>
        <v>6.2864711821721908</v>
      </c>
      <c r="EE92" s="539">
        <f t="shared" si="471"/>
        <v>62.236064703504688</v>
      </c>
      <c r="EF92" s="19">
        <f t="shared" si="472"/>
        <v>2.8915252849519213</v>
      </c>
      <c r="EG92" s="10">
        <f t="shared" si="473"/>
        <v>0.29207326110625464</v>
      </c>
      <c r="EH92" s="10">
        <f t="shared" si="474"/>
        <v>6.5785444432784459</v>
      </c>
      <c r="EI92" s="539">
        <f t="shared" si="475"/>
        <v>65.12758998845662</v>
      </c>
      <c r="EJ92" s="19">
        <f t="shared" si="476"/>
        <v>3.0258673021303544</v>
      </c>
      <c r="EK92" s="10">
        <f t="shared" si="477"/>
        <v>0.30564316183134893</v>
      </c>
      <c r="EL92" s="10">
        <f t="shared" si="478"/>
        <v>6.884187605109795</v>
      </c>
      <c r="EM92" s="539">
        <f t="shared" si="479"/>
        <v>68.153457290586971</v>
      </c>
      <c r="EN92" s="19">
        <f t="shared" si="480"/>
        <v>3.1664509308463016</v>
      </c>
      <c r="EO92" s="10">
        <f t="shared" si="481"/>
        <v>0.31984352836831326</v>
      </c>
      <c r="EP92" s="10">
        <f t="shared" si="482"/>
        <v>7.2040311334781082</v>
      </c>
      <c r="EQ92" s="539">
        <f t="shared" si="483"/>
        <v>71.31990822143328</v>
      </c>
      <c r="ER92" s="19">
        <f t="shared" si="484"/>
        <v>3.3135661601545907</v>
      </c>
      <c r="ES92" s="10">
        <f t="shared" si="485"/>
        <v>0.33470365254086776</v>
      </c>
      <c r="ET92" s="10">
        <f t="shared" si="486"/>
        <v>7.538734786018976</v>
      </c>
      <c r="EU92" s="539">
        <f t="shared" si="487"/>
        <v>74.63347438158786</v>
      </c>
      <c r="EV92" s="19">
        <f t="shared" si="488"/>
        <v>3.4675164521772883</v>
      </c>
      <c r="EW92" s="10">
        <f t="shared" si="489"/>
        <v>0.35025418708861494</v>
      </c>
      <c r="EX92" s="10">
        <f t="shared" si="490"/>
        <v>7.8889889731075913</v>
      </c>
      <c r="EY92" s="539">
        <f t="shared" si="491"/>
        <v>78.100990833765152</v>
      </c>
      <c r="EZ92" s="19">
        <f t="shared" si="492"/>
        <v>3.6286193680705678</v>
      </c>
      <c r="FA92" s="10">
        <f t="shared" si="493"/>
        <v>0.36652720889601692</v>
      </c>
      <c r="FB92" s="10">
        <f t="shared" si="494"/>
        <v>8.2555161820036087</v>
      </c>
      <c r="FC92" s="539">
        <f t="shared" si="495"/>
        <v>81.729610201835726</v>
      </c>
      <c r="FD92" s="19">
        <f t="shared" si="496"/>
        <v>3.7972072230743801</v>
      </c>
      <c r="FE92" s="10">
        <f t="shared" si="497"/>
        <v>0.38355628515902829</v>
      </c>
      <c r="FF92" s="10">
        <f t="shared" si="498"/>
        <v>8.6390724671626362</v>
      </c>
      <c r="FG92" s="539">
        <f t="shared" si="499"/>
        <v>85.526817424910107</v>
      </c>
      <c r="FH92" s="19">
        <f t="shared" si="500"/>
        <v>3.9736277719961266</v>
      </c>
      <c r="FI92" s="10">
        <f t="shared" si="501"/>
        <v>0.40137654262587136</v>
      </c>
      <c r="FJ92" s="10">
        <f t="shared" si="502"/>
        <v>9.0404490097885084</v>
      </c>
      <c r="FK92" s="539">
        <f t="shared" si="503"/>
        <v>89.500445196906242</v>
      </c>
      <c r="FL92" s="19">
        <f t="shared" si="504"/>
        <v>4.1582449265423227</v>
      </c>
      <c r="FM92" s="10">
        <f t="shared" si="505"/>
        <v>0.42002474005478008</v>
      </c>
      <c r="FN92" s="10">
        <f t="shared" si="506"/>
        <v>9.4604737498432883</v>
      </c>
      <c r="FO92" s="539">
        <f t="shared" si="507"/>
        <v>93.658690123448551</v>
      </c>
      <c r="FP92" s="19">
        <f t="shared" si="508"/>
        <v>4.3514395059779192</v>
      </c>
      <c r="FQ92" s="10">
        <f t="shared" si="509"/>
        <v>0.43953934403817363</v>
      </c>
      <c r="FR92" s="10">
        <f t="shared" si="510"/>
        <v>9.9000130938814621</v>
      </c>
      <c r="FS92" s="539">
        <f t="shared" si="511"/>
        <v>98.010129629426473</v>
      </c>
      <c r="FT92" s="19">
        <f t="shared" si="512"/>
        <v>4.5536100226617178</v>
      </c>
      <c r="FU92" s="10">
        <f t="shared" si="513"/>
        <v>0.45996060834966845</v>
      </c>
      <c r="FV92" s="10">
        <f t="shared" si="514"/>
        <v>10.35997370223113</v>
      </c>
      <c r="FW92" s="539">
        <f t="shared" si="515"/>
        <v>102.56373965208819</v>
      </c>
      <c r="FX92" s="19">
        <f t="shared" si="516"/>
        <v>4.7651735040782306</v>
      </c>
      <c r="FY92" s="10">
        <f t="shared" si="517"/>
        <v>0.48133065697759903</v>
      </c>
      <c r="FZ92" s="10">
        <f t="shared" si="518"/>
        <v>10.841304359208729</v>
      </c>
      <c r="GA92" s="539">
        <f t="shared" si="519"/>
        <v>107.32891315616642</v>
      </c>
      <c r="GB92" s="19">
        <f t="shared" si="520"/>
        <v>4.9865663530616473</v>
      </c>
      <c r="GC92" s="10">
        <f t="shared" si="521"/>
        <v>0.50369357101632795</v>
      </c>
      <c r="GD92" s="10">
        <f t="shared" si="522"/>
        <v>11.344997930225057</v>
      </c>
      <c r="GE92" s="539">
        <f t="shared" si="523"/>
        <v>112.31547950922807</v>
      </c>
      <c r="GF92" s="19">
        <f t="shared" si="524"/>
        <v>5.2182452479863173</v>
      </c>
      <c r="GG92" s="10">
        <f t="shared" si="525"/>
        <v>0.52709547959457748</v>
      </c>
      <c r="GH92" s="10">
        <f t="shared" si="526"/>
        <v>11.872093409819634</v>
      </c>
      <c r="GI92" s="539">
        <f t="shared" si="527"/>
        <v>117.53372475721437</v>
      </c>
      <c r="GJ92" s="19">
        <f t="shared" si="528"/>
        <v>5.4606880847806396</v>
      </c>
      <c r="GK92" s="10">
        <f t="shared" si="529"/>
        <v>0.55158465502834741</v>
      </c>
      <c r="GL92" s="10">
        <f t="shared" si="530"/>
        <v>12.423678064847982</v>
      </c>
      <c r="GM92" s="539">
        <f t="shared" si="531"/>
        <v>122.99441284199503</v>
      </c>
      <c r="GN92" s="19">
        <f t="shared" si="532"/>
        <v>5.7143949627074786</v>
      </c>
      <c r="GO92" s="10">
        <f t="shared" si="533"/>
        <v>0.57721161239469476</v>
      </c>
      <c r="GP92" s="10">
        <f t="shared" si="534"/>
        <v>13.000889677242677</v>
      </c>
      <c r="GQ92" s="539">
        <f t="shared" si="535"/>
        <v>128.7088078047025</v>
      </c>
      <c r="GR92" s="19">
        <f t="shared" si="536"/>
        <v>5.9798892159445423</v>
      </c>
      <c r="GS92" s="10">
        <f t="shared" si="537"/>
        <v>0.60402921373177187</v>
      </c>
      <c r="GT92" s="10">
        <f t="shared" si="538"/>
        <v>13.604918890974449</v>
      </c>
      <c r="GU92" s="539">
        <f t="shared" si="539"/>
        <v>134.68869702064706</v>
      </c>
      <c r="GV92" s="19">
        <f t="shared" si="540"/>
        <v>6.2577184930926082</v>
      </c>
      <c r="GW92" s="10">
        <f t="shared" si="541"/>
        <v>0.6320927770800614</v>
      </c>
      <c r="GX92" s="10">
        <f t="shared" si="542"/>
        <v>14.23701166805451</v>
      </c>
      <c r="GY92" s="539">
        <f t="shared" si="543"/>
        <v>140.94641551373965</v>
      </c>
      <c r="GZ92" s="19">
        <f t="shared" si="544"/>
        <v>6.5484558868383527</v>
      </c>
      <c r="HA92" s="10">
        <f t="shared" si="545"/>
        <v>0.6614601905897326</v>
      </c>
      <c r="HB92" s="10">
        <f t="shared" si="546"/>
        <v>14.898471858644243</v>
      </c>
      <c r="HC92" s="539">
        <f t="shared" si="547"/>
        <v>147.49487140057801</v>
      </c>
      <c r="HD92" s="19">
        <f t="shared" si="548"/>
        <v>6.8527011161020059</v>
      </c>
      <c r="HE92" s="10">
        <f t="shared" si="549"/>
        <v>0.69219203192949552</v>
      </c>
      <c r="HF92" s="10">
        <f t="shared" si="550"/>
        <v>15.590663890573738</v>
      </c>
      <c r="HG92" s="539">
        <f t="shared" si="551"/>
        <v>154.34757251668</v>
      </c>
      <c r="HH92" s="19">
        <f t="shared" si="552"/>
        <v>7.1710817631082975</v>
      </c>
      <c r="HI92" s="10">
        <f t="shared" si="553"/>
        <v>0.72435169324326232</v>
      </c>
      <c r="HJ92" s="10">
        <f t="shared" si="554"/>
        <v>16.315015583817001</v>
      </c>
      <c r="HK92" s="539">
        <f t="shared" si="555"/>
        <v>161.51865427978831</v>
      </c>
      <c r="HL92" s="19">
        <f t="shared" si="556"/>
        <v>7.5042545679324686</v>
      </c>
      <c r="HM92" s="10">
        <f t="shared" si="557"/>
        <v>0.75800551191237053</v>
      </c>
      <c r="HN92" s="10">
        <f t="shared" si="558"/>
        <v>17.07302109572937</v>
      </c>
      <c r="HO92" s="539">
        <f t="shared" si="559"/>
        <v>169.02290884772077</v>
      </c>
      <c r="HP92" s="19">
        <f t="shared" si="560"/>
        <v>7.8529067831916812</v>
      </c>
      <c r="HQ92" s="10">
        <f t="shared" si="561"/>
        <v>0.79322290739309909</v>
      </c>
      <c r="HR92" s="10">
        <f t="shared" si="562"/>
        <v>17.866244003122468</v>
      </c>
      <c r="HS92" s="539">
        <f t="shared" si="563"/>
        <v>176.87581563091243</v>
      </c>
      <c r="HT92" s="19">
        <f t="shared" si="564"/>
        <v>8.2177575916762109</v>
      </c>
      <c r="HU92" s="10">
        <f t="shared" si="565"/>
        <v>0.8300765244117384</v>
      </c>
      <c r="HV92" s="10">
        <f t="shared" si="566"/>
        <v>18.696320527534205</v>
      </c>
      <c r="HW92" s="539">
        <f t="shared" si="567"/>
        <v>185.09357322258865</v>
      </c>
      <c r="HX92" s="19">
        <f t="shared" si="568"/>
        <v>8.5995595898446329</v>
      </c>
      <c r="HY92" s="10">
        <f t="shared" si="569"/>
        <v>0.8686423828125891</v>
      </c>
      <c r="HZ92" s="10">
        <f t="shared" si="570"/>
        <v>19.564962910346793</v>
      </c>
      <c r="IA92" s="539">
        <f t="shared" si="571"/>
        <v>193.69313281243325</v>
      </c>
      <c r="IB92" s="19">
        <f t="shared" si="572"/>
        <v>8.9991003402431122</v>
      </c>
      <c r="IM92" s="11"/>
      <c r="IN92" s="19"/>
      <c r="IO92" s="20"/>
      <c r="IP92" s="11"/>
    </row>
    <row r="93" spans="1:252">
      <c r="A93" s="177"/>
      <c r="B93" s="20"/>
      <c r="C93" s="826" t="s">
        <v>2342</v>
      </c>
      <c r="D93" s="47" t="s">
        <v>4</v>
      </c>
      <c r="E93" s="396">
        <f t="shared" si="600"/>
        <v>307.4409</v>
      </c>
      <c r="F93" s="242">
        <v>302.4409</v>
      </c>
      <c r="G93" s="48">
        <f>'Update Stock Prices'!S93</f>
        <v>260280842.52758273</v>
      </c>
      <c r="H93" s="991">
        <f t="shared" si="610"/>
        <v>1.1619791032755298E-6</v>
      </c>
      <c r="I93" s="49">
        <f>'Update Stock Prices'!D93</f>
        <v>59.82</v>
      </c>
      <c r="J93" s="49">
        <f t="shared" si="404"/>
        <v>18092.014638000001</v>
      </c>
      <c r="K93" s="30">
        <v>9779.57</v>
      </c>
      <c r="L93" s="49">
        <f t="shared" si="611"/>
        <v>8312.4446380000009</v>
      </c>
      <c r="M93" s="50">
        <f t="shared" si="613"/>
        <v>0.8499805858539794</v>
      </c>
      <c r="N93" s="49">
        <f t="shared" si="612"/>
        <v>32.335474467904305</v>
      </c>
      <c r="O93" s="48">
        <f t="shared" si="601"/>
        <v>5</v>
      </c>
      <c r="P93" s="49">
        <f t="shared" si="602"/>
        <v>21.909999999999968</v>
      </c>
      <c r="Q93" s="30">
        <f>0.2105*12</f>
        <v>2.5259999999999998</v>
      </c>
      <c r="R93" s="49">
        <f t="shared" si="242"/>
        <v>2.0916241297741269</v>
      </c>
      <c r="S93" s="49">
        <f t="shared" si="603"/>
        <v>763.96571339999991</v>
      </c>
      <c r="T93" s="49">
        <f t="shared" si="399"/>
        <v>63.663809449999995</v>
      </c>
      <c r="U93" s="49" t="s">
        <v>56</v>
      </c>
      <c r="V93" s="50">
        <f t="shared" si="604"/>
        <v>4.2226680040120361E-2</v>
      </c>
      <c r="W93" s="50">
        <f t="shared" si="575"/>
        <v>7.8118538279290398E-2</v>
      </c>
      <c r="X93" s="49">
        <f>12*((E93*Q93)/12-T93)</f>
        <v>12.630000000000024</v>
      </c>
      <c r="Y93" s="49">
        <f t="shared" si="654"/>
        <v>63.663809449999995</v>
      </c>
      <c r="Z93" s="860">
        <f>IF(Y93/I93&gt;1,1,0)</f>
        <v>1</v>
      </c>
      <c r="AA93" s="860" t="str">
        <f>IF(Z93=1,"",IF(AND(U93&lt;&gt;"",Z93=0),I93/(Y93/F93)-F93,""))</f>
        <v/>
      </c>
      <c r="AB93" s="49" t="str">
        <f>IF(AA93&lt;&gt;"",AA93*I93,"")</f>
        <v/>
      </c>
      <c r="AC93" s="48">
        <v>1</v>
      </c>
      <c r="AD93" s="47" t="str">
        <f t="shared" si="608"/>
        <v>O</v>
      </c>
      <c r="AE93" s="49">
        <f t="shared" si="609"/>
        <v>18092.014638000001</v>
      </c>
      <c r="AF93" s="50" t="e">
        <f t="shared" si="405"/>
        <v>#REF!</v>
      </c>
      <c r="AG93" s="890" t="e">
        <f t="shared" si="599"/>
        <v>#REF!</v>
      </c>
      <c r="AH93" s="207" t="s">
        <v>1143</v>
      </c>
      <c r="AI93" s="240">
        <f t="shared" si="406"/>
        <v>743.05710847037039</v>
      </c>
      <c r="AJ93" s="11">
        <f t="shared" si="595"/>
        <v>1</v>
      </c>
      <c r="AK93" s="11"/>
      <c r="AL93" s="11"/>
      <c r="AM93" s="11"/>
      <c r="AN93" s="11"/>
      <c r="AO93" s="11"/>
      <c r="AP93" s="11"/>
      <c r="AQ93" s="11" t="str">
        <f>'Update Stock Prices'!Q93</f>
        <v>mid</v>
      </c>
      <c r="AR93" s="11"/>
      <c r="AS93" s="11"/>
      <c r="AT93" s="15" t="e">
        <f>AV86/1000000</f>
        <v>#REF!</v>
      </c>
      <c r="AU93" s="420" t="str">
        <f ca="1">IF(AU92&gt;=30,"one month later, UPDATE!!!","")</f>
        <v/>
      </c>
      <c r="AV93" s="19"/>
      <c r="AW93" s="420"/>
      <c r="AX93" s="8"/>
      <c r="BA93" s="420" t="s">
        <v>1761</v>
      </c>
      <c r="BB93" s="420" t="str">
        <f>IF(AZ88&gt;0,"more concentrated",IF(AZ88&lt;0,"less concentrated","no change in concentration"))</f>
        <v>less concentrated</v>
      </c>
      <c r="BC93" s="420" t="s">
        <v>1769</v>
      </c>
      <c r="BD93" s="74"/>
      <c r="BE93" s="506"/>
      <c r="BS93" s="420" t="str">
        <f t="shared" si="407"/>
        <v>O</v>
      </c>
      <c r="BT93" s="425">
        <f t="shared" si="408"/>
        <v>302.4409</v>
      </c>
      <c r="BU93" s="19">
        <f t="shared" si="409"/>
        <v>59.82</v>
      </c>
      <c r="BV93" s="19">
        <f t="shared" si="410"/>
        <v>18092.014638000001</v>
      </c>
      <c r="BW93" s="539">
        <f t="shared" si="411"/>
        <v>2.5259999999999998</v>
      </c>
      <c r="BX93" s="19">
        <f t="shared" si="412"/>
        <v>763.96571339999991</v>
      </c>
      <c r="BY93" s="10">
        <f t="shared" si="413"/>
        <v>12.771075115346036</v>
      </c>
      <c r="BZ93" s="10">
        <f t="shared" si="414"/>
        <v>315.21197511534604</v>
      </c>
      <c r="CA93" s="539">
        <f t="shared" si="415"/>
        <v>18855.980351400001</v>
      </c>
      <c r="CB93" s="19">
        <f t="shared" si="416"/>
        <v>796.22544914136404</v>
      </c>
      <c r="CC93" s="10">
        <f t="shared" si="417"/>
        <v>13.310355218010098</v>
      </c>
      <c r="CD93" s="10">
        <f t="shared" si="418"/>
        <v>328.52233033335614</v>
      </c>
      <c r="CE93" s="539">
        <f t="shared" si="419"/>
        <v>19652.205800541364</v>
      </c>
      <c r="CF93" s="19">
        <f t="shared" si="420"/>
        <v>829.84740642205759</v>
      </c>
      <c r="CG93" s="10">
        <f t="shared" si="421"/>
        <v>13.872407329021357</v>
      </c>
      <c r="CH93" s="10">
        <f t="shared" si="422"/>
        <v>342.39473766237751</v>
      </c>
      <c r="CI93" s="539">
        <f t="shared" si="423"/>
        <v>20482.053206963421</v>
      </c>
      <c r="CJ93" s="19">
        <f t="shared" si="424"/>
        <v>864.88910733516548</v>
      </c>
      <c r="CK93" s="10">
        <f t="shared" si="425"/>
        <v>14.458193034690161</v>
      </c>
      <c r="CL93" s="10">
        <f t="shared" si="426"/>
        <v>356.85293069706768</v>
      </c>
      <c r="CM93" s="539">
        <f t="shared" si="427"/>
        <v>21346.942314298587</v>
      </c>
      <c r="CN93" s="19">
        <f t="shared" si="428"/>
        <v>901.41050294079287</v>
      </c>
      <c r="CO93" s="10">
        <f t="shared" si="429"/>
        <v>15.068714525924321</v>
      </c>
      <c r="CP93" s="10">
        <f t="shared" si="430"/>
        <v>371.92164522299197</v>
      </c>
      <c r="CQ93" s="539">
        <f t="shared" si="431"/>
        <v>22248.352817239378</v>
      </c>
      <c r="CR93" s="19">
        <f t="shared" si="432"/>
        <v>939.47407583327765</v>
      </c>
      <c r="CS93" s="10">
        <f t="shared" si="433"/>
        <v>15.705016312826441</v>
      </c>
      <c r="CT93" s="10">
        <f t="shared" si="434"/>
        <v>387.62666153581841</v>
      </c>
      <c r="CU93" s="539">
        <f t="shared" si="435"/>
        <v>23187.826893072659</v>
      </c>
      <c r="CV93" s="19">
        <f t="shared" si="436"/>
        <v>979.14494703947719</v>
      </c>
      <c r="CW93" s="10">
        <f t="shared" si="437"/>
        <v>16.368187011693031</v>
      </c>
      <c r="CX93" s="10">
        <f t="shared" si="438"/>
        <v>403.99484854751142</v>
      </c>
      <c r="CY93" s="539">
        <f t="shared" si="439"/>
        <v>24166.971840112132</v>
      </c>
      <c r="CZ93" s="19">
        <f t="shared" si="440"/>
        <v>1020.4909874310138</v>
      </c>
      <c r="DA93" s="10">
        <f t="shared" si="441"/>
        <v>17.059361207472648</v>
      </c>
      <c r="DB93" s="10">
        <f t="shared" si="442"/>
        <v>421.05420975498407</v>
      </c>
      <c r="DC93" s="539">
        <f t="shared" si="443"/>
        <v>25187.462827543146</v>
      </c>
      <c r="DD93" s="19">
        <f t="shared" si="444"/>
        <v>1063.5829338410897</v>
      </c>
      <c r="DE93" s="10">
        <f t="shared" si="445"/>
        <v>17.779721394869437</v>
      </c>
      <c r="DF93" s="10">
        <f t="shared" si="446"/>
        <v>438.83393114985353</v>
      </c>
      <c r="DG93" s="539">
        <f t="shared" si="447"/>
        <v>26251.045761384237</v>
      </c>
      <c r="DH93" s="19">
        <f t="shared" si="448"/>
        <v>1108.49451008453</v>
      </c>
      <c r="DI93" s="10">
        <f t="shared" si="449"/>
        <v>18.530500001413074</v>
      </c>
      <c r="DJ93" s="10">
        <f t="shared" si="450"/>
        <v>457.36443115126661</v>
      </c>
      <c r="DK93" s="539">
        <f t="shared" si="451"/>
        <v>27359.54027146877</v>
      </c>
      <c r="DL93" s="19">
        <f t="shared" si="452"/>
        <v>1155.3025530880993</v>
      </c>
      <c r="DM93" s="10">
        <f t="shared" si="453"/>
        <v>19.312981495956191</v>
      </c>
      <c r="DN93" s="10">
        <f t="shared" si="454"/>
        <v>476.67741264722281</v>
      </c>
      <c r="DO93" s="539">
        <f t="shared" si="455"/>
        <v>28514.842824556868</v>
      </c>
      <c r="DP93" s="19">
        <f t="shared" si="456"/>
        <v>1204.0871443468848</v>
      </c>
      <c r="DQ93" s="10">
        <f t="shared" si="457"/>
        <v>20.128504586206699</v>
      </c>
      <c r="DR93" s="10">
        <f t="shared" si="458"/>
        <v>496.80591723342951</v>
      </c>
      <c r="DS93" s="539">
        <f t="shared" si="459"/>
        <v>29718.929968903754</v>
      </c>
      <c r="DT93" s="19">
        <f t="shared" si="460"/>
        <v>1254.9317469316429</v>
      </c>
      <c r="DU93" s="10">
        <f t="shared" si="461"/>
        <v>20.978464509054547</v>
      </c>
      <c r="DV93" s="10">
        <f t="shared" si="462"/>
        <v>517.78438174248402</v>
      </c>
      <c r="DW93" s="539">
        <f t="shared" si="463"/>
        <v>30973.861715835395</v>
      </c>
      <c r="DX93" s="19">
        <f t="shared" si="464"/>
        <v>1307.9233482815146</v>
      </c>
      <c r="DY93" s="10">
        <f t="shared" si="465"/>
        <v>21.864315417611412</v>
      </c>
      <c r="DZ93" s="10">
        <f t="shared" si="466"/>
        <v>539.64869716009548</v>
      </c>
      <c r="EA93" s="539">
        <f t="shared" si="467"/>
        <v>32281.785064116913</v>
      </c>
      <c r="EB93" s="19">
        <f t="shared" si="468"/>
        <v>1363.152609026401</v>
      </c>
      <c r="EC93" s="10">
        <f t="shared" si="469"/>
        <v>22.787572869047157</v>
      </c>
      <c r="ED93" s="10">
        <f t="shared" si="470"/>
        <v>562.43627002914263</v>
      </c>
      <c r="EE93" s="539">
        <f t="shared" si="471"/>
        <v>33644.937673143315</v>
      </c>
      <c r="EF93" s="19">
        <f t="shared" si="472"/>
        <v>1420.7140180936142</v>
      </c>
      <c r="EG93" s="10">
        <f t="shared" si="473"/>
        <v>23.749816417479341</v>
      </c>
      <c r="EH93" s="10">
        <f t="shared" si="474"/>
        <v>586.18608644662197</v>
      </c>
      <c r="EI93" s="539">
        <f t="shared" si="475"/>
        <v>35065.651691236926</v>
      </c>
      <c r="EJ93" s="19">
        <f t="shared" si="476"/>
        <v>1480.7060543641669</v>
      </c>
      <c r="EK93" s="10">
        <f t="shared" si="477"/>
        <v>24.752692316351837</v>
      </c>
      <c r="EL93" s="10">
        <f t="shared" si="478"/>
        <v>610.93877876297381</v>
      </c>
      <c r="EM93" s="539">
        <f t="shared" si="479"/>
        <v>36546.357745601097</v>
      </c>
      <c r="EN93" s="19">
        <f t="shared" si="480"/>
        <v>1543.2313551552718</v>
      </c>
      <c r="EO93" s="10">
        <f t="shared" si="481"/>
        <v>25.797916334925976</v>
      </c>
      <c r="EP93" s="10">
        <f t="shared" si="482"/>
        <v>636.73669509789977</v>
      </c>
      <c r="EQ93" s="539">
        <f t="shared" si="483"/>
        <v>38089.589100756362</v>
      </c>
      <c r="ER93" s="19">
        <f t="shared" si="484"/>
        <v>1608.3968918172948</v>
      </c>
      <c r="ES93" s="10">
        <f t="shared" si="485"/>
        <v>26.887276693702688</v>
      </c>
      <c r="ET93" s="10">
        <f t="shared" si="486"/>
        <v>663.62397179160246</v>
      </c>
      <c r="EU93" s="539">
        <f t="shared" si="487"/>
        <v>39697.98599257366</v>
      </c>
      <c r="EV93" s="19">
        <f t="shared" si="488"/>
        <v>1676.3141527455878</v>
      </c>
      <c r="EW93" s="10">
        <f t="shared" si="489"/>
        <v>28.022637123797857</v>
      </c>
      <c r="EX93" s="10">
        <f t="shared" si="490"/>
        <v>691.64660891540029</v>
      </c>
      <c r="EY93" s="539">
        <f t="shared" si="491"/>
        <v>41374.300145319248</v>
      </c>
      <c r="EZ93" s="19">
        <f t="shared" si="492"/>
        <v>1747.0993341203009</v>
      </c>
      <c r="FA93" s="10">
        <f t="shared" si="493"/>
        <v>29.205940055504865</v>
      </c>
      <c r="FB93" s="10">
        <f t="shared" si="494"/>
        <v>720.8525489709051</v>
      </c>
      <c r="FC93" s="539">
        <f t="shared" si="495"/>
        <v>43121.39947943954</v>
      </c>
      <c r="FD93" s="19">
        <f t="shared" si="496"/>
        <v>1820.8735387005061</v>
      </c>
      <c r="FE93" s="10">
        <f t="shared" si="497"/>
        <v>30.439209941499598</v>
      </c>
      <c r="FF93" s="10">
        <f t="shared" si="498"/>
        <v>751.2917589124047</v>
      </c>
      <c r="FG93" s="539">
        <f t="shared" si="499"/>
        <v>44942.273018140047</v>
      </c>
      <c r="FH93" s="19">
        <f t="shared" si="500"/>
        <v>1897.7629830127341</v>
      </c>
      <c r="FI93" s="10">
        <f t="shared" si="501"/>
        <v>31.724556720373357</v>
      </c>
      <c r="FJ93" s="10">
        <f t="shared" si="502"/>
        <v>783.01631563277806</v>
      </c>
      <c r="FK93" s="539">
        <f t="shared" si="503"/>
        <v>46840.036001152781</v>
      </c>
      <c r="FL93" s="19">
        <f t="shared" si="504"/>
        <v>1977.8992132883973</v>
      </c>
      <c r="FM93" s="10">
        <f t="shared" si="505"/>
        <v>33.064179426419209</v>
      </c>
      <c r="FN93" s="10">
        <f t="shared" si="506"/>
        <v>816.08049505919723</v>
      </c>
      <c r="FO93" s="539">
        <f t="shared" si="507"/>
        <v>48817.935214441182</v>
      </c>
      <c r="FP93" s="19">
        <f t="shared" si="508"/>
        <v>2061.4193305195322</v>
      </c>
      <c r="FQ93" s="10">
        <f t="shared" si="509"/>
        <v>34.460369951847746</v>
      </c>
      <c r="FR93" s="10">
        <f t="shared" si="510"/>
        <v>850.54086501104496</v>
      </c>
      <c r="FS93" s="539">
        <f t="shared" si="511"/>
        <v>50879.354544960712</v>
      </c>
      <c r="FT93" s="19">
        <f t="shared" si="512"/>
        <v>2148.4662250178994</v>
      </c>
      <c r="FU93" s="10">
        <f t="shared" si="513"/>
        <v>35.915516967868598</v>
      </c>
      <c r="FV93" s="10">
        <f t="shared" si="514"/>
        <v>886.45638197891356</v>
      </c>
      <c r="FW93" s="539">
        <f t="shared" si="515"/>
        <v>53027.820769978607</v>
      </c>
      <c r="FX93" s="19">
        <f t="shared" si="516"/>
        <v>2239.1888208787354</v>
      </c>
      <c r="FY93" s="10">
        <f t="shared" si="517"/>
        <v>37.432110011346296</v>
      </c>
      <c r="FZ93" s="10">
        <f t="shared" si="518"/>
        <v>923.88849199025981</v>
      </c>
      <c r="GA93" s="539">
        <f t="shared" si="519"/>
        <v>55267.009590857342</v>
      </c>
      <c r="GB93" s="19">
        <f t="shared" si="520"/>
        <v>2333.7423307673962</v>
      </c>
      <c r="GC93" s="10">
        <f t="shared" si="521"/>
        <v>39.012743744022004</v>
      </c>
      <c r="GD93" s="10">
        <f t="shared" si="522"/>
        <v>962.90123573428184</v>
      </c>
      <c r="GE93" s="539">
        <f t="shared" si="523"/>
        <v>57600.751921624738</v>
      </c>
      <c r="GF93" s="19">
        <f t="shared" si="524"/>
        <v>2432.2885214647958</v>
      </c>
      <c r="GG93" s="10">
        <f t="shared" si="525"/>
        <v>40.660122391588025</v>
      </c>
      <c r="GH93" s="10">
        <f t="shared" si="526"/>
        <v>1003.5613581258699</v>
      </c>
      <c r="GI93" s="539">
        <f t="shared" si="527"/>
        <v>60033.040443089536</v>
      </c>
      <c r="GJ93" s="19">
        <f t="shared" si="528"/>
        <v>2534.9959906259473</v>
      </c>
      <c r="GK93" s="10">
        <f t="shared" si="529"/>
        <v>42.377064370209752</v>
      </c>
      <c r="GL93" s="10">
        <f t="shared" si="530"/>
        <v>1045.9384224960797</v>
      </c>
      <c r="GM93" s="539">
        <f t="shared" si="531"/>
        <v>62568.03643371549</v>
      </c>
      <c r="GN93" s="19">
        <f t="shared" si="532"/>
        <v>2642.040455225097</v>
      </c>
      <c r="GO93" s="10">
        <f t="shared" si="533"/>
        <v>44.16650710841018</v>
      </c>
      <c r="GP93" s="10">
        <f t="shared" si="534"/>
        <v>1090.1049296044898</v>
      </c>
      <c r="GQ93" s="539">
        <f t="shared" si="535"/>
        <v>65210.076888940581</v>
      </c>
      <c r="GR93" s="19">
        <f t="shared" si="536"/>
        <v>2753.6050521809411</v>
      </c>
      <c r="GS93" s="10">
        <f t="shared" si="537"/>
        <v>46.03151207256672</v>
      </c>
      <c r="GT93" s="10">
        <f t="shared" si="538"/>
        <v>1136.1364416770566</v>
      </c>
      <c r="GU93" s="539">
        <f t="shared" si="539"/>
        <v>67963.681941121526</v>
      </c>
      <c r="GV93" s="19">
        <f t="shared" si="540"/>
        <v>2869.8806516762447</v>
      </c>
      <c r="GW93" s="10">
        <f t="shared" si="541"/>
        <v>47.975270004617933</v>
      </c>
      <c r="GX93" s="10">
        <f t="shared" si="542"/>
        <v>1184.1117116816745</v>
      </c>
      <c r="GY93" s="539">
        <f t="shared" si="543"/>
        <v>70833.562592797767</v>
      </c>
      <c r="GZ93" s="19">
        <f t="shared" si="544"/>
        <v>2991.0661837079097</v>
      </c>
      <c r="HA93" s="10">
        <f t="shared" si="545"/>
        <v>50.001106380941316</v>
      </c>
      <c r="HB93" s="10">
        <f t="shared" si="546"/>
        <v>1234.1128180626158</v>
      </c>
      <c r="HC93" s="539">
        <f t="shared" si="547"/>
        <v>73824.628776505677</v>
      </c>
      <c r="HD93" s="19">
        <f t="shared" si="548"/>
        <v>3117.3689784261674</v>
      </c>
      <c r="HE93" s="10">
        <f t="shared" si="549"/>
        <v>52.112487101741344</v>
      </c>
      <c r="HF93" s="10">
        <f t="shared" si="550"/>
        <v>1286.2253051643572</v>
      </c>
      <c r="HG93" s="539">
        <f t="shared" si="551"/>
        <v>76941.997754931843</v>
      </c>
      <c r="HH93" s="19">
        <f t="shared" si="552"/>
        <v>3249.0051208451659</v>
      </c>
      <c r="HI93" s="10">
        <f t="shared" si="553"/>
        <v>54.313024420681479</v>
      </c>
      <c r="HJ93" s="10">
        <f t="shared" si="554"/>
        <v>1340.5383295850388</v>
      </c>
      <c r="HK93" s="539">
        <f t="shared" si="555"/>
        <v>80191.00287577702</v>
      </c>
      <c r="HL93" s="19">
        <f t="shared" si="556"/>
        <v>3386.1998205318077</v>
      </c>
      <c r="HM93" s="10">
        <f t="shared" si="557"/>
        <v>56.606483124904841</v>
      </c>
      <c r="HN93" s="10">
        <f t="shared" si="558"/>
        <v>1397.1448127099436</v>
      </c>
      <c r="HO93" s="539">
        <f t="shared" si="559"/>
        <v>83577.202696308828</v>
      </c>
      <c r="HP93" s="19">
        <f t="shared" si="560"/>
        <v>3529.1877969053171</v>
      </c>
      <c r="HQ93" s="10">
        <f t="shared" si="561"/>
        <v>58.996786976016665</v>
      </c>
      <c r="HR93" s="10">
        <f t="shared" si="562"/>
        <v>1456.1415996859603</v>
      </c>
      <c r="HS93" s="539">
        <f t="shared" si="563"/>
        <v>87106.390493214145</v>
      </c>
      <c r="HT93" s="19">
        <f t="shared" si="564"/>
        <v>3678.2136808067353</v>
      </c>
      <c r="HU93" s="10">
        <f t="shared" si="565"/>
        <v>61.488025423048065</v>
      </c>
      <c r="HV93" s="10">
        <f t="shared" si="566"/>
        <v>1517.6296251090084</v>
      </c>
      <c r="HW93" s="539">
        <f t="shared" si="567"/>
        <v>90784.604174020889</v>
      </c>
      <c r="HX93" s="19">
        <f t="shared" si="568"/>
        <v>3833.5324330253552</v>
      </c>
      <c r="HY93" s="10">
        <f t="shared" si="569"/>
        <v>64.084460598885912</v>
      </c>
      <c r="HZ93" s="10">
        <f t="shared" si="570"/>
        <v>1581.7140857078944</v>
      </c>
      <c r="IA93" s="539">
        <f t="shared" si="571"/>
        <v>94618.136607046239</v>
      </c>
      <c r="IB93" s="19">
        <f t="shared" si="572"/>
        <v>3995.4097804981407</v>
      </c>
      <c r="IM93" s="11"/>
      <c r="IN93" s="19"/>
      <c r="IO93" s="20"/>
      <c r="IP93" s="11"/>
    </row>
    <row r="94" spans="1:252" ht="13.5" thickBot="1">
      <c r="A94" s="960"/>
      <c r="B94" s="20"/>
      <c r="C94" s="826" t="s">
        <v>2341</v>
      </c>
      <c r="D94" s="47" t="s">
        <v>100</v>
      </c>
      <c r="E94" s="396">
        <f t="shared" si="600"/>
        <v>292</v>
      </c>
      <c r="F94" s="242">
        <v>13</v>
      </c>
      <c r="G94" s="48">
        <f>'Update Stock Prices'!S94</f>
        <v>21513043.478260871</v>
      </c>
      <c r="H94" s="991">
        <f t="shared" si="610"/>
        <v>6.0428455941794657E-7</v>
      </c>
      <c r="I94" s="49">
        <f>'Update Stock Prices'!D94</f>
        <v>1.1499999999999999</v>
      </c>
      <c r="J94" s="49">
        <f t="shared" si="404"/>
        <v>14.95</v>
      </c>
      <c r="K94" s="30">
        <v>25.23</v>
      </c>
      <c r="L94" s="49">
        <f t="shared" si="611"/>
        <v>-10.280000000000001</v>
      </c>
      <c r="M94" s="50">
        <f t="shared" si="613"/>
        <v>-0.40745144669044792</v>
      </c>
      <c r="N94" s="49">
        <f t="shared" si="612"/>
        <v>1.9407692307692308</v>
      </c>
      <c r="O94" s="48">
        <f t="shared" si="601"/>
        <v>279</v>
      </c>
      <c r="P94" s="49">
        <f>IF(($B$11-$B$12)-(O94*I94)&lt;0,0,($B$11-$B$12)-(O94*I94))</f>
        <v>0.16000000000002501</v>
      </c>
      <c r="Q94" s="30">
        <f>0.0125*4</f>
        <v>0.05</v>
      </c>
      <c r="R94" s="49">
        <f t="shared" ref="R94:R101" si="665">S94/365.25</f>
        <v>1.7796030116358659E-3</v>
      </c>
      <c r="S94" s="49">
        <f t="shared" si="603"/>
        <v>0.65</v>
      </c>
      <c r="T94" s="49">
        <f t="shared" ref="T94:T101" si="666">S94/12</f>
        <v>5.4166666666666669E-2</v>
      </c>
      <c r="U94" s="49" t="s">
        <v>54</v>
      </c>
      <c r="V94" s="50">
        <f t="shared" si="604"/>
        <v>4.3478260869565223E-2</v>
      </c>
      <c r="W94" s="50">
        <f t="shared" si="575"/>
        <v>2.5762980578676181E-2</v>
      </c>
      <c r="X94" s="49">
        <f>12*((E94*Q94)/12-T94)</f>
        <v>13.950000000000001</v>
      </c>
      <c r="Y94" s="49">
        <f t="shared" si="654"/>
        <v>0.16250000000000001</v>
      </c>
      <c r="Z94" s="860">
        <f t="shared" si="605"/>
        <v>0</v>
      </c>
      <c r="AA94" s="860">
        <f t="shared" si="606"/>
        <v>78.999999999999986</v>
      </c>
      <c r="AB94" s="49">
        <f t="shared" si="607"/>
        <v>90.84999999999998</v>
      </c>
      <c r="AC94" s="48">
        <v>1</v>
      </c>
      <c r="AD94" s="47" t="str">
        <f t="shared" si="608"/>
        <v>ONP</v>
      </c>
      <c r="AE94" s="49">
        <f t="shared" si="609"/>
        <v>14.95</v>
      </c>
      <c r="AF94" s="50" t="e">
        <f t="shared" si="405"/>
        <v>#REF!</v>
      </c>
      <c r="AG94" s="890" t="e">
        <f t="shared" si="599"/>
        <v>#REF!</v>
      </c>
      <c r="AH94" s="207" t="s">
        <v>101</v>
      </c>
      <c r="AI94" s="240">
        <f t="shared" si="406"/>
        <v>5.073769315193761E-4</v>
      </c>
      <c r="AJ94" s="11">
        <f t="shared" si="595"/>
        <v>3</v>
      </c>
      <c r="AK94" s="11"/>
      <c r="AL94" s="11"/>
      <c r="AM94" s="11"/>
      <c r="AN94" s="11"/>
      <c r="AO94" s="11"/>
      <c r="AP94" s="11"/>
      <c r="AQ94" s="11" t="str">
        <f>'Update Stock Prices'!Q94</f>
        <v>nano</v>
      </c>
      <c r="AR94" s="11">
        <v>1</v>
      </c>
      <c r="AS94" s="11"/>
      <c r="AU94" s="531" t="s">
        <v>1499</v>
      </c>
      <c r="AV94" s="1207">
        <v>42214</v>
      </c>
      <c r="AW94" s="420"/>
      <c r="AX94" s="8">
        <f ca="1">DATEDIF(AV94,A4,"D")</f>
        <v>558</v>
      </c>
      <c r="AY94" s="420" t="s">
        <v>2324</v>
      </c>
      <c r="BC94" s="420"/>
      <c r="BD94" s="74" t="s">
        <v>2799</v>
      </c>
      <c r="BE94" s="183" t="s">
        <v>1671</v>
      </c>
      <c r="BS94" s="420" t="str">
        <f t="shared" si="407"/>
        <v>ONP</v>
      </c>
      <c r="BT94" s="425">
        <f t="shared" si="408"/>
        <v>13</v>
      </c>
      <c r="BU94" s="19">
        <f t="shared" si="409"/>
        <v>1.1499999999999999</v>
      </c>
      <c r="BV94" s="19">
        <f t="shared" si="410"/>
        <v>14.95</v>
      </c>
      <c r="BW94" s="539">
        <f t="shared" si="411"/>
        <v>0.05</v>
      </c>
      <c r="BX94" s="19">
        <f t="shared" si="412"/>
        <v>0.65</v>
      </c>
      <c r="BY94" s="10">
        <f t="shared" si="413"/>
        <v>0.56521739130434789</v>
      </c>
      <c r="BZ94" s="10">
        <f t="shared" si="414"/>
        <v>13.565217391304348</v>
      </c>
      <c r="CA94" s="539">
        <f t="shared" si="415"/>
        <v>15.599999999999998</v>
      </c>
      <c r="CB94" s="19">
        <f t="shared" si="416"/>
        <v>0.67826086956521747</v>
      </c>
      <c r="CC94" s="10">
        <f t="shared" si="417"/>
        <v>0.58979206049149346</v>
      </c>
      <c r="CD94" s="10">
        <f t="shared" si="418"/>
        <v>14.155009451795841</v>
      </c>
      <c r="CE94" s="539">
        <f t="shared" si="419"/>
        <v>16.278260869565216</v>
      </c>
      <c r="CF94" s="19">
        <f t="shared" si="420"/>
        <v>0.70775047258979207</v>
      </c>
      <c r="CG94" s="10">
        <f t="shared" si="421"/>
        <v>0.61543519355634102</v>
      </c>
      <c r="CH94" s="10">
        <f t="shared" si="422"/>
        <v>14.770444645352182</v>
      </c>
      <c r="CI94" s="539">
        <f t="shared" si="423"/>
        <v>16.986011342155006</v>
      </c>
      <c r="CJ94" s="19">
        <f t="shared" si="424"/>
        <v>0.73852223226760916</v>
      </c>
      <c r="CK94" s="10">
        <f t="shared" si="425"/>
        <v>0.64219324545009493</v>
      </c>
      <c r="CL94" s="10">
        <f t="shared" si="426"/>
        <v>15.412637890802277</v>
      </c>
      <c r="CM94" s="539">
        <f t="shared" si="427"/>
        <v>17.724533574422615</v>
      </c>
      <c r="CN94" s="19">
        <f t="shared" si="428"/>
        <v>0.77063189454011383</v>
      </c>
      <c r="CO94" s="10">
        <f t="shared" si="429"/>
        <v>0.67011469090444686</v>
      </c>
      <c r="CP94" s="10">
        <f t="shared" si="430"/>
        <v>16.082752581706725</v>
      </c>
      <c r="CQ94" s="539">
        <f t="shared" si="431"/>
        <v>18.495165468962732</v>
      </c>
      <c r="CR94" s="19">
        <f t="shared" si="432"/>
        <v>0.80413762908533626</v>
      </c>
      <c r="CS94" s="10">
        <f t="shared" si="433"/>
        <v>0.6992501122481185</v>
      </c>
      <c r="CT94" s="10">
        <f t="shared" si="434"/>
        <v>16.782002693954844</v>
      </c>
      <c r="CU94" s="539">
        <f t="shared" si="435"/>
        <v>19.299303098048068</v>
      </c>
      <c r="CV94" s="19">
        <f t="shared" si="436"/>
        <v>0.83910013469774225</v>
      </c>
      <c r="CW94" s="10">
        <f t="shared" si="437"/>
        <v>0.72965229104151508</v>
      </c>
      <c r="CX94" s="10">
        <f t="shared" si="438"/>
        <v>17.511654984996358</v>
      </c>
      <c r="CY94" s="539">
        <f t="shared" si="439"/>
        <v>20.138403232745812</v>
      </c>
      <c r="CZ94" s="19">
        <f t="shared" si="440"/>
        <v>0.87558274924981794</v>
      </c>
      <c r="DA94" s="10">
        <f t="shared" si="441"/>
        <v>0.76137630369549392</v>
      </c>
      <c r="DB94" s="10">
        <f t="shared" si="442"/>
        <v>18.273031288691854</v>
      </c>
      <c r="DC94" s="539">
        <f t="shared" si="443"/>
        <v>21.013985981995631</v>
      </c>
      <c r="DD94" s="19">
        <f t="shared" si="444"/>
        <v>0.91365156443459272</v>
      </c>
      <c r="DE94" s="10">
        <f t="shared" si="445"/>
        <v>0.79447962124747196</v>
      </c>
      <c r="DF94" s="10">
        <f t="shared" si="446"/>
        <v>19.067510909939326</v>
      </c>
      <c r="DG94" s="539">
        <f t="shared" si="447"/>
        <v>21.927637546430223</v>
      </c>
      <c r="DH94" s="19">
        <f t="shared" si="448"/>
        <v>0.95337554549696635</v>
      </c>
      <c r="DI94" s="10">
        <f t="shared" si="449"/>
        <v>0.82902221347562299</v>
      </c>
      <c r="DJ94" s="10">
        <f t="shared" si="450"/>
        <v>19.896533123414947</v>
      </c>
      <c r="DK94" s="539">
        <f t="shared" si="451"/>
        <v>22.881013091927187</v>
      </c>
      <c r="DL94" s="19">
        <f t="shared" si="452"/>
        <v>0.99482665617074739</v>
      </c>
      <c r="DM94" s="10">
        <f t="shared" si="453"/>
        <v>0.8650666575397804</v>
      </c>
      <c r="DN94" s="10">
        <f t="shared" si="454"/>
        <v>20.761599780954729</v>
      </c>
      <c r="DO94" s="539">
        <f t="shared" si="455"/>
        <v>23.875839748097935</v>
      </c>
      <c r="DP94" s="19">
        <f t="shared" si="456"/>
        <v>1.0380799890477366</v>
      </c>
      <c r="DQ94" s="10">
        <f t="shared" si="457"/>
        <v>0.902678251345858</v>
      </c>
      <c r="DR94" s="10">
        <f t="shared" si="458"/>
        <v>21.664278032300587</v>
      </c>
      <c r="DS94" s="539">
        <f t="shared" si="459"/>
        <v>24.913919737145672</v>
      </c>
      <c r="DT94" s="19">
        <f t="shared" si="460"/>
        <v>1.0832139016150293</v>
      </c>
      <c r="DU94" s="10">
        <f t="shared" si="461"/>
        <v>0.94192513183915594</v>
      </c>
      <c r="DV94" s="10">
        <f t="shared" si="462"/>
        <v>22.606203164139743</v>
      </c>
      <c r="DW94" s="539">
        <f t="shared" si="463"/>
        <v>25.997133638760701</v>
      </c>
      <c r="DX94" s="19">
        <f t="shared" si="464"/>
        <v>1.1303101582069872</v>
      </c>
      <c r="DY94" s="10">
        <f t="shared" si="465"/>
        <v>0.98287839844085856</v>
      </c>
      <c r="DZ94" s="10">
        <f t="shared" si="466"/>
        <v>23.589081562580603</v>
      </c>
      <c r="EA94" s="539">
        <f t="shared" si="467"/>
        <v>27.12744379696769</v>
      </c>
      <c r="EB94" s="19">
        <f t="shared" si="468"/>
        <v>1.1794540781290301</v>
      </c>
      <c r="EC94" s="10">
        <f t="shared" si="469"/>
        <v>1.0256122418513307</v>
      </c>
      <c r="ED94" s="10">
        <f t="shared" si="470"/>
        <v>24.614693804431933</v>
      </c>
      <c r="EE94" s="539">
        <f t="shared" si="471"/>
        <v>28.30689787509672</v>
      </c>
      <c r="EF94" s="19">
        <f t="shared" si="472"/>
        <v>1.2307346902215968</v>
      </c>
      <c r="EG94" s="10">
        <f t="shared" si="473"/>
        <v>1.0702040784535625</v>
      </c>
      <c r="EH94" s="10">
        <f t="shared" si="474"/>
        <v>25.684897882885497</v>
      </c>
      <c r="EI94" s="539">
        <f t="shared" si="475"/>
        <v>29.537632565318319</v>
      </c>
      <c r="EJ94" s="19">
        <f t="shared" si="476"/>
        <v>1.284244894144275</v>
      </c>
      <c r="EK94" s="10">
        <f t="shared" si="477"/>
        <v>1.1167346905602393</v>
      </c>
      <c r="EL94" s="10">
        <f t="shared" si="478"/>
        <v>26.801632573445737</v>
      </c>
      <c r="EM94" s="539">
        <f t="shared" si="479"/>
        <v>30.821877459462595</v>
      </c>
      <c r="EN94" s="19">
        <f t="shared" si="480"/>
        <v>1.340081628672287</v>
      </c>
      <c r="EO94" s="10">
        <f t="shared" si="481"/>
        <v>1.1652883727585106</v>
      </c>
      <c r="EP94" s="10">
        <f t="shared" si="482"/>
        <v>27.966920946204247</v>
      </c>
      <c r="EQ94" s="539">
        <f t="shared" si="483"/>
        <v>32.161959088134886</v>
      </c>
      <c r="ER94" s="19">
        <f t="shared" si="484"/>
        <v>1.3983460473102125</v>
      </c>
      <c r="ES94" s="10">
        <f t="shared" si="485"/>
        <v>1.2159530846175761</v>
      </c>
      <c r="ET94" s="10">
        <f t="shared" si="486"/>
        <v>29.182874030821825</v>
      </c>
      <c r="EU94" s="539">
        <f t="shared" si="487"/>
        <v>33.560305135445098</v>
      </c>
      <c r="EV94" s="19">
        <f t="shared" si="488"/>
        <v>1.4591437015410913</v>
      </c>
      <c r="EW94" s="10">
        <f t="shared" si="489"/>
        <v>1.2688206100357318</v>
      </c>
      <c r="EX94" s="10">
        <f t="shared" si="490"/>
        <v>30.451694640857557</v>
      </c>
      <c r="EY94" s="539">
        <f t="shared" si="491"/>
        <v>35.019448836986186</v>
      </c>
      <c r="EZ94" s="19">
        <f t="shared" si="492"/>
        <v>1.522584732042878</v>
      </c>
      <c r="FA94" s="10">
        <f t="shared" si="493"/>
        <v>1.3239867235155462</v>
      </c>
      <c r="FB94" s="10">
        <f t="shared" si="494"/>
        <v>31.775681364373103</v>
      </c>
      <c r="FC94" s="539">
        <f t="shared" si="495"/>
        <v>36.542033569029066</v>
      </c>
      <c r="FD94" s="19">
        <f t="shared" si="496"/>
        <v>1.5887840682186551</v>
      </c>
      <c r="FE94" s="10">
        <f t="shared" si="497"/>
        <v>1.3815513636683958</v>
      </c>
      <c r="FF94" s="10">
        <f t="shared" si="498"/>
        <v>33.1572327280415</v>
      </c>
      <c r="FG94" s="539">
        <f t="shared" si="499"/>
        <v>38.130817637247723</v>
      </c>
      <c r="FH94" s="19">
        <f t="shared" si="500"/>
        <v>1.6578616364020751</v>
      </c>
      <c r="FI94" s="10">
        <f t="shared" si="501"/>
        <v>1.441618814262674</v>
      </c>
      <c r="FJ94" s="10">
        <f t="shared" si="502"/>
        <v>34.598851542304175</v>
      </c>
      <c r="FK94" s="539">
        <f t="shared" si="503"/>
        <v>39.788679273649798</v>
      </c>
      <c r="FL94" s="19">
        <f t="shared" si="504"/>
        <v>1.7299425771152088</v>
      </c>
      <c r="FM94" s="10">
        <f t="shared" si="505"/>
        <v>1.5042978931436599</v>
      </c>
      <c r="FN94" s="10">
        <f t="shared" si="506"/>
        <v>36.103149435447833</v>
      </c>
      <c r="FO94" s="539">
        <f t="shared" si="507"/>
        <v>41.518621850765001</v>
      </c>
      <c r="FP94" s="19">
        <f t="shared" si="508"/>
        <v>1.8051574717723917</v>
      </c>
      <c r="FQ94" s="10">
        <f t="shared" si="509"/>
        <v>1.5697021493672974</v>
      </c>
      <c r="FR94" s="10">
        <f t="shared" si="510"/>
        <v>37.672851584815128</v>
      </c>
      <c r="FS94" s="539">
        <f t="shared" si="511"/>
        <v>43.323779322537391</v>
      </c>
      <c r="FT94" s="19">
        <f t="shared" si="512"/>
        <v>1.8836425792407565</v>
      </c>
      <c r="FU94" s="10">
        <f t="shared" si="513"/>
        <v>1.6379500689050057</v>
      </c>
      <c r="FV94" s="10">
        <f t="shared" si="514"/>
        <v>39.310801653720134</v>
      </c>
      <c r="FW94" s="539">
        <f t="shared" si="515"/>
        <v>45.207421901778147</v>
      </c>
      <c r="FX94" s="19">
        <f t="shared" si="516"/>
        <v>1.9655400826860068</v>
      </c>
      <c r="FY94" s="10">
        <f t="shared" si="517"/>
        <v>1.70916528929218</v>
      </c>
      <c r="FZ94" s="10">
        <f t="shared" si="518"/>
        <v>41.019966943012314</v>
      </c>
      <c r="GA94" s="539">
        <f t="shared" si="519"/>
        <v>47.172961984464159</v>
      </c>
      <c r="GB94" s="19">
        <f t="shared" si="520"/>
        <v>2.0509983471506157</v>
      </c>
      <c r="GC94" s="10">
        <f t="shared" si="521"/>
        <v>1.7834768236092311</v>
      </c>
      <c r="GD94" s="10">
        <f t="shared" si="522"/>
        <v>42.803443766621548</v>
      </c>
      <c r="GE94" s="539">
        <f t="shared" si="523"/>
        <v>49.223960331614776</v>
      </c>
      <c r="GF94" s="19">
        <f t="shared" si="524"/>
        <v>2.1401721883310776</v>
      </c>
      <c r="GG94" s="10">
        <f t="shared" si="525"/>
        <v>1.8610192942009371</v>
      </c>
      <c r="GH94" s="10">
        <f t="shared" si="526"/>
        <v>44.664463060822484</v>
      </c>
      <c r="GI94" s="539">
        <f t="shared" si="527"/>
        <v>51.364132519945855</v>
      </c>
      <c r="GJ94" s="19">
        <f t="shared" si="528"/>
        <v>2.2332231530411244</v>
      </c>
      <c r="GK94" s="10">
        <f t="shared" si="529"/>
        <v>1.9419331765574996</v>
      </c>
      <c r="GL94" s="10">
        <f t="shared" si="530"/>
        <v>46.606396237379982</v>
      </c>
      <c r="GM94" s="539">
        <f t="shared" si="531"/>
        <v>53.597355672986978</v>
      </c>
      <c r="GN94" s="19">
        <f t="shared" si="532"/>
        <v>2.3303198118689994</v>
      </c>
      <c r="GO94" s="10">
        <f t="shared" si="533"/>
        <v>2.0263650537991302</v>
      </c>
      <c r="GP94" s="10">
        <f t="shared" si="534"/>
        <v>48.632761291179115</v>
      </c>
      <c r="GQ94" s="539">
        <f t="shared" si="535"/>
        <v>55.927675484855975</v>
      </c>
      <c r="GR94" s="19">
        <f t="shared" si="536"/>
        <v>2.4316380645589559</v>
      </c>
      <c r="GS94" s="10">
        <f t="shared" si="537"/>
        <v>2.114467882225179</v>
      </c>
      <c r="GT94" s="10">
        <f t="shared" si="538"/>
        <v>50.747229173404293</v>
      </c>
      <c r="GU94" s="539">
        <f t="shared" si="539"/>
        <v>58.359313549414935</v>
      </c>
      <c r="GV94" s="19">
        <f t="shared" si="540"/>
        <v>2.5373614586702149</v>
      </c>
      <c r="GW94" s="10">
        <f t="shared" si="541"/>
        <v>2.2064012684088827</v>
      </c>
      <c r="GX94" s="10">
        <f t="shared" si="542"/>
        <v>52.953630441813175</v>
      </c>
      <c r="GY94" s="539">
        <f t="shared" si="543"/>
        <v>60.896675008085147</v>
      </c>
      <c r="GZ94" s="19">
        <f t="shared" si="544"/>
        <v>2.6476815220906591</v>
      </c>
      <c r="HA94" s="10">
        <f t="shared" si="545"/>
        <v>2.3023317583397036</v>
      </c>
      <c r="HB94" s="10">
        <f t="shared" si="546"/>
        <v>55.255962200152879</v>
      </c>
      <c r="HC94" s="539">
        <f t="shared" si="547"/>
        <v>63.544356530175804</v>
      </c>
      <c r="HD94" s="19">
        <f t="shared" si="548"/>
        <v>2.762798110007644</v>
      </c>
      <c r="HE94" s="10">
        <f t="shared" si="549"/>
        <v>2.4024331391370821</v>
      </c>
      <c r="HF94" s="10">
        <f t="shared" si="550"/>
        <v>57.65839533928996</v>
      </c>
      <c r="HG94" s="539">
        <f t="shared" si="551"/>
        <v>66.307154640183455</v>
      </c>
      <c r="HH94" s="19">
        <f t="shared" si="552"/>
        <v>2.8829197669644984</v>
      </c>
      <c r="HI94" s="10">
        <f t="shared" si="553"/>
        <v>2.5068867538821729</v>
      </c>
      <c r="HJ94" s="10">
        <f t="shared" si="554"/>
        <v>60.165282093172131</v>
      </c>
      <c r="HK94" s="539">
        <f t="shared" si="555"/>
        <v>69.190074407147947</v>
      </c>
      <c r="HL94" s="19">
        <f t="shared" si="556"/>
        <v>3.0082641046586067</v>
      </c>
      <c r="HM94" s="10">
        <f t="shared" si="557"/>
        <v>2.6158818301379192</v>
      </c>
      <c r="HN94" s="10">
        <f t="shared" si="558"/>
        <v>62.781163923310046</v>
      </c>
      <c r="HO94" s="539">
        <f t="shared" si="559"/>
        <v>72.198338511806554</v>
      </c>
      <c r="HP94" s="19">
        <f t="shared" si="560"/>
        <v>3.1390581961655024</v>
      </c>
      <c r="HQ94" s="10">
        <f t="shared" si="561"/>
        <v>2.7296158227526108</v>
      </c>
      <c r="HR94" s="10">
        <f t="shared" si="562"/>
        <v>65.510779746062653</v>
      </c>
      <c r="HS94" s="539">
        <f t="shared" si="563"/>
        <v>75.337396707972047</v>
      </c>
      <c r="HT94" s="19">
        <f t="shared" si="564"/>
        <v>3.2755389873031326</v>
      </c>
      <c r="HU94" s="10">
        <f t="shared" si="565"/>
        <v>2.8482947715679416</v>
      </c>
      <c r="HV94" s="10">
        <f t="shared" si="566"/>
        <v>68.359074517630589</v>
      </c>
      <c r="HW94" s="539">
        <f t="shared" si="567"/>
        <v>78.612935695275169</v>
      </c>
      <c r="HX94" s="19">
        <f t="shared" si="568"/>
        <v>3.4179537258815298</v>
      </c>
      <c r="HY94" s="10">
        <f t="shared" si="569"/>
        <v>2.9721336746795912</v>
      </c>
      <c r="HZ94" s="10">
        <f t="shared" si="570"/>
        <v>71.331208192310186</v>
      </c>
      <c r="IA94" s="539">
        <f t="shared" si="571"/>
        <v>82.030889421156701</v>
      </c>
      <c r="IB94" s="19">
        <f t="shared" si="572"/>
        <v>3.5665604096155095</v>
      </c>
      <c r="IM94" s="11"/>
      <c r="IN94" s="19"/>
      <c r="IO94" s="20"/>
      <c r="IP94" s="10"/>
    </row>
    <row r="95" spans="1:252">
      <c r="A95" s="960"/>
      <c r="B95" s="20"/>
      <c r="C95" s="826" t="s">
        <v>2342</v>
      </c>
      <c r="D95" s="47" t="s">
        <v>604</v>
      </c>
      <c r="E95" s="396">
        <f t="shared" si="600"/>
        <v>41.930900000000001</v>
      </c>
      <c r="F95" s="242">
        <v>15.930899999999999</v>
      </c>
      <c r="G95" s="48">
        <f>'Update Stock Prices'!S95</f>
        <v>26541038.52596315</v>
      </c>
      <c r="H95" s="991">
        <f t="shared" si="610"/>
        <v>6.0023649731776582E-7</v>
      </c>
      <c r="I95" s="49">
        <f>'Update Stock Prices'!D95</f>
        <v>11.94</v>
      </c>
      <c r="J95" s="49">
        <f t="shared" si="404"/>
        <v>190.214946</v>
      </c>
      <c r="K95" s="30">
        <v>210.34</v>
      </c>
      <c r="L95" s="49">
        <f t="shared" si="611"/>
        <v>-20.125054000000006</v>
      </c>
      <c r="M95" s="50">
        <f t="shared" si="613"/>
        <v>-9.5678682133688339E-2</v>
      </c>
      <c r="N95" s="49">
        <f t="shared" si="612"/>
        <v>13.203271629349253</v>
      </c>
      <c r="O95" s="48">
        <f t="shared" si="601"/>
        <v>26</v>
      </c>
      <c r="P95" s="49">
        <f t="shared" si="602"/>
        <v>10.569999999999993</v>
      </c>
      <c r="Q95" s="30">
        <f>0.14*12</f>
        <v>1.6800000000000002</v>
      </c>
      <c r="R95" s="49">
        <f t="shared" si="665"/>
        <v>7.3275597535934295E-2</v>
      </c>
      <c r="S95" s="49">
        <f t="shared" si="603"/>
        <v>26.763912000000001</v>
      </c>
      <c r="T95" s="49">
        <f t="shared" si="666"/>
        <v>2.2303260000000003</v>
      </c>
      <c r="U95" s="49" t="s">
        <v>56</v>
      </c>
      <c r="V95" s="50">
        <f t="shared" si="604"/>
        <v>0.14070351758793972</v>
      </c>
      <c r="W95" s="50">
        <f t="shared" si="575"/>
        <v>0.12724119045355139</v>
      </c>
      <c r="X95" s="49">
        <f t="shared" si="618"/>
        <v>43.680000000000014</v>
      </c>
      <c r="Y95" s="49">
        <f t="shared" si="654"/>
        <v>2.2303260000000003</v>
      </c>
      <c r="Z95" s="860">
        <f t="shared" si="605"/>
        <v>0</v>
      </c>
      <c r="AA95" s="860">
        <f t="shared" si="606"/>
        <v>69.354814285714284</v>
      </c>
      <c r="AB95" s="49">
        <f t="shared" si="607"/>
        <v>828.09648257142851</v>
      </c>
      <c r="AC95" s="48">
        <v>1</v>
      </c>
      <c r="AD95" s="47" t="str">
        <f t="shared" si="608"/>
        <v>ORC</v>
      </c>
      <c r="AE95" s="49">
        <f t="shared" si="609"/>
        <v>190.214946</v>
      </c>
      <c r="AF95" s="50" t="e">
        <f t="shared" si="405"/>
        <v>#REF!</v>
      </c>
      <c r="AG95" s="890" t="e">
        <f t="shared" si="599"/>
        <v>#REF!</v>
      </c>
      <c r="AH95" s="207" t="s">
        <v>317</v>
      </c>
      <c r="AI95" s="240">
        <f t="shared" si="406"/>
        <v>8.2136767837043531E-2</v>
      </c>
      <c r="AJ95" s="11">
        <f t="shared" si="595"/>
        <v>3</v>
      </c>
      <c r="AK95" s="11"/>
      <c r="AL95" s="11"/>
      <c r="AM95" s="11"/>
      <c r="AN95" s="11"/>
      <c r="AO95" s="11"/>
      <c r="AP95" s="11"/>
      <c r="AQ95" s="11" t="str">
        <f>'Update Stock Prices'!Q95</f>
        <v>small</v>
      </c>
      <c r="AR95" s="11"/>
      <c r="AS95" s="11"/>
      <c r="AT95" s="420" t="s">
        <v>2640</v>
      </c>
      <c r="AU95" s="216" t="s">
        <v>449</v>
      </c>
      <c r="AV95" s="217" t="s">
        <v>1476</v>
      </c>
      <c r="AW95" s="217" t="s">
        <v>1475</v>
      </c>
      <c r="AX95" s="217" t="s">
        <v>1477</v>
      </c>
      <c r="AY95" s="592" t="s">
        <v>1474</v>
      </c>
      <c r="AZ95" s="217" t="s">
        <v>1480</v>
      </c>
      <c r="BA95" s="217" t="s">
        <v>1478</v>
      </c>
      <c r="BB95" s="592" t="s">
        <v>1479</v>
      </c>
      <c r="BC95" s="997" t="s">
        <v>157</v>
      </c>
      <c r="BD95" s="748"/>
      <c r="BE95" s="1423"/>
      <c r="BF95" s="74"/>
      <c r="BS95" s="420" t="str">
        <f t="shared" si="407"/>
        <v>ORC</v>
      </c>
      <c r="BT95" s="425">
        <f t="shared" si="408"/>
        <v>15.930899999999999</v>
      </c>
      <c r="BU95" s="19">
        <f t="shared" si="409"/>
        <v>11.94</v>
      </c>
      <c r="BV95" s="19">
        <f t="shared" si="410"/>
        <v>190.214946</v>
      </c>
      <c r="BW95" s="539">
        <f t="shared" si="411"/>
        <v>1.6800000000000002</v>
      </c>
      <c r="BX95" s="19">
        <f t="shared" si="412"/>
        <v>26.763912000000001</v>
      </c>
      <c r="BY95" s="10">
        <f t="shared" si="413"/>
        <v>2.2415336683417086</v>
      </c>
      <c r="BZ95" s="10">
        <f t="shared" si="414"/>
        <v>18.172433668341707</v>
      </c>
      <c r="CA95" s="539">
        <f t="shared" si="415"/>
        <v>216.97885799999997</v>
      </c>
      <c r="CB95" s="19">
        <f t="shared" si="416"/>
        <v>30.529688562814069</v>
      </c>
      <c r="CC95" s="10">
        <f t="shared" si="417"/>
        <v>2.5569253402691849</v>
      </c>
      <c r="CD95" s="10">
        <f t="shared" si="418"/>
        <v>20.729359008610892</v>
      </c>
      <c r="CE95" s="539">
        <f t="shared" si="419"/>
        <v>247.50854656281405</v>
      </c>
      <c r="CF95" s="19">
        <f t="shared" si="420"/>
        <v>34.825323134466302</v>
      </c>
      <c r="CG95" s="10">
        <f t="shared" si="421"/>
        <v>2.9166937298547992</v>
      </c>
      <c r="CH95" s="10">
        <f t="shared" si="422"/>
        <v>23.646052738465691</v>
      </c>
      <c r="CI95" s="539">
        <f t="shared" si="423"/>
        <v>282.33386969728036</v>
      </c>
      <c r="CJ95" s="19">
        <f t="shared" si="424"/>
        <v>39.725368600622367</v>
      </c>
      <c r="CK95" s="10">
        <f t="shared" si="425"/>
        <v>3.3270827973720576</v>
      </c>
      <c r="CL95" s="10">
        <f t="shared" si="426"/>
        <v>26.973135535837748</v>
      </c>
      <c r="CM95" s="539">
        <f t="shared" si="427"/>
        <v>322.05923829790271</v>
      </c>
      <c r="CN95" s="19">
        <f t="shared" si="428"/>
        <v>45.314867700207422</v>
      </c>
      <c r="CO95" s="10">
        <f t="shared" si="429"/>
        <v>3.7952150502686286</v>
      </c>
      <c r="CP95" s="10">
        <f t="shared" si="430"/>
        <v>30.768350586106376</v>
      </c>
      <c r="CQ95" s="539">
        <f t="shared" si="431"/>
        <v>367.37410599811011</v>
      </c>
      <c r="CR95" s="19">
        <f t="shared" si="432"/>
        <v>51.690828984658715</v>
      </c>
      <c r="CS95" s="10">
        <f t="shared" si="433"/>
        <v>4.3292151578441134</v>
      </c>
      <c r="CT95" s="10">
        <f t="shared" si="434"/>
        <v>35.09756574395049</v>
      </c>
      <c r="CU95" s="539">
        <f t="shared" si="435"/>
        <v>419.06493498276882</v>
      </c>
      <c r="CV95" s="19">
        <f t="shared" si="436"/>
        <v>58.963910449836831</v>
      </c>
      <c r="CW95" s="10">
        <f t="shared" si="437"/>
        <v>4.9383509589478081</v>
      </c>
      <c r="CX95" s="10">
        <f t="shared" si="438"/>
        <v>40.035916702898298</v>
      </c>
      <c r="CY95" s="539">
        <f t="shared" si="439"/>
        <v>478.02884543260564</v>
      </c>
      <c r="CZ95" s="19">
        <f t="shared" si="440"/>
        <v>67.26034006086914</v>
      </c>
      <c r="DA95" s="10">
        <f t="shared" si="441"/>
        <v>5.6331943099555399</v>
      </c>
      <c r="DB95" s="10">
        <f t="shared" si="442"/>
        <v>45.66911101285384</v>
      </c>
      <c r="DC95" s="539">
        <f t="shared" si="443"/>
        <v>545.28918549347486</v>
      </c>
      <c r="DD95" s="19">
        <f t="shared" si="444"/>
        <v>76.724106501594463</v>
      </c>
      <c r="DE95" s="10">
        <f t="shared" si="445"/>
        <v>6.425804564622652</v>
      </c>
      <c r="DF95" s="10">
        <f t="shared" si="446"/>
        <v>52.094915577476492</v>
      </c>
      <c r="DG95" s="539">
        <f t="shared" si="447"/>
        <v>622.01329199506927</v>
      </c>
      <c r="DH95" s="19">
        <f t="shared" si="448"/>
        <v>87.519458170160519</v>
      </c>
      <c r="DI95" s="10">
        <f t="shared" si="449"/>
        <v>7.3299378701976989</v>
      </c>
      <c r="DJ95" s="10">
        <f t="shared" si="450"/>
        <v>59.424853447674188</v>
      </c>
      <c r="DK95" s="539">
        <f t="shared" si="451"/>
        <v>709.5327501652298</v>
      </c>
      <c r="DL95" s="19">
        <f t="shared" si="452"/>
        <v>99.833753792092651</v>
      </c>
      <c r="DM95" s="10">
        <f t="shared" si="453"/>
        <v>8.3612859122355658</v>
      </c>
      <c r="DN95" s="10">
        <f t="shared" si="454"/>
        <v>67.786139359909754</v>
      </c>
      <c r="DO95" s="539">
        <f t="shared" si="455"/>
        <v>809.36650395732238</v>
      </c>
      <c r="DP95" s="19">
        <f t="shared" si="456"/>
        <v>113.88071412464839</v>
      </c>
      <c r="DQ95" s="10">
        <f t="shared" si="457"/>
        <v>9.5377482516455938</v>
      </c>
      <c r="DR95" s="10">
        <f t="shared" si="458"/>
        <v>77.32388761155535</v>
      </c>
      <c r="DS95" s="539">
        <f t="shared" si="459"/>
        <v>923.2472180819708</v>
      </c>
      <c r="DT95" s="19">
        <f t="shared" si="460"/>
        <v>129.90413118741299</v>
      </c>
      <c r="DU95" s="10">
        <f t="shared" si="461"/>
        <v>10.879742980520351</v>
      </c>
      <c r="DV95" s="10">
        <f t="shared" si="462"/>
        <v>88.203630592075697</v>
      </c>
      <c r="DW95" s="539">
        <f t="shared" si="463"/>
        <v>1053.1513492693837</v>
      </c>
      <c r="DX95" s="19">
        <f t="shared" si="464"/>
        <v>148.18209939468719</v>
      </c>
      <c r="DY95" s="10">
        <f t="shared" si="465"/>
        <v>12.41056108833226</v>
      </c>
      <c r="DZ95" s="10">
        <f t="shared" si="466"/>
        <v>100.61419168040796</v>
      </c>
      <c r="EA95" s="539">
        <f t="shared" si="467"/>
        <v>1201.3334486640708</v>
      </c>
      <c r="EB95" s="19">
        <f t="shared" si="468"/>
        <v>169.03184202308537</v>
      </c>
      <c r="EC95" s="10">
        <f t="shared" si="469"/>
        <v>14.156770688700618</v>
      </c>
      <c r="ED95" s="10">
        <f t="shared" si="470"/>
        <v>114.77096236910857</v>
      </c>
      <c r="EE95" s="539">
        <f t="shared" si="471"/>
        <v>1370.3652906871564</v>
      </c>
      <c r="EF95" s="19">
        <f t="shared" si="472"/>
        <v>192.81521678010242</v>
      </c>
      <c r="EG95" s="10">
        <f t="shared" si="473"/>
        <v>16.148678122286636</v>
      </c>
      <c r="EH95" s="10">
        <f t="shared" si="474"/>
        <v>130.9196404913952</v>
      </c>
      <c r="EI95" s="539">
        <f t="shared" si="475"/>
        <v>1563.1805074672586</v>
      </c>
      <c r="EJ95" s="19">
        <f t="shared" si="476"/>
        <v>219.94499602554396</v>
      </c>
      <c r="EK95" s="10">
        <f t="shared" si="477"/>
        <v>18.42085393848777</v>
      </c>
      <c r="EL95" s="10">
        <f t="shared" si="478"/>
        <v>149.34049442988297</v>
      </c>
      <c r="EM95" s="539">
        <f t="shared" si="479"/>
        <v>1783.1255034928026</v>
      </c>
      <c r="EN95" s="19">
        <f t="shared" si="480"/>
        <v>250.89203064220339</v>
      </c>
      <c r="EO95" s="10">
        <f t="shared" si="481"/>
        <v>21.012732884606649</v>
      </c>
      <c r="EP95" s="10">
        <f t="shared" si="482"/>
        <v>170.35322731448963</v>
      </c>
      <c r="EQ95" s="539">
        <f t="shared" si="483"/>
        <v>2034.0175341350061</v>
      </c>
      <c r="ER95" s="19">
        <f t="shared" si="484"/>
        <v>286.19342188834258</v>
      </c>
      <c r="ES95" s="10">
        <f t="shared" si="485"/>
        <v>23.969298315606583</v>
      </c>
      <c r="ET95" s="10">
        <f t="shared" si="486"/>
        <v>194.32252563009621</v>
      </c>
      <c r="EU95" s="539">
        <f t="shared" si="487"/>
        <v>2320.2109560233484</v>
      </c>
      <c r="EV95" s="19">
        <f t="shared" si="488"/>
        <v>326.46184305856167</v>
      </c>
      <c r="EW95" s="10">
        <f t="shared" si="489"/>
        <v>27.341862902727108</v>
      </c>
      <c r="EX95" s="10">
        <f t="shared" si="490"/>
        <v>221.66438853282332</v>
      </c>
      <c r="EY95" s="539">
        <f t="shared" si="491"/>
        <v>2646.6727990819104</v>
      </c>
      <c r="EZ95" s="19">
        <f t="shared" si="492"/>
        <v>372.39617273514324</v>
      </c>
      <c r="FA95" s="10">
        <f t="shared" si="493"/>
        <v>31.188959190548012</v>
      </c>
      <c r="FB95" s="10">
        <f t="shared" si="494"/>
        <v>252.85334772337134</v>
      </c>
      <c r="FC95" s="539">
        <f t="shared" si="495"/>
        <v>3019.0689718170538</v>
      </c>
      <c r="FD95" s="19">
        <f t="shared" si="496"/>
        <v>424.79362417526391</v>
      </c>
      <c r="FE95" s="10">
        <f t="shared" si="497"/>
        <v>35.577355458564817</v>
      </c>
      <c r="FF95" s="10">
        <f t="shared" si="498"/>
        <v>288.43070318193617</v>
      </c>
      <c r="FG95" s="539">
        <f t="shared" si="499"/>
        <v>3443.8625959923179</v>
      </c>
      <c r="FH95" s="19">
        <f t="shared" si="500"/>
        <v>484.56358134565278</v>
      </c>
      <c r="FI95" s="10">
        <f t="shared" si="501"/>
        <v>40.583214518061375</v>
      </c>
      <c r="FJ95" s="10">
        <f t="shared" si="502"/>
        <v>329.01391769999753</v>
      </c>
      <c r="FK95" s="539">
        <f t="shared" si="503"/>
        <v>3928.4261773379703</v>
      </c>
      <c r="FL95" s="19">
        <f t="shared" si="504"/>
        <v>552.74338173599597</v>
      </c>
      <c r="FM95" s="10">
        <f t="shared" si="505"/>
        <v>46.293415555778559</v>
      </c>
      <c r="FN95" s="10">
        <f t="shared" si="506"/>
        <v>375.30733325577609</v>
      </c>
      <c r="FO95" s="539">
        <f t="shared" si="507"/>
        <v>4481.1695590739664</v>
      </c>
      <c r="FP95" s="19">
        <f t="shared" si="508"/>
        <v>630.51631986970392</v>
      </c>
      <c r="FQ95" s="10">
        <f t="shared" si="509"/>
        <v>52.807061965636848</v>
      </c>
      <c r="FR95" s="10">
        <f t="shared" si="510"/>
        <v>428.11439522141291</v>
      </c>
      <c r="FS95" s="539">
        <f t="shared" si="511"/>
        <v>5111.6858789436701</v>
      </c>
      <c r="FT95" s="19">
        <f t="shared" si="512"/>
        <v>719.23218397197377</v>
      </c>
      <c r="FU95" s="10">
        <f t="shared" si="513"/>
        <v>60.237201337686251</v>
      </c>
      <c r="FV95" s="10">
        <f t="shared" si="514"/>
        <v>488.35159655909916</v>
      </c>
      <c r="FW95" s="539">
        <f t="shared" si="515"/>
        <v>5830.9180629156435</v>
      </c>
      <c r="FX95" s="19">
        <f t="shared" si="516"/>
        <v>820.43068221928672</v>
      </c>
      <c r="FY95" s="10">
        <f t="shared" si="517"/>
        <v>68.712787455551648</v>
      </c>
      <c r="FZ95" s="10">
        <f t="shared" si="518"/>
        <v>557.06438401465084</v>
      </c>
      <c r="GA95" s="539">
        <f t="shared" si="519"/>
        <v>6651.3487451349311</v>
      </c>
      <c r="GB95" s="19">
        <f t="shared" si="520"/>
        <v>935.8681651446135</v>
      </c>
      <c r="GC95" s="10">
        <f t="shared" si="521"/>
        <v>78.380918353820235</v>
      </c>
      <c r="GD95" s="10">
        <f t="shared" si="522"/>
        <v>635.44530236847106</v>
      </c>
      <c r="GE95" s="539">
        <f t="shared" si="523"/>
        <v>7587.2169102795442</v>
      </c>
      <c r="GF95" s="19">
        <f t="shared" si="524"/>
        <v>1067.5481079790316</v>
      </c>
      <c r="GG95" s="10">
        <f t="shared" si="525"/>
        <v>89.409389277975848</v>
      </c>
      <c r="GH95" s="10">
        <f t="shared" si="526"/>
        <v>724.85469164644689</v>
      </c>
      <c r="GI95" s="539">
        <f t="shared" si="527"/>
        <v>8654.7650182585749</v>
      </c>
      <c r="GJ95" s="19">
        <f t="shared" si="528"/>
        <v>1217.755881966031</v>
      </c>
      <c r="GK95" s="10">
        <f t="shared" si="529"/>
        <v>101.98960485477647</v>
      </c>
      <c r="GL95" s="10">
        <f t="shared" si="530"/>
        <v>826.84429650122343</v>
      </c>
      <c r="GM95" s="539">
        <f t="shared" si="531"/>
        <v>9872.5209002246065</v>
      </c>
      <c r="GN95" s="19">
        <f t="shared" si="532"/>
        <v>1389.0984181220556</v>
      </c>
      <c r="GO95" s="10">
        <f t="shared" si="533"/>
        <v>116.33990101524755</v>
      </c>
      <c r="GP95" s="10">
        <f t="shared" si="534"/>
        <v>943.18419751647093</v>
      </c>
      <c r="GQ95" s="539">
        <f t="shared" si="535"/>
        <v>11261.619318346662</v>
      </c>
      <c r="GR95" s="19">
        <f t="shared" si="536"/>
        <v>1584.5494518276714</v>
      </c>
      <c r="GS95" s="10">
        <f t="shared" si="537"/>
        <v>132.70933432392559</v>
      </c>
      <c r="GT95" s="10">
        <f t="shared" si="538"/>
        <v>1075.8935318403965</v>
      </c>
      <c r="GU95" s="539">
        <f t="shared" si="539"/>
        <v>12846.168770174334</v>
      </c>
      <c r="GV95" s="19">
        <f t="shared" si="540"/>
        <v>1807.5011334918663</v>
      </c>
      <c r="GW95" s="10">
        <f t="shared" si="541"/>
        <v>151.3820044800558</v>
      </c>
      <c r="GX95" s="10">
        <f t="shared" si="542"/>
        <v>1227.2755363204524</v>
      </c>
      <c r="GY95" s="539">
        <f t="shared" si="543"/>
        <v>14653.669903666201</v>
      </c>
      <c r="GZ95" s="19">
        <f t="shared" si="544"/>
        <v>2061.82290101836</v>
      </c>
      <c r="HA95" s="10">
        <f t="shared" si="545"/>
        <v>172.68198500991289</v>
      </c>
      <c r="HB95" s="10">
        <f t="shared" si="546"/>
        <v>1399.9575213303654</v>
      </c>
      <c r="HC95" s="539">
        <f t="shared" si="547"/>
        <v>16715.49280468456</v>
      </c>
      <c r="HD95" s="19">
        <f t="shared" si="548"/>
        <v>2351.9286358350141</v>
      </c>
      <c r="HE95" s="10">
        <f t="shared" si="549"/>
        <v>196.97894772487555</v>
      </c>
      <c r="HF95" s="10">
        <f t="shared" si="550"/>
        <v>1596.9364690552409</v>
      </c>
      <c r="HG95" s="539">
        <f t="shared" si="551"/>
        <v>19067.421440519574</v>
      </c>
      <c r="HH95" s="19">
        <f t="shared" si="552"/>
        <v>2682.8532680128051</v>
      </c>
      <c r="HI95" s="10">
        <f t="shared" si="553"/>
        <v>224.69457856053646</v>
      </c>
      <c r="HJ95" s="10">
        <f t="shared" si="554"/>
        <v>1821.6310476157773</v>
      </c>
      <c r="HK95" s="539">
        <f t="shared" si="555"/>
        <v>21750.274708532379</v>
      </c>
      <c r="HL95" s="19">
        <f t="shared" si="556"/>
        <v>3060.3401599945064</v>
      </c>
      <c r="HM95" s="10">
        <f t="shared" si="557"/>
        <v>256.30989614694357</v>
      </c>
      <c r="HN95" s="10">
        <f t="shared" si="558"/>
        <v>2077.940943762721</v>
      </c>
      <c r="HO95" s="539">
        <f t="shared" si="559"/>
        <v>24810.614868526889</v>
      </c>
      <c r="HP95" s="19">
        <f t="shared" si="560"/>
        <v>3490.9407855213717</v>
      </c>
      <c r="HQ95" s="10">
        <f t="shared" si="561"/>
        <v>292.37360012741806</v>
      </c>
      <c r="HR95" s="10">
        <f t="shared" si="562"/>
        <v>2370.3145438901392</v>
      </c>
      <c r="HS95" s="539">
        <f t="shared" si="563"/>
        <v>28301.555654048261</v>
      </c>
      <c r="HT95" s="19">
        <f t="shared" si="564"/>
        <v>3982.1284337354341</v>
      </c>
      <c r="HU95" s="10">
        <f t="shared" si="565"/>
        <v>333.51159411519552</v>
      </c>
      <c r="HV95" s="10">
        <f t="shared" si="566"/>
        <v>2703.8261380053345</v>
      </c>
      <c r="HW95" s="539">
        <f t="shared" si="567"/>
        <v>32283.684087783695</v>
      </c>
      <c r="HX95" s="19">
        <f t="shared" si="568"/>
        <v>4542.4279118489621</v>
      </c>
      <c r="HY95" s="10">
        <f t="shared" si="569"/>
        <v>380.43784856356467</v>
      </c>
      <c r="HZ95" s="10">
        <f t="shared" si="570"/>
        <v>3084.2639865688993</v>
      </c>
      <c r="IA95" s="539">
        <f t="shared" si="571"/>
        <v>36826.11199963266</v>
      </c>
      <c r="IB95" s="19">
        <f t="shared" si="572"/>
        <v>5181.5634974357517</v>
      </c>
      <c r="IM95" s="11"/>
      <c r="IN95" s="19"/>
      <c r="IO95" s="20"/>
      <c r="IP95" s="10"/>
    </row>
    <row r="96" spans="1:252">
      <c r="A96" s="11"/>
      <c r="B96" s="20"/>
      <c r="C96" s="826" t="s">
        <v>2341</v>
      </c>
      <c r="D96" s="47" t="s">
        <v>875</v>
      </c>
      <c r="E96" s="396">
        <f t="shared" si="600"/>
        <v>17.04</v>
      </c>
      <c r="F96" s="242">
        <v>2.04</v>
      </c>
      <c r="G96" s="48">
        <f>'Update Stock Prices'!S96</f>
        <v>152376286.13424793</v>
      </c>
      <c r="H96" s="991">
        <f t="shared" si="610"/>
        <v>1.3387909967845658E-8</v>
      </c>
      <c r="I96" s="49">
        <f>'Update Stock Prices'!D96</f>
        <v>20.41</v>
      </c>
      <c r="J96" s="49">
        <f t="shared" si="404"/>
        <v>41.636400000000002</v>
      </c>
      <c r="K96" s="30">
        <v>22.01</v>
      </c>
      <c r="L96" s="49">
        <f t="shared" si="611"/>
        <v>19.6264</v>
      </c>
      <c r="M96" s="50">
        <f t="shared" si="613"/>
        <v>0.89170377101317577</v>
      </c>
      <c r="N96" s="49">
        <f t="shared" si="612"/>
        <v>10.78921568627451</v>
      </c>
      <c r="O96" s="48">
        <f t="shared" si="601"/>
        <v>15</v>
      </c>
      <c r="P96" s="49">
        <f t="shared" si="602"/>
        <v>14.860000000000014</v>
      </c>
      <c r="Q96" s="30">
        <f>0.05*4</f>
        <v>0.2</v>
      </c>
      <c r="R96" s="49">
        <f t="shared" si="665"/>
        <v>1.1170431211498975E-3</v>
      </c>
      <c r="S96" s="49">
        <f t="shared" si="603"/>
        <v>0.40800000000000003</v>
      </c>
      <c r="T96" s="49">
        <f t="shared" si="666"/>
        <v>3.4000000000000002E-2</v>
      </c>
      <c r="U96" s="49" t="s">
        <v>54</v>
      </c>
      <c r="V96" s="50">
        <f t="shared" si="604"/>
        <v>9.7991180793728563E-3</v>
      </c>
      <c r="W96" s="50">
        <f t="shared" si="575"/>
        <v>1.8537028623353023E-2</v>
      </c>
      <c r="X96" s="49">
        <f t="shared" si="618"/>
        <v>2.9999999999999996</v>
      </c>
      <c r="Y96" s="49">
        <f t="shared" si="654"/>
        <v>0.10200000000000001</v>
      </c>
      <c r="Z96" s="860">
        <f t="shared" si="605"/>
        <v>0</v>
      </c>
      <c r="AA96" s="860">
        <f t="shared" si="606"/>
        <v>406.15999999999997</v>
      </c>
      <c r="AB96" s="49">
        <f t="shared" si="607"/>
        <v>8289.7255999999998</v>
      </c>
      <c r="AC96" s="48">
        <v>1</v>
      </c>
      <c r="AD96" s="47" t="str">
        <f t="shared" si="608"/>
        <v>PAAS</v>
      </c>
      <c r="AE96" s="49">
        <f t="shared" si="609"/>
        <v>41.636400000000002</v>
      </c>
      <c r="AF96" s="50" t="e">
        <f t="shared" si="405"/>
        <v>#REF!</v>
      </c>
      <c r="AG96" s="890" t="e">
        <f t="shared" si="599"/>
        <v>#REF!</v>
      </c>
      <c r="AH96" s="207" t="s">
        <v>884</v>
      </c>
      <c r="AI96" s="240">
        <f t="shared" si="406"/>
        <v>3.9354525150898925E-3</v>
      </c>
      <c r="AJ96" s="11">
        <f t="shared" si="595"/>
        <v>4</v>
      </c>
      <c r="AK96" s="11"/>
      <c r="AL96" s="11"/>
      <c r="AM96" s="11"/>
      <c r="AN96" s="11"/>
      <c r="AO96" s="11"/>
      <c r="AP96" s="11"/>
      <c r="AQ96" s="11" t="str">
        <f>'Update Stock Prices'!Q96</f>
        <v>mid</v>
      </c>
      <c r="AR96" s="11"/>
      <c r="AS96" s="11">
        <v>1</v>
      </c>
      <c r="AT96" s="420" t="s">
        <v>304</v>
      </c>
      <c r="AU96" s="224" t="s">
        <v>405</v>
      </c>
      <c r="AV96" s="30">
        <v>45618.812202599984</v>
      </c>
      <c r="AW96" s="420" t="str">
        <f t="shared" ref="AW96:AW109" si="667">IF(AV77&lt;AV96,"Y","")</f>
        <v/>
      </c>
      <c r="AX96" s="30">
        <v>66370.613769200019</v>
      </c>
      <c r="AY96" s="236" t="str">
        <f t="shared" ref="AY96:AY109" si="668">IF(AV77&gt;AX96,"Y","")</f>
        <v/>
      </c>
      <c r="AZ96" s="19">
        <f t="shared" ref="AZ96:AZ103" si="669">AX96-AV96</f>
        <v>20751.801566600036</v>
      </c>
      <c r="BA96" s="15">
        <f t="shared" ref="BA96:BA108" si="670">AX96/AV77-1</f>
        <v>0</v>
      </c>
      <c r="BB96" s="730">
        <f t="shared" ref="BB96:BB109" si="671">AV77/AV96-1</f>
        <v>0.45489570123917678</v>
      </c>
      <c r="BC96" s="800" t="str">
        <f>IF(AND(BA96&gt;0,BB96&gt;0),"Between",IF(BA96&lt;0.001,"At high","At low"))</f>
        <v>At high</v>
      </c>
      <c r="BD96" s="750" t="s">
        <v>545</v>
      </c>
      <c r="BE96" s="750" t="s">
        <v>545</v>
      </c>
      <c r="BF96" s="74"/>
      <c r="BS96" s="420" t="str">
        <f t="shared" si="407"/>
        <v>PAAS</v>
      </c>
      <c r="BT96" s="425">
        <f t="shared" si="408"/>
        <v>2.04</v>
      </c>
      <c r="BU96" s="19">
        <f t="shared" si="409"/>
        <v>20.41</v>
      </c>
      <c r="BV96" s="19">
        <f t="shared" si="410"/>
        <v>41.636400000000002</v>
      </c>
      <c r="BW96" s="539">
        <f t="shared" si="411"/>
        <v>0.2</v>
      </c>
      <c r="BX96" s="19">
        <f t="shared" si="412"/>
        <v>0.40800000000000003</v>
      </c>
      <c r="BY96" s="10">
        <f t="shared" si="413"/>
        <v>1.999020088192063E-2</v>
      </c>
      <c r="BZ96" s="10">
        <f t="shared" si="414"/>
        <v>2.0599902008819209</v>
      </c>
      <c r="CA96" s="539">
        <f t="shared" si="415"/>
        <v>42.044400000000003</v>
      </c>
      <c r="CB96" s="19">
        <f t="shared" si="416"/>
        <v>0.41199804017638419</v>
      </c>
      <c r="CC96" s="10">
        <f t="shared" si="417"/>
        <v>2.0186087220792955E-2</v>
      </c>
      <c r="CD96" s="10">
        <f t="shared" si="418"/>
        <v>2.0801762881027139</v>
      </c>
      <c r="CE96" s="539">
        <f t="shared" si="419"/>
        <v>42.456398040176389</v>
      </c>
      <c r="CF96" s="19">
        <f t="shared" si="420"/>
        <v>0.41603525762054283</v>
      </c>
      <c r="CG96" s="10">
        <f t="shared" si="421"/>
        <v>2.0383893073030027E-2</v>
      </c>
      <c r="CH96" s="10">
        <f t="shared" si="422"/>
        <v>2.1005601811757439</v>
      </c>
      <c r="CI96" s="539">
        <f t="shared" si="423"/>
        <v>42.872433297796931</v>
      </c>
      <c r="CJ96" s="19">
        <f t="shared" si="424"/>
        <v>0.42011203623514881</v>
      </c>
      <c r="CK96" s="10">
        <f t="shared" si="425"/>
        <v>2.0583637248169955E-2</v>
      </c>
      <c r="CL96" s="10">
        <f t="shared" si="426"/>
        <v>2.121143818423914</v>
      </c>
      <c r="CM96" s="539">
        <f t="shared" si="427"/>
        <v>43.292545334032084</v>
      </c>
      <c r="CN96" s="19">
        <f t="shared" si="428"/>
        <v>0.42422876368478279</v>
      </c>
      <c r="CO96" s="10">
        <f t="shared" si="429"/>
        <v>2.0785338740067751E-2</v>
      </c>
      <c r="CP96" s="10">
        <f t="shared" si="430"/>
        <v>2.1419291571639816</v>
      </c>
      <c r="CQ96" s="539">
        <f t="shared" si="431"/>
        <v>43.716774097716865</v>
      </c>
      <c r="CR96" s="19">
        <f t="shared" si="432"/>
        <v>0.42838583143279635</v>
      </c>
      <c r="CS96" s="10">
        <f t="shared" si="433"/>
        <v>2.0989016728701439E-2</v>
      </c>
      <c r="CT96" s="10">
        <f t="shared" si="434"/>
        <v>2.1629181738926828</v>
      </c>
      <c r="CU96" s="539">
        <f t="shared" si="435"/>
        <v>44.145159929149656</v>
      </c>
      <c r="CV96" s="19">
        <f t="shared" si="436"/>
        <v>0.43258363477853656</v>
      </c>
      <c r="CW96" s="10">
        <f t="shared" si="437"/>
        <v>2.1194690581995912E-2</v>
      </c>
      <c r="CX96" s="10">
        <f t="shared" si="438"/>
        <v>2.1841128644746788</v>
      </c>
      <c r="CY96" s="539">
        <f t="shared" si="439"/>
        <v>44.577743563928195</v>
      </c>
      <c r="CZ96" s="19">
        <f t="shared" si="440"/>
        <v>0.43682257289493576</v>
      </c>
      <c r="DA96" s="10">
        <f t="shared" si="441"/>
        <v>2.1402379857664661E-2</v>
      </c>
      <c r="DB96" s="10">
        <f t="shared" si="442"/>
        <v>2.2055152443323434</v>
      </c>
      <c r="DC96" s="539">
        <f t="shared" si="443"/>
        <v>45.014566136823127</v>
      </c>
      <c r="DD96" s="19">
        <f t="shared" si="444"/>
        <v>0.44110304886646867</v>
      </c>
      <c r="DE96" s="10">
        <f t="shared" si="445"/>
        <v>2.1612104305069508E-2</v>
      </c>
      <c r="DF96" s="10">
        <f t="shared" si="446"/>
        <v>2.227127348637413</v>
      </c>
      <c r="DG96" s="539">
        <f t="shared" si="447"/>
        <v>45.455669185689601</v>
      </c>
      <c r="DH96" s="19">
        <f t="shared" si="448"/>
        <v>0.44542546972748265</v>
      </c>
      <c r="DI96" s="10">
        <f t="shared" si="449"/>
        <v>2.182388386709861E-2</v>
      </c>
      <c r="DJ96" s="10">
        <f t="shared" si="450"/>
        <v>2.2489512325045116</v>
      </c>
      <c r="DK96" s="539">
        <f t="shared" si="451"/>
        <v>45.901094655417083</v>
      </c>
      <c r="DL96" s="19">
        <f t="shared" si="452"/>
        <v>0.44979024650090232</v>
      </c>
      <c r="DM96" s="10">
        <f t="shared" si="453"/>
        <v>2.2037738682062828E-2</v>
      </c>
      <c r="DN96" s="10">
        <f t="shared" si="454"/>
        <v>2.2709889711865743</v>
      </c>
      <c r="DO96" s="539">
        <f t="shared" si="455"/>
        <v>46.350884901917979</v>
      </c>
      <c r="DP96" s="19">
        <f t="shared" si="456"/>
        <v>0.45419779423731488</v>
      </c>
      <c r="DQ96" s="10">
        <f t="shared" si="457"/>
        <v>2.2253689085610723E-2</v>
      </c>
      <c r="DR96" s="10">
        <f t="shared" si="458"/>
        <v>2.2932426602721852</v>
      </c>
      <c r="DS96" s="539">
        <f t="shared" si="459"/>
        <v>46.805082696155303</v>
      </c>
      <c r="DT96" s="19">
        <f t="shared" si="460"/>
        <v>0.45864853205443706</v>
      </c>
      <c r="DU96" s="10">
        <f t="shared" si="461"/>
        <v>2.2471755612662278E-2</v>
      </c>
      <c r="DV96" s="10">
        <f t="shared" si="462"/>
        <v>2.3157144158848473</v>
      </c>
      <c r="DW96" s="539">
        <f t="shared" si="463"/>
        <v>47.263731228209735</v>
      </c>
      <c r="DX96" s="19">
        <f t="shared" si="464"/>
        <v>0.4631428831769695</v>
      </c>
      <c r="DY96" s="10">
        <f t="shared" si="465"/>
        <v>2.2691958999361564E-2</v>
      </c>
      <c r="DZ96" s="10">
        <f t="shared" si="466"/>
        <v>2.338406374884209</v>
      </c>
      <c r="EA96" s="539">
        <f t="shared" si="467"/>
        <v>47.726874111386707</v>
      </c>
      <c r="EB96" s="19">
        <f t="shared" si="468"/>
        <v>0.46768127497684181</v>
      </c>
      <c r="EC96" s="10">
        <f t="shared" si="469"/>
        <v>2.2914320185048593E-2</v>
      </c>
      <c r="ED96" s="10">
        <f t="shared" si="470"/>
        <v>2.3613206950692578</v>
      </c>
      <c r="EE96" s="539">
        <f t="shared" si="471"/>
        <v>48.194555386363554</v>
      </c>
      <c r="EF96" s="19">
        <f t="shared" si="472"/>
        <v>0.47226413901385156</v>
      </c>
      <c r="EG96" s="10">
        <f t="shared" si="473"/>
        <v>2.3138860314250442E-2</v>
      </c>
      <c r="EH96" s="10">
        <f t="shared" si="474"/>
        <v>2.3844595553835082</v>
      </c>
      <c r="EI96" s="539">
        <f t="shared" si="475"/>
        <v>48.666819525377399</v>
      </c>
      <c r="EJ96" s="19">
        <f t="shared" si="476"/>
        <v>0.47689191107670165</v>
      </c>
      <c r="EK96" s="10">
        <f t="shared" si="477"/>
        <v>2.33656007386919E-2</v>
      </c>
      <c r="EL96" s="10">
        <f t="shared" si="478"/>
        <v>2.4078251561221999</v>
      </c>
      <c r="EM96" s="539">
        <f t="shared" si="479"/>
        <v>49.143711436454105</v>
      </c>
      <c r="EN96" s="19">
        <f t="shared" si="480"/>
        <v>0.48156503122444</v>
      </c>
      <c r="EO96" s="10">
        <f t="shared" si="481"/>
        <v>2.3594563019325821E-2</v>
      </c>
      <c r="EP96" s="10">
        <f t="shared" si="482"/>
        <v>2.4314197191415259</v>
      </c>
      <c r="EQ96" s="539">
        <f t="shared" si="483"/>
        <v>49.625276467678546</v>
      </c>
      <c r="ER96" s="19">
        <f t="shared" si="484"/>
        <v>0.4862839438283052</v>
      </c>
      <c r="ES96" s="10">
        <f t="shared" si="485"/>
        <v>2.3825768928383399E-2</v>
      </c>
      <c r="ET96" s="10">
        <f t="shared" si="486"/>
        <v>2.4552454880699095</v>
      </c>
      <c r="EU96" s="539">
        <f t="shared" si="487"/>
        <v>50.111560411506851</v>
      </c>
      <c r="EV96" s="19">
        <f t="shared" si="488"/>
        <v>0.49104909761398191</v>
      </c>
      <c r="EW96" s="10">
        <f t="shared" si="489"/>
        <v>2.4059240451444485E-2</v>
      </c>
      <c r="EX96" s="10">
        <f t="shared" si="490"/>
        <v>2.4793047285213539</v>
      </c>
      <c r="EY96" s="539">
        <f t="shared" si="491"/>
        <v>50.602609509120832</v>
      </c>
      <c r="EZ96" s="19">
        <f t="shared" si="492"/>
        <v>0.49586094570427081</v>
      </c>
      <c r="FA96" s="10">
        <f t="shared" si="493"/>
        <v>2.4294999789528211E-2</v>
      </c>
      <c r="FB96" s="10">
        <f t="shared" si="494"/>
        <v>2.5035997283108822</v>
      </c>
      <c r="FC96" s="539">
        <f t="shared" si="495"/>
        <v>51.098470454825105</v>
      </c>
      <c r="FD96" s="19">
        <f t="shared" si="496"/>
        <v>0.50071994566217648</v>
      </c>
      <c r="FE96" s="10">
        <f t="shared" si="497"/>
        <v>2.4533069361204141E-2</v>
      </c>
      <c r="FF96" s="10">
        <f t="shared" si="498"/>
        <v>2.5281327976720864</v>
      </c>
      <c r="FG96" s="539">
        <f t="shared" si="499"/>
        <v>51.599190400487288</v>
      </c>
      <c r="FH96" s="19">
        <f t="shared" si="500"/>
        <v>0.50562655953441726</v>
      </c>
      <c r="FI96" s="10">
        <f t="shared" si="501"/>
        <v>2.4773471804724022E-2</v>
      </c>
      <c r="FJ96" s="10">
        <f t="shared" si="502"/>
        <v>2.5529062694768103</v>
      </c>
      <c r="FK96" s="539">
        <f t="shared" si="503"/>
        <v>52.104816960021701</v>
      </c>
      <c r="FL96" s="19">
        <f t="shared" si="504"/>
        <v>0.51058125389536213</v>
      </c>
      <c r="FM96" s="10">
        <f t="shared" si="505"/>
        <v>2.5016229980174529E-2</v>
      </c>
      <c r="FN96" s="10">
        <f t="shared" si="506"/>
        <v>2.5779224994569847</v>
      </c>
      <c r="FO96" s="539">
        <f t="shared" si="507"/>
        <v>52.615398213917061</v>
      </c>
      <c r="FP96" s="19">
        <f t="shared" si="508"/>
        <v>0.51558449989139699</v>
      </c>
      <c r="FQ96" s="10">
        <f t="shared" si="509"/>
        <v>2.5261366971651003E-2</v>
      </c>
      <c r="FR96" s="10">
        <f t="shared" si="510"/>
        <v>2.6031838664286355</v>
      </c>
      <c r="FS96" s="539">
        <f t="shared" si="511"/>
        <v>53.13098271380845</v>
      </c>
      <c r="FT96" s="19">
        <f t="shared" si="512"/>
        <v>0.52063677328572711</v>
      </c>
      <c r="FU96" s="10">
        <f t="shared" si="513"/>
        <v>2.5508906089452579E-2</v>
      </c>
      <c r="FV96" s="10">
        <f t="shared" si="514"/>
        <v>2.6286927725180882</v>
      </c>
      <c r="FW96" s="539">
        <f t="shared" si="515"/>
        <v>53.65161948709418</v>
      </c>
      <c r="FX96" s="19">
        <f t="shared" si="516"/>
        <v>0.52573855450361762</v>
      </c>
      <c r="FY96" s="10">
        <f t="shared" si="517"/>
        <v>2.5758870872298757E-2</v>
      </c>
      <c r="FZ96" s="10">
        <f t="shared" si="518"/>
        <v>2.6544516433903871</v>
      </c>
      <c r="GA96" s="539">
        <f t="shared" si="519"/>
        <v>54.177358041597799</v>
      </c>
      <c r="GB96" s="19">
        <f t="shared" si="520"/>
        <v>0.53089032867807739</v>
      </c>
      <c r="GC96" s="10">
        <f t="shared" si="521"/>
        <v>2.601128508956773E-2</v>
      </c>
      <c r="GD96" s="10">
        <f t="shared" si="522"/>
        <v>2.6804629284799546</v>
      </c>
      <c r="GE96" s="539">
        <f t="shared" si="523"/>
        <v>54.708248370275875</v>
      </c>
      <c r="GF96" s="19">
        <f t="shared" si="524"/>
        <v>0.53609258569599094</v>
      </c>
      <c r="GG96" s="10">
        <f t="shared" si="525"/>
        <v>2.6266172743556637E-2</v>
      </c>
      <c r="GH96" s="10">
        <f t="shared" si="526"/>
        <v>2.7067291012235111</v>
      </c>
      <c r="GI96" s="539">
        <f t="shared" si="527"/>
        <v>55.244340955971865</v>
      </c>
      <c r="GJ96" s="19">
        <f t="shared" si="528"/>
        <v>0.54134582024470224</v>
      </c>
      <c r="GK96" s="10">
        <f t="shared" si="529"/>
        <v>2.6523558071763952E-2</v>
      </c>
      <c r="GL96" s="10">
        <f t="shared" si="530"/>
        <v>2.7332526592952751</v>
      </c>
      <c r="GM96" s="539">
        <f t="shared" si="531"/>
        <v>55.785686776216565</v>
      </c>
      <c r="GN96" s="19">
        <f t="shared" si="532"/>
        <v>0.54665053185905499</v>
      </c>
      <c r="GO96" s="10">
        <f t="shared" si="533"/>
        <v>2.6783465549194266E-2</v>
      </c>
      <c r="GP96" s="10">
        <f t="shared" si="534"/>
        <v>2.7600361248444694</v>
      </c>
      <c r="GQ96" s="539">
        <f t="shared" si="535"/>
        <v>56.332337308075623</v>
      </c>
      <c r="GR96" s="19">
        <f t="shared" si="536"/>
        <v>0.55200722496889387</v>
      </c>
      <c r="GS96" s="10">
        <f t="shared" si="537"/>
        <v>2.7045919890685638E-2</v>
      </c>
      <c r="GT96" s="10">
        <f t="shared" si="538"/>
        <v>2.787082044735155</v>
      </c>
      <c r="GU96" s="539">
        <f t="shared" si="539"/>
        <v>56.884344533044512</v>
      </c>
      <c r="GV96" s="19">
        <f t="shared" si="540"/>
        <v>0.55741640894703104</v>
      </c>
      <c r="GW96" s="10">
        <f t="shared" si="541"/>
        <v>2.7310946053259726E-2</v>
      </c>
      <c r="GX96" s="10">
        <f t="shared" si="542"/>
        <v>2.8143929907884147</v>
      </c>
      <c r="GY96" s="539">
        <f t="shared" si="543"/>
        <v>57.441760941991546</v>
      </c>
      <c r="GZ96" s="19">
        <f t="shared" si="544"/>
        <v>0.56287859815768293</v>
      </c>
      <c r="HA96" s="10">
        <f t="shared" si="545"/>
        <v>2.7578569238494999E-2</v>
      </c>
      <c r="HB96" s="10">
        <f t="shared" si="546"/>
        <v>2.8419715600269098</v>
      </c>
      <c r="HC96" s="539">
        <f t="shared" si="547"/>
        <v>58.004639540149228</v>
      </c>
      <c r="HD96" s="19">
        <f t="shared" si="548"/>
        <v>0.56839431200538193</v>
      </c>
      <c r="HE96" s="10">
        <f t="shared" si="549"/>
        <v>2.784881489492317E-2</v>
      </c>
      <c r="HF96" s="10">
        <f t="shared" si="550"/>
        <v>2.869820374921833</v>
      </c>
      <c r="HG96" s="539">
        <f t="shared" si="551"/>
        <v>58.573033852154609</v>
      </c>
      <c r="HH96" s="19">
        <f t="shared" si="552"/>
        <v>0.57396407498436663</v>
      </c>
      <c r="HI96" s="10">
        <f t="shared" si="553"/>
        <v>2.8121708720449126E-2</v>
      </c>
      <c r="HJ96" s="10">
        <f t="shared" si="554"/>
        <v>2.897942083642282</v>
      </c>
      <c r="HK96" s="539">
        <f t="shared" si="555"/>
        <v>59.146997927138976</v>
      </c>
      <c r="HL96" s="19">
        <f t="shared" si="556"/>
        <v>0.5795884167284564</v>
      </c>
      <c r="HM96" s="10">
        <f t="shared" si="557"/>
        <v>2.8397276664794531E-2</v>
      </c>
      <c r="HN96" s="10">
        <f t="shared" si="558"/>
        <v>2.9263393603070766</v>
      </c>
      <c r="HO96" s="539">
        <f t="shared" si="559"/>
        <v>59.726586343867432</v>
      </c>
      <c r="HP96" s="19">
        <f t="shared" si="560"/>
        <v>0.5852678720614154</v>
      </c>
      <c r="HQ96" s="10">
        <f t="shared" si="561"/>
        <v>2.8675544931965478E-2</v>
      </c>
      <c r="HR96" s="10">
        <f t="shared" si="562"/>
        <v>2.9550149052390422</v>
      </c>
      <c r="HS96" s="539">
        <f t="shared" si="563"/>
        <v>60.311854215928854</v>
      </c>
      <c r="HT96" s="19">
        <f t="shared" si="564"/>
        <v>0.59100298104780846</v>
      </c>
      <c r="HU96" s="10">
        <f t="shared" si="565"/>
        <v>2.8956539982744167E-2</v>
      </c>
      <c r="HV96" s="10">
        <f t="shared" si="566"/>
        <v>2.9839714452217865</v>
      </c>
      <c r="HW96" s="539">
        <f t="shared" si="567"/>
        <v>60.902857196976662</v>
      </c>
      <c r="HX96" s="19">
        <f t="shared" si="568"/>
        <v>0.59679428904435727</v>
      </c>
      <c r="HY96" s="10">
        <f t="shared" si="569"/>
        <v>2.9240288537205159E-2</v>
      </c>
      <c r="HZ96" s="10">
        <f t="shared" si="570"/>
        <v>3.0132117337589914</v>
      </c>
      <c r="IA96" s="539">
        <f t="shared" si="571"/>
        <v>61.499651486021016</v>
      </c>
      <c r="IB96" s="19">
        <f t="shared" si="572"/>
        <v>0.60264234675179829</v>
      </c>
      <c r="IM96" s="11"/>
      <c r="IN96" s="19"/>
      <c r="IO96" s="20"/>
      <c r="IP96" s="10"/>
    </row>
    <row r="97" spans="1:261">
      <c r="A97" s="11"/>
      <c r="B97" s="20"/>
      <c r="C97" s="826" t="s">
        <v>2347</v>
      </c>
      <c r="D97" s="47" t="s">
        <v>2158</v>
      </c>
      <c r="E97" s="396">
        <f t="shared" ref="E97" si="672">F97+O97</f>
        <v>28.042000000000002</v>
      </c>
      <c r="F97" s="242">
        <v>4.0419999999999998</v>
      </c>
      <c r="G97" s="48">
        <f>'Update Stock Prices'!S97</f>
        <v>188922610.01517451</v>
      </c>
      <c r="H97" s="991">
        <f t="shared" ref="H97" si="673">F97/G97</f>
        <v>2.1395004016064256E-8</v>
      </c>
      <c r="I97" s="49">
        <f>'Update Stock Prices'!D97</f>
        <v>13.18</v>
      </c>
      <c r="J97" s="49">
        <f t="shared" si="404"/>
        <v>53.273559999999996</v>
      </c>
      <c r="K97" s="30">
        <v>66.27</v>
      </c>
      <c r="L97" s="49">
        <f t="shared" ref="L97" si="674">J97-K97</f>
        <v>-12.99644</v>
      </c>
      <c r="M97" s="50">
        <f t="shared" ref="M97" si="675">L97/K97</f>
        <v>-0.19611347517730499</v>
      </c>
      <c r="N97" s="49">
        <f t="shared" ref="N97" si="676">K97/F97</f>
        <v>16.395348837209301</v>
      </c>
      <c r="O97" s="48">
        <f t="shared" ref="O97" si="677">IF(INT(($B$11-$B$12)/I97)&lt;0,0,INT(($B$11-$B$12)/I97))</f>
        <v>24</v>
      </c>
      <c r="P97" s="49">
        <f t="shared" ref="P97" si="678">IF(($B$11-$B$12)-(O97*I97)&lt;0,0,($B$11-$B$12)-(O97*I97))</f>
        <v>4.6899999999999977</v>
      </c>
      <c r="Q97" s="30">
        <f>0.1875*4</f>
        <v>0.75</v>
      </c>
      <c r="R97" s="49">
        <f t="shared" ref="R97" si="679">S97/365.25</f>
        <v>8.2997946611909641E-3</v>
      </c>
      <c r="S97" s="49">
        <f t="shared" ref="S97" si="680">F97*Q97</f>
        <v>3.0314999999999999</v>
      </c>
      <c r="T97" s="49">
        <f t="shared" ref="T97" si="681">S97/12</f>
        <v>0.25262499999999999</v>
      </c>
      <c r="U97" s="49" t="s">
        <v>54</v>
      </c>
      <c r="V97" s="50">
        <f t="shared" ref="V97" si="682">Q97/I97</f>
        <v>5.6904400606980272E-2</v>
      </c>
      <c r="W97" s="50">
        <f t="shared" ref="W97" si="683">S97/K97</f>
        <v>4.5744680851063833E-2</v>
      </c>
      <c r="X97" s="49">
        <f t="shared" ref="X97" si="684">12*((E97*Q97)/12-T97)</f>
        <v>18</v>
      </c>
      <c r="Y97" s="49">
        <f t="shared" ref="Y97" si="685">IF(U97="Q",3*T97,IF(U97="Y",12*T97,IF(U97="B",6*T97,IF(U97="M",T97,0))))</f>
        <v>0.75787499999999997</v>
      </c>
      <c r="Z97" s="860">
        <f t="shared" ref="Z97" si="686">IF(Y97/I97&gt;1,1,0)</f>
        <v>0</v>
      </c>
      <c r="AA97" s="860">
        <f t="shared" ref="AA97" si="687">IF(Z97=1,"",IF(AND(U97&lt;&gt;"",Z97=0),I97/(Y97/F97)-F97,""))</f>
        <v>66.251333333333335</v>
      </c>
      <c r="AB97" s="49">
        <f t="shared" ref="AB97" si="688">IF(AA97&lt;&gt;"",AA97*I97,"")</f>
        <v>873.19257333333337</v>
      </c>
      <c r="AC97" s="48">
        <v>1</v>
      </c>
      <c r="AD97" s="47" t="str">
        <f t="shared" ref="AD97" si="689">D97</f>
        <v>PBI</v>
      </c>
      <c r="AE97" s="49">
        <f t="shared" ref="AE97" si="690">J97</f>
        <v>53.273559999999996</v>
      </c>
      <c r="AF97" s="50" t="e">
        <f t="shared" si="405"/>
        <v>#REF!</v>
      </c>
      <c r="AG97" s="890" t="e">
        <f t="shared" si="599"/>
        <v>#REF!</v>
      </c>
      <c r="AH97" s="207" t="s">
        <v>2161</v>
      </c>
      <c r="AI97" s="240">
        <f t="shared" si="406"/>
        <v>6.4427572924996516E-3</v>
      </c>
      <c r="AJ97" s="11">
        <f t="shared" si="595"/>
        <v>3</v>
      </c>
      <c r="AK97" s="11"/>
      <c r="AL97" s="11"/>
      <c r="AM97" s="11"/>
      <c r="AN97" s="11"/>
      <c r="AO97" s="11"/>
      <c r="AP97" s="11"/>
      <c r="AQ97" s="11" t="str">
        <f>'Update Stock Prices'!Q97</f>
        <v>mid</v>
      </c>
      <c r="AR97" s="11"/>
      <c r="AS97" s="11"/>
      <c r="AT97" s="420" t="s">
        <v>2640</v>
      </c>
      <c r="AU97" s="224" t="s">
        <v>116</v>
      </c>
      <c r="AV97" s="30">
        <v>19142.810000000001</v>
      </c>
      <c r="AW97" s="420" t="str">
        <f t="shared" si="667"/>
        <v/>
      </c>
      <c r="AX97" s="30">
        <v>32499.639999999996</v>
      </c>
      <c r="AY97" s="236" t="str">
        <f t="shared" si="668"/>
        <v/>
      </c>
      <c r="AZ97" s="19">
        <f t="shared" si="669"/>
        <v>13356.829999999994</v>
      </c>
      <c r="BA97" s="15">
        <f t="shared" si="670"/>
        <v>0</v>
      </c>
      <c r="BB97" s="730">
        <f t="shared" si="671"/>
        <v>0.6977465690773712</v>
      </c>
      <c r="BC97" s="800" t="str">
        <f>IF(AND(BA97&gt;0,BB97&gt;0),"Between",IF(BA97&lt;0.001,"At high","At low"))</f>
        <v>At high</v>
      </c>
      <c r="BD97" s="749">
        <f>COUNTIF($BC$96:$BC$105,"=At high")/COUNTA($BC$96:$BC$105)</f>
        <v>0.3</v>
      </c>
      <c r="BE97" s="749">
        <f ca="1">COUNTIF($BC$96:$BC$109,"=At high")/COUNTA($BC$96:$BC$109)</f>
        <v>0.21428571428571427</v>
      </c>
      <c r="BF97" s="74"/>
      <c r="BS97" s="420" t="str">
        <f t="shared" si="407"/>
        <v>PBI</v>
      </c>
      <c r="BT97" s="425">
        <f t="shared" si="408"/>
        <v>4.0419999999999998</v>
      </c>
      <c r="BU97" s="19">
        <f t="shared" si="409"/>
        <v>13.18</v>
      </c>
      <c r="BV97" s="19">
        <f t="shared" si="410"/>
        <v>53.273559999999996</v>
      </c>
      <c r="BW97" s="539">
        <f t="shared" si="411"/>
        <v>0.75</v>
      </c>
      <c r="BX97" s="19">
        <f t="shared" si="412"/>
        <v>3.0314999999999999</v>
      </c>
      <c r="BY97" s="10">
        <f t="shared" si="413"/>
        <v>0.23000758725341425</v>
      </c>
      <c r="BZ97" s="10">
        <f t="shared" si="414"/>
        <v>4.2720075872534142</v>
      </c>
      <c r="CA97" s="539">
        <f t="shared" si="415"/>
        <v>56.305059999999997</v>
      </c>
      <c r="CB97" s="19">
        <f t="shared" si="416"/>
        <v>3.2040056904400607</v>
      </c>
      <c r="CC97" s="10">
        <f t="shared" si="417"/>
        <v>0.24309603114112752</v>
      </c>
      <c r="CD97" s="10">
        <f t="shared" si="418"/>
        <v>4.5151036183945417</v>
      </c>
      <c r="CE97" s="539">
        <f t="shared" si="419"/>
        <v>59.50906569044006</v>
      </c>
      <c r="CF97" s="19">
        <f t="shared" si="420"/>
        <v>3.3863277137959065</v>
      </c>
      <c r="CG97" s="10">
        <f t="shared" si="421"/>
        <v>0.25692926508314923</v>
      </c>
      <c r="CH97" s="10">
        <f t="shared" si="422"/>
        <v>4.7720328834776913</v>
      </c>
      <c r="CI97" s="539">
        <f t="shared" si="423"/>
        <v>62.895393404235968</v>
      </c>
      <c r="CJ97" s="19">
        <f t="shared" si="424"/>
        <v>3.5790246626082682</v>
      </c>
      <c r="CK97" s="10">
        <f t="shared" si="425"/>
        <v>0.27154967091109777</v>
      </c>
      <c r="CL97" s="10">
        <f t="shared" si="426"/>
        <v>5.0435825543887889</v>
      </c>
      <c r="CM97" s="539">
        <f t="shared" si="427"/>
        <v>66.474418066844237</v>
      </c>
      <c r="CN97" s="19">
        <f t="shared" si="428"/>
        <v>3.7826869157915919</v>
      </c>
      <c r="CO97" s="10">
        <f t="shared" si="429"/>
        <v>0.28700204216931652</v>
      </c>
      <c r="CP97" s="10">
        <f t="shared" si="430"/>
        <v>5.3305845965581051</v>
      </c>
      <c r="CQ97" s="539">
        <f t="shared" si="431"/>
        <v>70.257104982635823</v>
      </c>
      <c r="CR97" s="19">
        <f t="shared" si="432"/>
        <v>3.9979384474185791</v>
      </c>
      <c r="CS97" s="10">
        <f t="shared" si="433"/>
        <v>0.30333372135194075</v>
      </c>
      <c r="CT97" s="10">
        <f t="shared" si="434"/>
        <v>5.6339183179100463</v>
      </c>
      <c r="CU97" s="539">
        <f t="shared" si="435"/>
        <v>74.255043430054414</v>
      </c>
      <c r="CV97" s="19">
        <f t="shared" si="436"/>
        <v>4.2254387384325351</v>
      </c>
      <c r="CW97" s="10">
        <f t="shared" si="437"/>
        <v>0.32059474494935775</v>
      </c>
      <c r="CX97" s="10">
        <f t="shared" si="438"/>
        <v>5.9545130628594043</v>
      </c>
      <c r="CY97" s="539">
        <f t="shared" si="439"/>
        <v>78.480482168486944</v>
      </c>
      <c r="CZ97" s="19">
        <f t="shared" si="440"/>
        <v>4.465884797144553</v>
      </c>
      <c r="DA97" s="10">
        <f t="shared" si="441"/>
        <v>0.33883799674844867</v>
      </c>
      <c r="DB97" s="10">
        <f t="shared" si="442"/>
        <v>6.2933510596078532</v>
      </c>
      <c r="DC97" s="539">
        <f t="shared" si="443"/>
        <v>82.946366965631498</v>
      </c>
      <c r="DD97" s="19">
        <f t="shared" si="444"/>
        <v>4.7200132947058897</v>
      </c>
      <c r="DE97" s="10">
        <f t="shared" si="445"/>
        <v>0.35811936985628906</v>
      </c>
      <c r="DF97" s="10">
        <f t="shared" si="446"/>
        <v>6.6514704294641422</v>
      </c>
      <c r="DG97" s="539">
        <f t="shared" si="447"/>
        <v>87.666380260337391</v>
      </c>
      <c r="DH97" s="19">
        <f t="shared" si="448"/>
        <v>4.9886028220981071</v>
      </c>
      <c r="DI97" s="10">
        <f t="shared" si="449"/>
        <v>0.37849793794371073</v>
      </c>
      <c r="DJ97" s="10">
        <f t="shared" si="450"/>
        <v>7.0299683674078528</v>
      </c>
      <c r="DK97" s="539">
        <f t="shared" si="451"/>
        <v>92.654983082435493</v>
      </c>
      <c r="DL97" s="19">
        <f t="shared" si="452"/>
        <v>5.2724762755558894</v>
      </c>
      <c r="DM97" s="10">
        <f t="shared" si="453"/>
        <v>0.40003613623337553</v>
      </c>
      <c r="DN97" s="10">
        <f t="shared" si="454"/>
        <v>7.4300045036412286</v>
      </c>
      <c r="DO97" s="539">
        <f t="shared" si="455"/>
        <v>97.927459357991395</v>
      </c>
      <c r="DP97" s="19">
        <f t="shared" si="456"/>
        <v>5.5725033777309214</v>
      </c>
      <c r="DQ97" s="10">
        <f t="shared" si="457"/>
        <v>0.42279995278686811</v>
      </c>
      <c r="DR97" s="10">
        <f t="shared" si="458"/>
        <v>7.852804456428097</v>
      </c>
      <c r="DS97" s="539">
        <f t="shared" si="459"/>
        <v>103.49996273572232</v>
      </c>
      <c r="DT97" s="19">
        <f t="shared" si="460"/>
        <v>5.889603342321073</v>
      </c>
      <c r="DU97" s="10">
        <f t="shared" si="461"/>
        <v>0.44685913067686445</v>
      </c>
      <c r="DV97" s="10">
        <f t="shared" si="462"/>
        <v>8.2996635871049609</v>
      </c>
      <c r="DW97" s="539">
        <f t="shared" si="463"/>
        <v>109.38956607804339</v>
      </c>
      <c r="DX97" s="19">
        <f t="shared" si="464"/>
        <v>6.2247476903287211</v>
      </c>
      <c r="DY97" s="10">
        <f t="shared" si="465"/>
        <v>0.47228738166378764</v>
      </c>
      <c r="DZ97" s="10">
        <f t="shared" si="466"/>
        <v>8.7719509687687491</v>
      </c>
      <c r="EA97" s="539">
        <f t="shared" si="467"/>
        <v>115.61431376837211</v>
      </c>
      <c r="EB97" s="19">
        <f t="shared" si="468"/>
        <v>6.5789632265765619</v>
      </c>
      <c r="EC97" s="10">
        <f t="shared" si="469"/>
        <v>0.49916261203160561</v>
      </c>
      <c r="ED97" s="10">
        <f t="shared" si="470"/>
        <v>9.2711135808003551</v>
      </c>
      <c r="EE97" s="539">
        <f t="shared" si="471"/>
        <v>122.19327699494868</v>
      </c>
      <c r="EF97" s="19">
        <f t="shared" si="472"/>
        <v>6.9533351856002668</v>
      </c>
      <c r="EG97" s="10">
        <f t="shared" si="473"/>
        <v>0.52756716127467884</v>
      </c>
      <c r="EH97" s="10">
        <f t="shared" si="474"/>
        <v>9.7986807420750335</v>
      </c>
      <c r="EI97" s="539">
        <f t="shared" si="475"/>
        <v>129.14661218054894</v>
      </c>
      <c r="EJ97" s="19">
        <f t="shared" si="476"/>
        <v>7.3490105565562747</v>
      </c>
      <c r="EK97" s="10">
        <f t="shared" si="477"/>
        <v>0.55758805436694048</v>
      </c>
      <c r="EL97" s="10">
        <f t="shared" si="478"/>
        <v>10.356268796441974</v>
      </c>
      <c r="EM97" s="539">
        <f t="shared" si="479"/>
        <v>136.49562273710521</v>
      </c>
      <c r="EN97" s="19">
        <f t="shared" si="480"/>
        <v>7.7672015973314803</v>
      </c>
      <c r="EO97" s="10">
        <f t="shared" si="481"/>
        <v>0.58931726838630349</v>
      </c>
      <c r="EP97" s="10">
        <f t="shared" si="482"/>
        <v>10.945586064828277</v>
      </c>
      <c r="EQ97" s="539">
        <f t="shared" si="483"/>
        <v>144.26282433443669</v>
      </c>
      <c r="ER97" s="19">
        <f t="shared" si="484"/>
        <v>8.2091895486212074</v>
      </c>
      <c r="ES97" s="10">
        <f t="shared" si="485"/>
        <v>0.62285201431116899</v>
      </c>
      <c r="ET97" s="10">
        <f t="shared" si="486"/>
        <v>11.568438079139446</v>
      </c>
      <c r="EU97" s="539">
        <f t="shared" si="487"/>
        <v>152.47201388305788</v>
      </c>
      <c r="EV97" s="19">
        <f t="shared" si="488"/>
        <v>8.6763285593545838</v>
      </c>
      <c r="EW97" s="10">
        <f t="shared" si="489"/>
        <v>0.65829503485239638</v>
      </c>
      <c r="EX97" s="10">
        <f t="shared" si="490"/>
        <v>12.226733113991841</v>
      </c>
      <c r="EY97" s="539">
        <f t="shared" si="491"/>
        <v>161.14834244241246</v>
      </c>
      <c r="EZ97" s="19">
        <f t="shared" si="492"/>
        <v>9.1700498354938809</v>
      </c>
      <c r="FA97" s="10">
        <f t="shared" si="493"/>
        <v>0.69575491923322319</v>
      </c>
      <c r="FB97" s="10">
        <f t="shared" si="494"/>
        <v>12.922488033225065</v>
      </c>
      <c r="FC97" s="539">
        <f t="shared" si="495"/>
        <v>170.31839227790636</v>
      </c>
      <c r="FD97" s="19">
        <f t="shared" si="496"/>
        <v>9.6918660249187987</v>
      </c>
      <c r="FE97" s="10">
        <f t="shared" si="497"/>
        <v>0.73534643588154769</v>
      </c>
      <c r="FF97" s="10">
        <f t="shared" si="498"/>
        <v>13.657834469106612</v>
      </c>
      <c r="FG97" s="539">
        <f t="shared" si="499"/>
        <v>180.01025830282515</v>
      </c>
      <c r="FH97" s="19">
        <f t="shared" si="500"/>
        <v>10.24337585182996</v>
      </c>
      <c r="FI97" s="10">
        <f t="shared" si="501"/>
        <v>0.77719088405386649</v>
      </c>
      <c r="FJ97" s="10">
        <f t="shared" si="502"/>
        <v>14.435025353160478</v>
      </c>
      <c r="FK97" s="539">
        <f t="shared" si="503"/>
        <v>190.25363415465509</v>
      </c>
      <c r="FL97" s="19">
        <f t="shared" si="504"/>
        <v>10.826269014870359</v>
      </c>
      <c r="FM97" s="10">
        <f t="shared" si="505"/>
        <v>0.82141646546816083</v>
      </c>
      <c r="FN97" s="10">
        <f t="shared" si="506"/>
        <v>15.256441818628639</v>
      </c>
      <c r="FO97" s="539">
        <f t="shared" si="507"/>
        <v>201.07990316952547</v>
      </c>
      <c r="FP97" s="19">
        <f t="shared" si="508"/>
        <v>11.44233136397148</v>
      </c>
      <c r="FQ97" s="10">
        <f t="shared" si="509"/>
        <v>0.86815867708433081</v>
      </c>
      <c r="FR97" s="10">
        <f t="shared" si="510"/>
        <v>16.124600495712968</v>
      </c>
      <c r="FS97" s="539">
        <f t="shared" si="511"/>
        <v>212.52223453349691</v>
      </c>
      <c r="FT97" s="19">
        <f t="shared" si="512"/>
        <v>12.093450371784726</v>
      </c>
      <c r="FU97" s="10">
        <f t="shared" si="513"/>
        <v>0.91756072623556351</v>
      </c>
      <c r="FV97" s="10">
        <f t="shared" si="514"/>
        <v>17.042161221948533</v>
      </c>
      <c r="FW97" s="539">
        <f t="shared" si="515"/>
        <v>224.61568490528165</v>
      </c>
      <c r="FX97" s="19">
        <f t="shared" si="516"/>
        <v>12.781620916461399</v>
      </c>
      <c r="FY97" s="10">
        <f t="shared" si="517"/>
        <v>0.96977396938250382</v>
      </c>
      <c r="FZ97" s="10">
        <f t="shared" si="518"/>
        <v>18.011935191331037</v>
      </c>
      <c r="GA97" s="539">
        <f t="shared" si="519"/>
        <v>237.39730582174306</v>
      </c>
      <c r="GB97" s="19">
        <f t="shared" si="520"/>
        <v>13.508951393498279</v>
      </c>
      <c r="GC97" s="10">
        <f t="shared" si="521"/>
        <v>1.0249583758344674</v>
      </c>
      <c r="GD97" s="10">
        <f t="shared" si="522"/>
        <v>19.036893567165507</v>
      </c>
      <c r="GE97" s="539">
        <f t="shared" si="523"/>
        <v>250.90625721524137</v>
      </c>
      <c r="GF97" s="19">
        <f t="shared" si="524"/>
        <v>14.27767017537413</v>
      </c>
      <c r="GG97" s="10">
        <f t="shared" si="525"/>
        <v>1.0832830178584318</v>
      </c>
      <c r="GH97" s="10">
        <f t="shared" si="526"/>
        <v>20.120176585023938</v>
      </c>
      <c r="GI97" s="539">
        <f t="shared" si="527"/>
        <v>265.18392739061551</v>
      </c>
      <c r="GJ97" s="19">
        <f t="shared" si="528"/>
        <v>15.090132438767952</v>
      </c>
      <c r="GK97" s="10">
        <f t="shared" si="529"/>
        <v>1.1449265886773863</v>
      </c>
      <c r="GL97" s="10">
        <f t="shared" si="530"/>
        <v>21.265103173701323</v>
      </c>
      <c r="GM97" s="539">
        <f t="shared" si="531"/>
        <v>280.27405982938342</v>
      </c>
      <c r="GN97" s="19">
        <f t="shared" si="532"/>
        <v>15.948827380275993</v>
      </c>
      <c r="GO97" s="10">
        <f t="shared" si="533"/>
        <v>1.2100779499450678</v>
      </c>
      <c r="GP97" s="10">
        <f t="shared" si="534"/>
        <v>22.47518112364639</v>
      </c>
      <c r="GQ97" s="539">
        <f t="shared" si="535"/>
        <v>296.2228872096594</v>
      </c>
      <c r="GR97" s="19">
        <f t="shared" si="536"/>
        <v>16.856385842734792</v>
      </c>
      <c r="GS97" s="10">
        <f t="shared" si="537"/>
        <v>1.2789367103744151</v>
      </c>
      <c r="GT97" s="10">
        <f t="shared" si="538"/>
        <v>23.754117834020803</v>
      </c>
      <c r="GU97" s="539">
        <f t="shared" si="539"/>
        <v>313.07927305239417</v>
      </c>
      <c r="GV97" s="19">
        <f t="shared" si="540"/>
        <v>17.815588375515603</v>
      </c>
      <c r="GW97" s="10">
        <f t="shared" si="541"/>
        <v>1.3517138372925344</v>
      </c>
      <c r="GX97" s="10">
        <f t="shared" si="542"/>
        <v>25.105831671313339</v>
      </c>
      <c r="GY97" s="539">
        <f t="shared" si="543"/>
        <v>330.8948614279098</v>
      </c>
      <c r="GZ97" s="19">
        <f t="shared" si="544"/>
        <v>18.829373753485005</v>
      </c>
      <c r="HA97" s="10">
        <f t="shared" si="545"/>
        <v>1.4286323029958274</v>
      </c>
      <c r="HB97" s="10">
        <f t="shared" si="546"/>
        <v>26.534463974309165</v>
      </c>
      <c r="HC97" s="539">
        <f t="shared" si="547"/>
        <v>349.72423518139482</v>
      </c>
      <c r="HD97" s="19">
        <f t="shared" si="548"/>
        <v>19.900847980731875</v>
      </c>
      <c r="HE97" s="10">
        <f t="shared" si="549"/>
        <v>1.5099277678855747</v>
      </c>
      <c r="HF97" s="10">
        <f t="shared" si="550"/>
        <v>28.04439174219474</v>
      </c>
      <c r="HG97" s="539">
        <f t="shared" si="551"/>
        <v>369.62508316212666</v>
      </c>
      <c r="HH97" s="19">
        <f t="shared" si="552"/>
        <v>21.033293806646057</v>
      </c>
      <c r="HI97" s="10">
        <f t="shared" si="553"/>
        <v>1.5958493024769391</v>
      </c>
      <c r="HJ97" s="10">
        <f t="shared" si="554"/>
        <v>29.640241044671679</v>
      </c>
      <c r="HK97" s="539">
        <f t="shared" si="555"/>
        <v>390.6583769687727</v>
      </c>
      <c r="HL97" s="19">
        <f t="shared" si="556"/>
        <v>22.230180783503759</v>
      </c>
      <c r="HM97" s="10">
        <f t="shared" si="557"/>
        <v>1.6866601504934566</v>
      </c>
      <c r="HN97" s="10">
        <f t="shared" si="558"/>
        <v>31.326901195165135</v>
      </c>
      <c r="HO97" s="539">
        <f t="shared" si="559"/>
        <v>412.88855775227648</v>
      </c>
      <c r="HP97" s="19">
        <f t="shared" si="560"/>
        <v>23.495175896373851</v>
      </c>
      <c r="HQ97" s="10">
        <f t="shared" si="561"/>
        <v>1.7826385353849661</v>
      </c>
      <c r="HR97" s="10">
        <f t="shared" si="562"/>
        <v>33.109539730550104</v>
      </c>
      <c r="HS97" s="539">
        <f t="shared" si="563"/>
        <v>436.38373364865038</v>
      </c>
      <c r="HT97" s="19">
        <f t="shared" si="564"/>
        <v>24.83215479791258</v>
      </c>
      <c r="HU97" s="10">
        <f t="shared" si="565"/>
        <v>1.8840785127399531</v>
      </c>
      <c r="HV97" s="10">
        <f t="shared" si="566"/>
        <v>34.993618243290058</v>
      </c>
      <c r="HW97" s="539">
        <f t="shared" si="567"/>
        <v>461.21588844656293</v>
      </c>
      <c r="HX97" s="19">
        <f t="shared" si="568"/>
        <v>26.245213682467543</v>
      </c>
      <c r="HY97" s="10">
        <f t="shared" si="569"/>
        <v>1.9912908712039108</v>
      </c>
      <c r="HZ97" s="10">
        <f t="shared" si="570"/>
        <v>36.984909114493966</v>
      </c>
      <c r="IA97" s="539">
        <f t="shared" si="571"/>
        <v>487.46110212903045</v>
      </c>
      <c r="IB97" s="19">
        <f t="shared" si="572"/>
        <v>27.738681835870473</v>
      </c>
      <c r="IM97" s="11"/>
      <c r="IN97" s="19"/>
      <c r="IO97" s="20"/>
      <c r="IP97" s="10"/>
    </row>
    <row r="98" spans="1:261">
      <c r="A98" s="11"/>
      <c r="B98" s="20"/>
      <c r="C98" s="826" t="s">
        <v>2348</v>
      </c>
      <c r="D98" s="47" t="s">
        <v>1152</v>
      </c>
      <c r="E98" s="396">
        <f t="shared" si="600"/>
        <v>4.0364000000000004</v>
      </c>
      <c r="F98" s="242">
        <v>1.0364</v>
      </c>
      <c r="G98" s="48">
        <f>'Update Stock Prices'!S98</f>
        <v>1449053372.6572163</v>
      </c>
      <c r="H98" s="991">
        <f t="shared" si="610"/>
        <v>7.1522555314818463E-10</v>
      </c>
      <c r="I98" s="49">
        <f>'Update Stock Prices'!D98</f>
        <v>105.11</v>
      </c>
      <c r="J98" s="49">
        <f t="shared" si="404"/>
        <v>108.936004</v>
      </c>
      <c r="K98" s="30">
        <v>99.97</v>
      </c>
      <c r="L98" s="49">
        <f t="shared" si="611"/>
        <v>8.9660039999999981</v>
      </c>
      <c r="M98" s="50">
        <f t="shared" si="613"/>
        <v>8.9686946083825131E-2</v>
      </c>
      <c r="N98" s="49">
        <f t="shared" si="612"/>
        <v>96.458896179081435</v>
      </c>
      <c r="O98" s="48">
        <f t="shared" si="601"/>
        <v>3</v>
      </c>
      <c r="P98" s="49">
        <f t="shared" si="602"/>
        <v>5.6800000000000068</v>
      </c>
      <c r="Q98" s="30">
        <f>0.7525*4</f>
        <v>3.01</v>
      </c>
      <c r="R98" s="49">
        <f t="shared" si="665"/>
        <v>8.5409007529089649E-3</v>
      </c>
      <c r="S98" s="49">
        <f t="shared" si="603"/>
        <v>3.1195639999999996</v>
      </c>
      <c r="T98" s="49">
        <f t="shared" si="666"/>
        <v>0.25996366666666665</v>
      </c>
      <c r="U98" s="49" t="s">
        <v>54</v>
      </c>
      <c r="V98" s="50">
        <f t="shared" si="604"/>
        <v>2.8636666349538577E-2</v>
      </c>
      <c r="W98" s="50">
        <f t="shared" si="575"/>
        <v>3.1205001500450132E-2</v>
      </c>
      <c r="X98" s="49">
        <f t="shared" si="618"/>
        <v>9.0299999999999994</v>
      </c>
      <c r="Y98" s="49">
        <f t="shared" ref="Y98" si="691">IF(U98="Q",3*T98,IF(U98="Y",12*T98,IF(U98="B",6*T98,IF(U98="M",T98,0))))</f>
        <v>0.77989099999999989</v>
      </c>
      <c r="Z98" s="860">
        <f t="shared" si="605"/>
        <v>0</v>
      </c>
      <c r="AA98" s="860">
        <f t="shared" si="606"/>
        <v>138.64466312292362</v>
      </c>
      <c r="AB98" s="49">
        <f t="shared" si="607"/>
        <v>14572.940540850501</v>
      </c>
      <c r="AC98" s="48">
        <v>1</v>
      </c>
      <c r="AD98" s="47" t="str">
        <f t="shared" si="608"/>
        <v>PEP</v>
      </c>
      <c r="AE98" s="49">
        <f t="shared" si="609"/>
        <v>108.936004</v>
      </c>
      <c r="AF98" s="50" t="e">
        <f t="shared" ref="AF98:AF131" si="692">(AE98/$AE$191)</f>
        <v>#REF!</v>
      </c>
      <c r="AG98" s="890" t="e">
        <f t="shared" si="599"/>
        <v>#REF!</v>
      </c>
      <c r="AH98" s="207" t="s">
        <v>1205</v>
      </c>
      <c r="AI98" s="240">
        <f t="shared" ref="AI98:AI131" si="693">(100*(AE98/$AI$147))^2</f>
        <v>2.693960434814812E-2</v>
      </c>
      <c r="AJ98" s="11">
        <f t="shared" si="595"/>
        <v>3</v>
      </c>
      <c r="AK98" s="11">
        <v>1</v>
      </c>
      <c r="AL98" s="11">
        <v>1</v>
      </c>
      <c r="AM98" s="11"/>
      <c r="AN98" s="11"/>
      <c r="AO98" s="11">
        <v>1</v>
      </c>
      <c r="AP98" s="11"/>
      <c r="AQ98" s="11" t="str">
        <f>'Update Stock Prices'!Q98</f>
        <v>mega</v>
      </c>
      <c r="AR98" s="11"/>
      <c r="AS98" s="11"/>
      <c r="AT98" s="420" t="s">
        <v>2640</v>
      </c>
      <c r="AU98" s="224" t="s">
        <v>1155</v>
      </c>
      <c r="AV98" s="30">
        <v>600</v>
      </c>
      <c r="AW98" s="420" t="str">
        <f t="shared" si="667"/>
        <v/>
      </c>
      <c r="AX98" s="30">
        <v>2550</v>
      </c>
      <c r="AY98" s="236" t="str">
        <f t="shared" si="668"/>
        <v/>
      </c>
      <c r="AZ98" s="19">
        <f t="shared" si="669"/>
        <v>1950</v>
      </c>
      <c r="BA98" s="15">
        <f t="shared" si="670"/>
        <v>9.9009900990099098E-3</v>
      </c>
      <c r="BB98" s="730">
        <f t="shared" si="671"/>
        <v>3.208333333333333</v>
      </c>
      <c r="BC98" s="800" t="str">
        <f t="shared" ref="BC98:BC104" si="694">IF(AND(BA98&gt;0,BB98&gt;0),"Between",IF(BA98&lt;0.001,"At high","At low"))</f>
        <v>Between</v>
      </c>
      <c r="BD98" s="749"/>
      <c r="BE98" s="749"/>
      <c r="BF98" s="74"/>
      <c r="BS98" s="420" t="str">
        <f t="shared" si="407"/>
        <v>PEP</v>
      </c>
      <c r="BT98" s="425">
        <f t="shared" si="408"/>
        <v>1.0364</v>
      </c>
      <c r="BU98" s="19">
        <f t="shared" si="409"/>
        <v>105.11</v>
      </c>
      <c r="BV98" s="19">
        <f t="shared" si="410"/>
        <v>108.936004</v>
      </c>
      <c r="BW98" s="539">
        <f t="shared" si="411"/>
        <v>3.01</v>
      </c>
      <c r="BX98" s="19">
        <f t="shared" si="412"/>
        <v>3.1195639999999996</v>
      </c>
      <c r="BY98" s="10">
        <f t="shared" si="413"/>
        <v>2.9679041004661778E-2</v>
      </c>
      <c r="BZ98" s="10">
        <f t="shared" si="414"/>
        <v>1.0660790410046617</v>
      </c>
      <c r="CA98" s="539">
        <f t="shared" si="415"/>
        <v>112.05556799999999</v>
      </c>
      <c r="CB98" s="19">
        <f t="shared" si="416"/>
        <v>3.2088979134240314</v>
      </c>
      <c r="CC98" s="10">
        <f t="shared" si="417"/>
        <v>3.0528949799486553E-2</v>
      </c>
      <c r="CD98" s="10">
        <f t="shared" si="418"/>
        <v>1.0966079908041482</v>
      </c>
      <c r="CE98" s="539">
        <f t="shared" si="419"/>
        <v>115.26446591342402</v>
      </c>
      <c r="CF98" s="19">
        <f t="shared" si="420"/>
        <v>3.3007900523204858</v>
      </c>
      <c r="CG98" s="10">
        <f t="shared" si="421"/>
        <v>3.1403197148896257E-2</v>
      </c>
      <c r="CH98" s="10">
        <f t="shared" si="422"/>
        <v>1.1280111879530443</v>
      </c>
      <c r="CI98" s="539">
        <f t="shared" si="423"/>
        <v>118.56525596574448</v>
      </c>
      <c r="CJ98" s="19">
        <f t="shared" si="424"/>
        <v>3.3953136757386631</v>
      </c>
      <c r="CK98" s="10">
        <f t="shared" si="425"/>
        <v>3.2302480027957978E-2</v>
      </c>
      <c r="CL98" s="10">
        <f t="shared" si="426"/>
        <v>1.1603136679810022</v>
      </c>
      <c r="CM98" s="539">
        <f t="shared" si="427"/>
        <v>121.96056964148315</v>
      </c>
      <c r="CN98" s="19">
        <f t="shared" si="428"/>
        <v>3.4925441406228166</v>
      </c>
      <c r="CO98" s="10">
        <f t="shared" si="429"/>
        <v>3.3227515370781245E-2</v>
      </c>
      <c r="CP98" s="10">
        <f t="shared" si="430"/>
        <v>1.1935411833517835</v>
      </c>
      <c r="CQ98" s="539">
        <f t="shared" si="431"/>
        <v>125.45311378210596</v>
      </c>
      <c r="CR98" s="19">
        <f t="shared" si="432"/>
        <v>3.592558961888868</v>
      </c>
      <c r="CS98" s="10">
        <f t="shared" si="433"/>
        <v>3.4179040642078468E-2</v>
      </c>
      <c r="CT98" s="10">
        <f t="shared" si="434"/>
        <v>1.227720223993862</v>
      </c>
      <c r="CU98" s="539">
        <f t="shared" si="435"/>
        <v>129.04567274399483</v>
      </c>
      <c r="CV98" s="19">
        <f t="shared" si="436"/>
        <v>3.6954378742215246</v>
      </c>
      <c r="CW98" s="10">
        <f t="shared" si="437"/>
        <v>3.5157814425092991E-2</v>
      </c>
      <c r="CX98" s="10">
        <f t="shared" si="438"/>
        <v>1.2628780384189551</v>
      </c>
      <c r="CY98" s="539">
        <f t="shared" si="439"/>
        <v>132.74111061821637</v>
      </c>
      <c r="CZ98" s="19">
        <f t="shared" si="440"/>
        <v>3.8012628956410546</v>
      </c>
      <c r="DA98" s="10">
        <f t="shared" si="441"/>
        <v>3.616461702636338E-2</v>
      </c>
      <c r="DB98" s="10">
        <f t="shared" si="442"/>
        <v>1.2990426554453185</v>
      </c>
      <c r="DC98" s="539">
        <f t="shared" si="443"/>
        <v>136.54237351385743</v>
      </c>
      <c r="DD98" s="19">
        <f t="shared" si="444"/>
        <v>3.9101183928904084</v>
      </c>
      <c r="DE98" s="10">
        <f t="shared" si="445"/>
        <v>3.720025109780619E-2</v>
      </c>
      <c r="DF98" s="10">
        <f t="shared" si="446"/>
        <v>1.3362429065431247</v>
      </c>
      <c r="DG98" s="539">
        <f t="shared" si="447"/>
        <v>140.45249190674784</v>
      </c>
      <c r="DH98" s="19">
        <f t="shared" si="448"/>
        <v>4.0220911486948054</v>
      </c>
      <c r="DI98" s="10">
        <f t="shared" si="449"/>
        <v>3.8265542276613121E-2</v>
      </c>
      <c r="DJ98" s="10">
        <f t="shared" si="450"/>
        <v>1.3745084488197379</v>
      </c>
      <c r="DK98" s="539">
        <f t="shared" si="451"/>
        <v>144.47458305544265</v>
      </c>
      <c r="DL98" s="19">
        <f t="shared" si="452"/>
        <v>4.1372704309474111</v>
      </c>
      <c r="DM98" s="10">
        <f t="shared" si="453"/>
        <v>3.9361339843472655E-2</v>
      </c>
      <c r="DN98" s="10">
        <f t="shared" si="454"/>
        <v>1.4138697886632106</v>
      </c>
      <c r="DO98" s="539">
        <f t="shared" si="455"/>
        <v>148.61185348639006</v>
      </c>
      <c r="DP98" s="19">
        <f t="shared" si="456"/>
        <v>4.2557480638762639</v>
      </c>
      <c r="DQ98" s="10">
        <f t="shared" si="457"/>
        <v>4.0488517399640982E-2</v>
      </c>
      <c r="DR98" s="10">
        <f t="shared" si="458"/>
        <v>1.4543583060628515</v>
      </c>
      <c r="DS98" s="539">
        <f t="shared" si="459"/>
        <v>152.86760155026633</v>
      </c>
      <c r="DT98" s="19">
        <f t="shared" si="460"/>
        <v>4.3776185012491826</v>
      </c>
      <c r="DU98" s="10">
        <f t="shared" si="461"/>
        <v>4.1647973563401983E-2</v>
      </c>
      <c r="DV98" s="10">
        <f t="shared" si="462"/>
        <v>1.4960062796262534</v>
      </c>
      <c r="DW98" s="539">
        <f t="shared" si="463"/>
        <v>157.2452200515155</v>
      </c>
      <c r="DX98" s="19">
        <f t="shared" si="464"/>
        <v>4.5029789016750223</v>
      </c>
      <c r="DY98" s="10">
        <f t="shared" si="465"/>
        <v>4.2840632686471529E-2</v>
      </c>
      <c r="DZ98" s="10">
        <f t="shared" si="466"/>
        <v>1.5388469123127249</v>
      </c>
      <c r="EA98" s="539">
        <f t="shared" si="467"/>
        <v>161.7481989531905</v>
      </c>
      <c r="EB98" s="19">
        <f t="shared" si="468"/>
        <v>4.6319292060613018</v>
      </c>
      <c r="EC98" s="10">
        <f t="shared" si="469"/>
        <v>4.4067445590917152E-2</v>
      </c>
      <c r="ED98" s="10">
        <f t="shared" si="470"/>
        <v>1.582914357903642</v>
      </c>
      <c r="EE98" s="539">
        <f t="shared" si="471"/>
        <v>166.3801281592518</v>
      </c>
      <c r="EF98" s="19">
        <f t="shared" si="472"/>
        <v>4.7645722172899623</v>
      </c>
      <c r="EG98" s="10">
        <f t="shared" si="473"/>
        <v>4.5329390327180689E-2</v>
      </c>
      <c r="EH98" s="10">
        <f t="shared" si="474"/>
        <v>1.6282437482308227</v>
      </c>
      <c r="EI98" s="539">
        <f t="shared" si="475"/>
        <v>171.14470037654178</v>
      </c>
      <c r="EJ98" s="19">
        <f t="shared" si="476"/>
        <v>4.9010136821747761</v>
      </c>
      <c r="EK98" s="10">
        <f t="shared" si="477"/>
        <v>4.6627472953808161E-2</v>
      </c>
      <c r="EL98" s="10">
        <f t="shared" si="478"/>
        <v>1.6748712211846308</v>
      </c>
      <c r="EM98" s="539">
        <f t="shared" si="479"/>
        <v>176.04571405871656</v>
      </c>
      <c r="EN98" s="19">
        <f t="shared" si="480"/>
        <v>5.0413623757657389</v>
      </c>
      <c r="EO98" s="10">
        <f t="shared" si="481"/>
        <v>4.7962728339508508E-2</v>
      </c>
      <c r="EP98" s="10">
        <f t="shared" si="482"/>
        <v>1.7228339495241394</v>
      </c>
      <c r="EQ98" s="539">
        <f t="shared" si="483"/>
        <v>181.0870764344823</v>
      </c>
      <c r="ER98" s="19">
        <f t="shared" si="484"/>
        <v>5.1857301880676587</v>
      </c>
      <c r="ES98" s="10">
        <f t="shared" si="485"/>
        <v>4.9336220988180558E-2</v>
      </c>
      <c r="ET98" s="10">
        <f t="shared" si="486"/>
        <v>1.7721701705123198</v>
      </c>
      <c r="EU98" s="539">
        <f t="shared" si="487"/>
        <v>186.27280662254995</v>
      </c>
      <c r="EV98" s="19">
        <f t="shared" si="488"/>
        <v>5.3342322132420827</v>
      </c>
      <c r="EW98" s="10">
        <f t="shared" si="489"/>
        <v>5.0749045887566194E-2</v>
      </c>
      <c r="EX98" s="10">
        <f t="shared" si="490"/>
        <v>1.822919216399886</v>
      </c>
      <c r="EY98" s="539">
        <f t="shared" si="491"/>
        <v>191.60703883579203</v>
      </c>
      <c r="EZ98" s="19">
        <f t="shared" si="492"/>
        <v>5.486986841363656</v>
      </c>
      <c r="FA98" s="10">
        <f t="shared" si="493"/>
        <v>5.2202329382205842E-2</v>
      </c>
      <c r="FB98" s="10">
        <f t="shared" si="494"/>
        <v>1.8751215457820918</v>
      </c>
      <c r="FC98" s="539">
        <f t="shared" si="495"/>
        <v>197.09402567715566</v>
      </c>
      <c r="FD98" s="19">
        <f t="shared" si="496"/>
        <v>5.644115852804096</v>
      </c>
      <c r="FE98" s="10">
        <f t="shared" si="497"/>
        <v>5.3697230071392786E-2</v>
      </c>
      <c r="FF98" s="10">
        <f t="shared" si="498"/>
        <v>1.9288187758534845</v>
      </c>
      <c r="FG98" s="539">
        <f t="shared" si="499"/>
        <v>202.73814152995976</v>
      </c>
      <c r="FH98" s="19">
        <f t="shared" si="500"/>
        <v>5.8057445153189882</v>
      </c>
      <c r="FI98" s="10">
        <f t="shared" si="501"/>
        <v>5.5234939732841673E-2</v>
      </c>
      <c r="FJ98" s="10">
        <f t="shared" si="502"/>
        <v>1.9840537155863263</v>
      </c>
      <c r="FK98" s="539">
        <f t="shared" si="503"/>
        <v>208.54388604527875</v>
      </c>
      <c r="FL98" s="19">
        <f t="shared" si="504"/>
        <v>5.9720016839148418</v>
      </c>
      <c r="FM98" s="10">
        <f t="shared" si="505"/>
        <v>5.6816684272807935E-2</v>
      </c>
      <c r="FN98" s="10">
        <f t="shared" si="506"/>
        <v>2.0408703998591342</v>
      </c>
      <c r="FO98" s="539">
        <f t="shared" si="507"/>
        <v>214.51588772919359</v>
      </c>
      <c r="FP98" s="19">
        <f t="shared" si="508"/>
        <v>6.1430199035759934</v>
      </c>
      <c r="FQ98" s="10">
        <f t="shared" si="509"/>
        <v>5.8443724703415405E-2</v>
      </c>
      <c r="FR98" s="10">
        <f t="shared" si="510"/>
        <v>2.0993141245625497</v>
      </c>
      <c r="FS98" s="539">
        <f t="shared" si="511"/>
        <v>220.6589076327696</v>
      </c>
      <c r="FT98" s="19">
        <f t="shared" si="512"/>
        <v>6.3189355149332744</v>
      </c>
      <c r="FU98" s="10">
        <f t="shared" si="513"/>
        <v>6.0117358147971409E-2</v>
      </c>
      <c r="FV98" s="10">
        <f t="shared" si="514"/>
        <v>2.159431482710521</v>
      </c>
      <c r="FW98" s="539">
        <f t="shared" si="515"/>
        <v>226.97784314770286</v>
      </c>
      <c r="FX98" s="19">
        <f t="shared" si="516"/>
        <v>6.4998887629586681</v>
      </c>
      <c r="FY98" s="10">
        <f t="shared" si="517"/>
        <v>6.1838918875070578E-2</v>
      </c>
      <c r="FZ98" s="10">
        <f t="shared" si="518"/>
        <v>2.2212704015855915</v>
      </c>
      <c r="GA98" s="539">
        <f t="shared" si="519"/>
        <v>233.47773191066153</v>
      </c>
      <c r="GB98" s="19">
        <f t="shared" si="520"/>
        <v>6.6860239087726301</v>
      </c>
      <c r="GC98" s="10">
        <f t="shared" si="521"/>
        <v>6.3609779362312144E-2</v>
      </c>
      <c r="GD98" s="10">
        <f t="shared" si="522"/>
        <v>2.2848801809479036</v>
      </c>
      <c r="GE98" s="539">
        <f t="shared" si="523"/>
        <v>240.16375581943413</v>
      </c>
      <c r="GF98" s="19">
        <f t="shared" si="524"/>
        <v>6.8774893446531893</v>
      </c>
      <c r="GG98" s="10">
        <f t="shared" si="525"/>
        <v>6.543135139047844E-2</v>
      </c>
      <c r="GH98" s="10">
        <f t="shared" si="526"/>
        <v>2.3503115323383819</v>
      </c>
      <c r="GI98" s="539">
        <f t="shared" si="527"/>
        <v>247.04124516408731</v>
      </c>
      <c r="GJ98" s="19">
        <f t="shared" si="528"/>
        <v>7.0744377123385291</v>
      </c>
      <c r="GK98" s="10">
        <f t="shared" si="529"/>
        <v>6.7305087169046984E-2</v>
      </c>
      <c r="GL98" s="10">
        <f t="shared" si="530"/>
        <v>2.4176166195074287</v>
      </c>
      <c r="GM98" s="539">
        <f t="shared" si="531"/>
        <v>254.11568287642584</v>
      </c>
      <c r="GN98" s="19">
        <f t="shared" si="532"/>
        <v>7.2770260247173599</v>
      </c>
      <c r="GO98" s="10">
        <f t="shared" si="533"/>
        <v>6.9232480493933587E-2</v>
      </c>
      <c r="GP98" s="10">
        <f t="shared" si="534"/>
        <v>2.4868491000013622</v>
      </c>
      <c r="GQ98" s="539">
        <f t="shared" si="535"/>
        <v>261.39270890114318</v>
      </c>
      <c r="GR98" s="19">
        <f t="shared" si="536"/>
        <v>7.4854157910040993</v>
      </c>
      <c r="GS98" s="10">
        <f t="shared" si="537"/>
        <v>7.1215067938389304E-2</v>
      </c>
      <c r="GT98" s="10">
        <f t="shared" si="538"/>
        <v>2.5580641679397513</v>
      </c>
      <c r="GU98" s="539">
        <f t="shared" si="539"/>
        <v>268.87812469214725</v>
      </c>
      <c r="GV98" s="19">
        <f t="shared" si="540"/>
        <v>7.6997731454986509</v>
      </c>
      <c r="GW98" s="10">
        <f t="shared" si="541"/>
        <v>7.3254430078000671E-2</v>
      </c>
      <c r="GX98" s="10">
        <f t="shared" si="542"/>
        <v>2.631318598017752</v>
      </c>
      <c r="GY98" s="539">
        <f t="shared" si="543"/>
        <v>276.57789783764593</v>
      </c>
      <c r="GZ98" s="19">
        <f t="shared" si="544"/>
        <v>7.9202689800334332</v>
      </c>
      <c r="HA98" s="10">
        <f t="shared" si="545"/>
        <v>7.5352192750769986E-2</v>
      </c>
      <c r="HB98" s="10">
        <f t="shared" si="546"/>
        <v>2.7066707907685221</v>
      </c>
      <c r="HC98" s="539">
        <f t="shared" si="547"/>
        <v>284.49816681767936</v>
      </c>
      <c r="HD98" s="19">
        <f t="shared" si="548"/>
        <v>8.1470790802132509</v>
      </c>
      <c r="HE98" s="10">
        <f t="shared" si="549"/>
        <v>7.75100283532799E-2</v>
      </c>
      <c r="HF98" s="10">
        <f t="shared" si="550"/>
        <v>2.784180819121802</v>
      </c>
      <c r="HG98" s="539">
        <f t="shared" si="551"/>
        <v>292.64524589789261</v>
      </c>
      <c r="HH98" s="19">
        <f t="shared" si="552"/>
        <v>8.3803842655566232</v>
      </c>
      <c r="HI98" s="10">
        <f t="shared" si="553"/>
        <v>7.9729657173976051E-2</v>
      </c>
      <c r="HJ98" s="10">
        <f t="shared" si="554"/>
        <v>2.8639104762957781</v>
      </c>
      <c r="HK98" s="539">
        <f t="shared" si="555"/>
        <v>301.02563016344925</v>
      </c>
      <c r="HL98" s="19">
        <f t="shared" si="556"/>
        <v>8.6203705336502914</v>
      </c>
      <c r="HM98" s="10">
        <f t="shared" si="557"/>
        <v>8.2012848764630303E-2</v>
      </c>
      <c r="HN98" s="10">
        <f t="shared" si="558"/>
        <v>2.9459233250604084</v>
      </c>
      <c r="HO98" s="539">
        <f t="shared" si="559"/>
        <v>309.64600069709951</v>
      </c>
      <c r="HP98" s="19">
        <f t="shared" si="560"/>
        <v>8.8672292084318283</v>
      </c>
      <c r="HQ98" s="10">
        <f t="shared" si="561"/>
        <v>8.4361423351078185E-2</v>
      </c>
      <c r="HR98" s="10">
        <f t="shared" si="562"/>
        <v>3.0302847484114865</v>
      </c>
      <c r="HS98" s="539">
        <f t="shared" si="563"/>
        <v>318.51322990553138</v>
      </c>
      <c r="HT98" s="19">
        <f t="shared" si="564"/>
        <v>9.1211570927185743</v>
      </c>
      <c r="HU98" s="10">
        <f t="shared" si="565"/>
        <v>8.6777253284355191E-2</v>
      </c>
      <c r="HV98" s="10">
        <f t="shared" si="566"/>
        <v>3.1170620016958419</v>
      </c>
      <c r="HW98" s="539">
        <f t="shared" si="567"/>
        <v>327.63438699824997</v>
      </c>
      <c r="HX98" s="19">
        <f t="shared" si="568"/>
        <v>9.3823566251044834</v>
      </c>
      <c r="HY98" s="10">
        <f t="shared" si="569"/>
        <v>8.9262264533388674E-2</v>
      </c>
      <c r="HZ98" s="10">
        <f t="shared" si="570"/>
        <v>3.2063242662292306</v>
      </c>
      <c r="IA98" s="539">
        <f t="shared" si="571"/>
        <v>337.01674362335444</v>
      </c>
      <c r="IB98" s="19">
        <f t="shared" si="572"/>
        <v>9.6510360413499843</v>
      </c>
      <c r="IM98" s="11"/>
      <c r="IN98" s="19"/>
      <c r="IO98" s="20"/>
      <c r="IP98" s="10"/>
    </row>
    <row r="99" spans="1:261">
      <c r="A99" s="11"/>
      <c r="B99" s="20"/>
      <c r="C99" s="826" t="s">
        <v>2350</v>
      </c>
      <c r="D99" s="47" t="s">
        <v>2221</v>
      </c>
      <c r="E99" s="396">
        <f t="shared" ref="E99" si="695">F99+O99</f>
        <v>15.091000000000001</v>
      </c>
      <c r="F99" s="242">
        <v>5.0910000000000002</v>
      </c>
      <c r="G99" s="48">
        <f>'Update Stock Prices'!S99</f>
        <v>6137114365.8460569</v>
      </c>
      <c r="H99" s="991">
        <f t="shared" ref="H99" si="696">F99/G99</f>
        <v>8.2954295724586189E-10</v>
      </c>
      <c r="I99" s="49">
        <f>'Update Stock Prices'!D99</f>
        <v>32.090000000000003</v>
      </c>
      <c r="J99" s="49">
        <f t="shared" si="404"/>
        <v>163.37019000000004</v>
      </c>
      <c r="K99" s="30">
        <v>186.81</v>
      </c>
      <c r="L99" s="49">
        <f t="shared" ref="L99" si="697">J99-K99</f>
        <v>-23.439809999999966</v>
      </c>
      <c r="M99" s="50">
        <f t="shared" ref="M99" si="698">L99/K99</f>
        <v>-0.12547406455757168</v>
      </c>
      <c r="N99" s="49">
        <f t="shared" ref="N99" si="699">K99/F99</f>
        <v>36.694166175604003</v>
      </c>
      <c r="O99" s="48">
        <f t="shared" ref="O99" si="700">IF(INT(($B$11-$B$12)/I99)&lt;0,0,INT(($B$11-$B$12)/I99))</f>
        <v>10</v>
      </c>
      <c r="P99" s="49">
        <f t="shared" ref="P99" si="701">IF(($B$11-$B$12)-(O99*I99)&lt;0,0,($B$11-$B$12)-(O99*I99))</f>
        <v>0.1099999999999568</v>
      </c>
      <c r="Q99" s="30">
        <f>0.32*4</f>
        <v>1.28</v>
      </c>
      <c r="R99" s="49">
        <f t="shared" ref="R99" si="702">S99/365.25</f>
        <v>1.7841149897330596E-2</v>
      </c>
      <c r="S99" s="49">
        <f t="shared" ref="S99" si="703">F99*Q99</f>
        <v>6.5164800000000005</v>
      </c>
      <c r="T99" s="49">
        <f t="shared" ref="T99" si="704">S99/12</f>
        <v>0.54304000000000008</v>
      </c>
      <c r="U99" s="49" t="s">
        <v>54</v>
      </c>
      <c r="V99" s="50">
        <f t="shared" ref="V99" si="705">Q99/I99</f>
        <v>3.9887815518853224E-2</v>
      </c>
      <c r="W99" s="50">
        <f t="shared" ref="W99" si="706">S99/K99</f>
        <v>3.4882929179380122E-2</v>
      </c>
      <c r="X99" s="49">
        <f t="shared" ref="X99" si="707">12*((E99*Q99)/12-T99)</f>
        <v>12.800000000000002</v>
      </c>
      <c r="Y99" s="49">
        <f t="shared" ref="Y99" si="708">IF(U99="Q",3*T99,IF(U99="Y",12*T99,IF(U99="B",6*T99,IF(U99="M",T99,0))))</f>
        <v>1.6291200000000003</v>
      </c>
      <c r="Z99" s="860">
        <f t="shared" ref="Z99" si="709">IF(Y99/I99&gt;1,1,0)</f>
        <v>0</v>
      </c>
      <c r="AA99" s="860">
        <f t="shared" ref="AA99" si="710">IF(Z99=1,"",IF(AND(U99&lt;&gt;"",Z99=0),I99/(Y99/F99)-F99,""))</f>
        <v>95.190249999999992</v>
      </c>
      <c r="AB99" s="49">
        <f t="shared" ref="AB99" si="711">IF(AA99&lt;&gt;"",AA99*I99,"")</f>
        <v>3054.6551225000003</v>
      </c>
      <c r="AC99" s="48">
        <v>1</v>
      </c>
      <c r="AD99" s="47" t="str">
        <f t="shared" ref="AD99" si="712">D99</f>
        <v>PFE</v>
      </c>
      <c r="AE99" s="49">
        <f t="shared" ref="AE99" si="713">J99</f>
        <v>163.37019000000004</v>
      </c>
      <c r="AF99" s="50" t="e">
        <f t="shared" si="692"/>
        <v>#REF!</v>
      </c>
      <c r="AG99" s="890" t="e">
        <f t="shared" ref="AG99" si="714">(100*AF99)^2</f>
        <v>#REF!</v>
      </c>
      <c r="AH99" s="207" t="s">
        <v>2220</v>
      </c>
      <c r="AI99" s="240">
        <f t="shared" si="693"/>
        <v>6.0589024539782564E-2</v>
      </c>
      <c r="AJ99" s="11">
        <f t="shared" si="595"/>
        <v>3</v>
      </c>
      <c r="AK99" s="11"/>
      <c r="AL99" s="11"/>
      <c r="AM99" s="11"/>
      <c r="AN99" s="11"/>
      <c r="AO99" s="11"/>
      <c r="AP99" s="11"/>
      <c r="AQ99" s="11" t="str">
        <f>'Update Stock Prices'!Q99</f>
        <v>mega</v>
      </c>
      <c r="AR99" s="11"/>
      <c r="AS99" s="11"/>
      <c r="AT99" s="19"/>
      <c r="AU99" s="224" t="s">
        <v>406</v>
      </c>
      <c r="AV99" s="30">
        <v>6257.6838779321251</v>
      </c>
      <c r="AW99" s="420" t="e">
        <f t="shared" si="667"/>
        <v>#REF!</v>
      </c>
      <c r="AX99" s="30">
        <v>9591.8107344742748</v>
      </c>
      <c r="AY99" s="236" t="e">
        <f t="shared" si="668"/>
        <v>#REF!</v>
      </c>
      <c r="AZ99" s="19">
        <f t="shared" si="669"/>
        <v>3334.1268565421497</v>
      </c>
      <c r="BA99" s="15" t="e">
        <f t="shared" si="670"/>
        <v>#REF!</v>
      </c>
      <c r="BB99" s="730" t="e">
        <f t="shared" si="671"/>
        <v>#REF!</v>
      </c>
      <c r="BC99" s="800" t="e">
        <f>IF(AND(BA99&gt;0,BB99&gt;0),"Between",IF(BA99&lt;0.001,"At high","At low"))</f>
        <v>#REF!</v>
      </c>
      <c r="BD99" s="750" t="s">
        <v>1482</v>
      </c>
      <c r="BE99" s="750" t="s">
        <v>1482</v>
      </c>
      <c r="BF99" s="74"/>
      <c r="BG99" s="15"/>
      <c r="BH99" s="15"/>
      <c r="BI99" s="15"/>
      <c r="BS99" s="420" t="str">
        <f t="shared" si="407"/>
        <v>PFE</v>
      </c>
      <c r="BT99" s="425">
        <f t="shared" si="408"/>
        <v>5.0910000000000002</v>
      </c>
      <c r="BU99" s="19">
        <f t="shared" si="409"/>
        <v>32.090000000000003</v>
      </c>
      <c r="BV99" s="19">
        <f t="shared" si="410"/>
        <v>163.37019000000004</v>
      </c>
      <c r="BW99" s="539">
        <f t="shared" si="411"/>
        <v>1.28</v>
      </c>
      <c r="BX99" s="19">
        <f t="shared" si="412"/>
        <v>6.5164800000000005</v>
      </c>
      <c r="BY99" s="10">
        <f t="shared" si="413"/>
        <v>0.20306886880648176</v>
      </c>
      <c r="BZ99" s="10">
        <f t="shared" si="414"/>
        <v>5.2940688688064821</v>
      </c>
      <c r="CA99" s="539">
        <f t="shared" si="415"/>
        <v>169.88667000000004</v>
      </c>
      <c r="CB99" s="19">
        <f t="shared" si="416"/>
        <v>6.776408152072297</v>
      </c>
      <c r="CC99" s="10">
        <f t="shared" si="417"/>
        <v>0.21116884238305692</v>
      </c>
      <c r="CD99" s="10">
        <f t="shared" si="418"/>
        <v>5.5052377111895394</v>
      </c>
      <c r="CE99" s="539">
        <f t="shared" si="419"/>
        <v>176.66307815207233</v>
      </c>
      <c r="CF99" s="19">
        <f t="shared" si="420"/>
        <v>7.0467042703226106</v>
      </c>
      <c r="CG99" s="10">
        <f t="shared" si="421"/>
        <v>0.2195919062113621</v>
      </c>
      <c r="CH99" s="10">
        <f t="shared" si="422"/>
        <v>5.7248296174009017</v>
      </c>
      <c r="CI99" s="539">
        <f t="shared" si="423"/>
        <v>183.70978242239497</v>
      </c>
      <c r="CJ99" s="19">
        <f t="shared" si="424"/>
        <v>7.3277819102731545</v>
      </c>
      <c r="CK99" s="10">
        <f t="shared" si="425"/>
        <v>0.22835094765575426</v>
      </c>
      <c r="CL99" s="10">
        <f t="shared" si="426"/>
        <v>5.9531805650566563</v>
      </c>
      <c r="CM99" s="539">
        <f t="shared" si="427"/>
        <v>191.03756433266813</v>
      </c>
      <c r="CN99" s="19">
        <f t="shared" si="428"/>
        <v>7.6200711232725205</v>
      </c>
      <c r="CO99" s="10">
        <f t="shared" si="429"/>
        <v>0.2374593681294023</v>
      </c>
      <c r="CP99" s="10">
        <f t="shared" si="430"/>
        <v>6.1906399331860582</v>
      </c>
      <c r="CQ99" s="539">
        <f t="shared" si="431"/>
        <v>198.65763545594064</v>
      </c>
      <c r="CR99" s="19">
        <f t="shared" si="432"/>
        <v>7.9240191144781544</v>
      </c>
      <c r="CS99" s="10">
        <f t="shared" si="433"/>
        <v>0.24693110359857132</v>
      </c>
      <c r="CT99" s="10">
        <f t="shared" si="434"/>
        <v>6.4375710367846297</v>
      </c>
      <c r="CU99" s="539">
        <f t="shared" si="435"/>
        <v>206.58165457041878</v>
      </c>
      <c r="CV99" s="19">
        <f t="shared" si="436"/>
        <v>8.2400909270843261</v>
      </c>
      <c r="CW99" s="10">
        <f t="shared" si="437"/>
        <v>0.25678064590477795</v>
      </c>
      <c r="CX99" s="10">
        <f t="shared" si="438"/>
        <v>6.6943516826894074</v>
      </c>
      <c r="CY99" s="539">
        <f t="shared" si="439"/>
        <v>214.82174549750312</v>
      </c>
      <c r="CZ99" s="19">
        <f t="shared" si="440"/>
        <v>8.5687701538424417</v>
      </c>
      <c r="DA99" s="10">
        <f t="shared" si="441"/>
        <v>0.26702306493743971</v>
      </c>
      <c r="DB99" s="10">
        <f t="shared" si="442"/>
        <v>6.9613747476268468</v>
      </c>
      <c r="DC99" s="539">
        <f t="shared" si="443"/>
        <v>223.39051565134554</v>
      </c>
      <c r="DD99" s="19">
        <f t="shared" si="444"/>
        <v>8.9105596769623645</v>
      </c>
      <c r="DE99" s="10">
        <f t="shared" si="445"/>
        <v>0.27767403169094307</v>
      </c>
      <c r="DF99" s="10">
        <f t="shared" si="446"/>
        <v>7.2390487793177902</v>
      </c>
      <c r="DG99" s="539">
        <f t="shared" si="447"/>
        <v>232.30107532830792</v>
      </c>
      <c r="DH99" s="19">
        <f t="shared" si="448"/>
        <v>9.2659824375267714</v>
      </c>
      <c r="DI99" s="10">
        <f t="shared" si="449"/>
        <v>0.28874984224140759</v>
      </c>
      <c r="DJ99" s="10">
        <f t="shared" si="450"/>
        <v>7.5277986215591977</v>
      </c>
      <c r="DK99" s="539">
        <f t="shared" si="451"/>
        <v>241.56705776583468</v>
      </c>
      <c r="DL99" s="19">
        <f t="shared" si="452"/>
        <v>9.6355822355957734</v>
      </c>
      <c r="DM99" s="10">
        <f t="shared" si="453"/>
        <v>0.30026744267983085</v>
      </c>
      <c r="DN99" s="10">
        <f t="shared" si="454"/>
        <v>7.8280660642390281</v>
      </c>
      <c r="DO99" s="539">
        <f t="shared" si="455"/>
        <v>251.20264000143044</v>
      </c>
      <c r="DP99" s="19">
        <f t="shared" si="456"/>
        <v>10.019924562225956</v>
      </c>
      <c r="DQ99" s="10">
        <f t="shared" si="457"/>
        <v>0.31224445503976178</v>
      </c>
      <c r="DR99" s="10">
        <f t="shared" si="458"/>
        <v>8.1403105192787901</v>
      </c>
      <c r="DS99" s="539">
        <f t="shared" si="459"/>
        <v>261.22256456365642</v>
      </c>
      <c r="DT99" s="19">
        <f t="shared" si="460"/>
        <v>10.419597464676851</v>
      </c>
      <c r="DU99" s="10">
        <f t="shared" si="461"/>
        <v>0.32469920425917265</v>
      </c>
      <c r="DV99" s="10">
        <f t="shared" si="462"/>
        <v>8.4650097235379622</v>
      </c>
      <c r="DW99" s="539">
        <f t="shared" si="463"/>
        <v>271.64216202833325</v>
      </c>
      <c r="DX99" s="19">
        <f t="shared" si="464"/>
        <v>10.835212446128592</v>
      </c>
      <c r="DY99" s="10">
        <f t="shared" si="465"/>
        <v>0.33765074621778096</v>
      </c>
      <c r="DZ99" s="10">
        <f t="shared" si="466"/>
        <v>8.8026604697557431</v>
      </c>
      <c r="EA99" s="539">
        <f t="shared" si="467"/>
        <v>282.47737447446184</v>
      </c>
      <c r="EB99" s="19">
        <f t="shared" si="468"/>
        <v>11.267405401287352</v>
      </c>
      <c r="EC99" s="10">
        <f t="shared" si="469"/>
        <v>0.35111889689271891</v>
      </c>
      <c r="ED99" s="10">
        <f t="shared" si="470"/>
        <v>9.1537793666484628</v>
      </c>
      <c r="EE99" s="539">
        <f t="shared" si="471"/>
        <v>293.7447798757492</v>
      </c>
      <c r="EF99" s="19">
        <f t="shared" si="472"/>
        <v>11.716837589310032</v>
      </c>
      <c r="EG99" s="10">
        <f t="shared" si="473"/>
        <v>0.36512426267715897</v>
      </c>
      <c r="EH99" s="10">
        <f t="shared" si="474"/>
        <v>9.5189036293256226</v>
      </c>
      <c r="EI99" s="539">
        <f t="shared" si="475"/>
        <v>305.46161746505925</v>
      </c>
      <c r="EJ99" s="19">
        <f t="shared" si="476"/>
        <v>12.184196645536797</v>
      </c>
      <c r="EK99" s="10">
        <f t="shared" si="477"/>
        <v>0.37968827190828286</v>
      </c>
      <c r="EL99" s="10">
        <f t="shared" si="478"/>
        <v>9.898591901233905</v>
      </c>
      <c r="EM99" s="539">
        <f t="shared" si="479"/>
        <v>317.64581411059606</v>
      </c>
      <c r="EN99" s="19">
        <f t="shared" si="480"/>
        <v>12.670197633579399</v>
      </c>
      <c r="EO99" s="10">
        <f t="shared" si="481"/>
        <v>0.39483320765283259</v>
      </c>
      <c r="EP99" s="10">
        <f t="shared" si="482"/>
        <v>10.293425108886737</v>
      </c>
      <c r="EQ99" s="539">
        <f t="shared" si="483"/>
        <v>330.3160117441754</v>
      </c>
      <c r="ER99" s="19">
        <f t="shared" si="484"/>
        <v>13.175584139375024</v>
      </c>
      <c r="ES99" s="10">
        <f t="shared" si="485"/>
        <v>0.41058224180040581</v>
      </c>
      <c r="ET99" s="10">
        <f t="shared" si="486"/>
        <v>10.704007350687142</v>
      </c>
      <c r="EU99" s="539">
        <f t="shared" si="487"/>
        <v>343.49159588355042</v>
      </c>
      <c r="EV99" s="19">
        <f t="shared" si="488"/>
        <v>13.701129408879542</v>
      </c>
      <c r="EW99" s="10">
        <f t="shared" si="489"/>
        <v>0.42695947051665756</v>
      </c>
      <c r="EX99" s="10">
        <f t="shared" si="490"/>
        <v>11.130966821203799</v>
      </c>
      <c r="EY99" s="539">
        <f t="shared" si="491"/>
        <v>357.19272529242994</v>
      </c>
      <c r="EZ99" s="19">
        <f t="shared" si="492"/>
        <v>14.247637531140864</v>
      </c>
      <c r="FA99" s="10">
        <f t="shared" si="493"/>
        <v>0.44398995111065326</v>
      </c>
      <c r="FB99" s="10">
        <f t="shared" si="494"/>
        <v>11.574956772314453</v>
      </c>
      <c r="FC99" s="539">
        <f t="shared" si="495"/>
        <v>371.44036282357081</v>
      </c>
      <c r="FD99" s="19">
        <f t="shared" si="496"/>
        <v>14.8159446685625</v>
      </c>
      <c r="FE99" s="10">
        <f t="shared" si="497"/>
        <v>0.46169974037277961</v>
      </c>
      <c r="FF99" s="10">
        <f t="shared" si="498"/>
        <v>12.036656512687232</v>
      </c>
      <c r="FG99" s="539">
        <f t="shared" si="499"/>
        <v>386.25630749213332</v>
      </c>
      <c r="FH99" s="19">
        <f t="shared" si="500"/>
        <v>15.406920336239658</v>
      </c>
      <c r="FI99" s="10">
        <f t="shared" si="501"/>
        <v>0.48011593444187151</v>
      </c>
      <c r="FJ99" s="10">
        <f t="shared" si="502"/>
        <v>12.516772447129103</v>
      </c>
      <c r="FK99" s="539">
        <f t="shared" si="503"/>
        <v>401.66322782837295</v>
      </c>
      <c r="FL99" s="19">
        <f t="shared" si="504"/>
        <v>16.021468732325253</v>
      </c>
      <c r="FM99" s="10">
        <f t="shared" si="505"/>
        <v>0.49926671026255071</v>
      </c>
      <c r="FN99" s="10">
        <f t="shared" si="506"/>
        <v>13.016039157391655</v>
      </c>
      <c r="FO99" s="539">
        <f t="shared" si="507"/>
        <v>417.68469656069823</v>
      </c>
      <c r="FP99" s="19">
        <f t="shared" si="508"/>
        <v>16.660530121461317</v>
      </c>
      <c r="FQ99" s="10">
        <f t="shared" si="509"/>
        <v>0.51918136869620801</v>
      </c>
      <c r="FR99" s="10">
        <f t="shared" si="510"/>
        <v>13.535220526087862</v>
      </c>
      <c r="FS99" s="539">
        <f t="shared" si="511"/>
        <v>434.34522668215953</v>
      </c>
      <c r="FT99" s="19">
        <f t="shared" si="512"/>
        <v>17.325082273392464</v>
      </c>
      <c r="FU99" s="10">
        <f t="shared" si="513"/>
        <v>0.53989037935158812</v>
      </c>
      <c r="FV99" s="10">
        <f t="shared" si="514"/>
        <v>14.07511090543945</v>
      </c>
      <c r="FW99" s="539">
        <f t="shared" si="515"/>
        <v>451.670308955552</v>
      </c>
      <c r="FX99" s="19">
        <f t="shared" si="516"/>
        <v>18.016141958962496</v>
      </c>
      <c r="FY99" s="10">
        <f t="shared" si="517"/>
        <v>0.56142542720356792</v>
      </c>
      <c r="FZ99" s="10">
        <f t="shared" si="518"/>
        <v>14.636536332643018</v>
      </c>
      <c r="GA99" s="539">
        <f t="shared" si="519"/>
        <v>469.68645091451452</v>
      </c>
      <c r="GB99" s="19">
        <f t="shared" si="520"/>
        <v>18.734766505783064</v>
      </c>
      <c r="GC99" s="10">
        <f t="shared" si="521"/>
        <v>0.58381946107145721</v>
      </c>
      <c r="GD99" s="10">
        <f t="shared" si="522"/>
        <v>15.220355793714475</v>
      </c>
      <c r="GE99" s="539">
        <f t="shared" si="523"/>
        <v>488.42121742029758</v>
      </c>
      <c r="GF99" s="19">
        <f t="shared" si="524"/>
        <v>19.48205541595453</v>
      </c>
      <c r="GG99" s="10">
        <f t="shared" si="525"/>
        <v>0.60710674403099185</v>
      </c>
      <c r="GH99" s="10">
        <f t="shared" si="526"/>
        <v>15.827462537745467</v>
      </c>
      <c r="GI99" s="539">
        <f t="shared" si="527"/>
        <v>507.90327283625209</v>
      </c>
      <c r="GJ99" s="19">
        <f t="shared" si="528"/>
        <v>20.259152048314199</v>
      </c>
      <c r="GK99" s="10">
        <f t="shared" si="529"/>
        <v>0.63132290583715167</v>
      </c>
      <c r="GL99" s="10">
        <f t="shared" si="530"/>
        <v>16.458785443582617</v>
      </c>
      <c r="GM99" s="539">
        <f t="shared" si="531"/>
        <v>528.16242488456624</v>
      </c>
      <c r="GN99" s="19">
        <f t="shared" si="532"/>
        <v>21.067245367785748</v>
      </c>
      <c r="GO99" s="10">
        <f t="shared" si="533"/>
        <v>0.65650499743801016</v>
      </c>
      <c r="GP99" s="10">
        <f t="shared" si="534"/>
        <v>17.115290441020626</v>
      </c>
      <c r="GQ99" s="539">
        <f t="shared" si="535"/>
        <v>549.22967025235198</v>
      </c>
      <c r="GR99" s="19">
        <f t="shared" si="536"/>
        <v>21.9075717645064</v>
      </c>
      <c r="GS99" s="10">
        <f t="shared" si="537"/>
        <v>0.68269154766302265</v>
      </c>
      <c r="GT99" s="10">
        <f t="shared" si="538"/>
        <v>17.797981988683649</v>
      </c>
      <c r="GU99" s="539">
        <f t="shared" si="539"/>
        <v>571.13724201685829</v>
      </c>
      <c r="GV99" s="19">
        <f t="shared" si="540"/>
        <v>22.781416945515073</v>
      </c>
      <c r="GW99" s="10">
        <f t="shared" si="541"/>
        <v>0.70992262217248581</v>
      </c>
      <c r="GX99" s="10">
        <f t="shared" si="542"/>
        <v>18.507904610856134</v>
      </c>
      <c r="GY99" s="539">
        <f t="shared" si="543"/>
        <v>593.91865896237334</v>
      </c>
      <c r="GZ99" s="19">
        <f t="shared" si="544"/>
        <v>23.690117901895853</v>
      </c>
      <c r="HA99" s="10">
        <f t="shared" si="545"/>
        <v>0.73823988475836244</v>
      </c>
      <c r="HB99" s="10">
        <f t="shared" si="546"/>
        <v>19.246144495614494</v>
      </c>
      <c r="HC99" s="539">
        <f t="shared" si="547"/>
        <v>617.6087768642692</v>
      </c>
      <c r="HD99" s="19">
        <f t="shared" si="548"/>
        <v>24.635064954386554</v>
      </c>
      <c r="HE99" s="10">
        <f t="shared" si="549"/>
        <v>0.7676866610902634</v>
      </c>
      <c r="HF99" s="10">
        <f t="shared" si="550"/>
        <v>20.013831156704757</v>
      </c>
      <c r="HG99" s="539">
        <f t="shared" si="551"/>
        <v>642.24384181865571</v>
      </c>
      <c r="HH99" s="19">
        <f t="shared" si="552"/>
        <v>25.617703880582091</v>
      </c>
      <c r="HI99" s="10">
        <f t="shared" si="553"/>
        <v>0.79830800500411614</v>
      </c>
      <c r="HJ99" s="10">
        <f t="shared" si="554"/>
        <v>20.812139161708874</v>
      </c>
      <c r="HK99" s="539">
        <f t="shared" si="555"/>
        <v>667.86154569923781</v>
      </c>
      <c r="HL99" s="19">
        <f t="shared" si="556"/>
        <v>26.639538126987361</v>
      </c>
      <c r="HM99" s="10">
        <f t="shared" si="557"/>
        <v>0.8301507674349442</v>
      </c>
      <c r="HN99" s="10">
        <f t="shared" si="558"/>
        <v>21.642289929143818</v>
      </c>
      <c r="HO99" s="539">
        <f t="shared" si="559"/>
        <v>694.50108382622523</v>
      </c>
      <c r="HP99" s="19">
        <f t="shared" si="560"/>
        <v>27.702131109304087</v>
      </c>
      <c r="HQ99" s="10">
        <f t="shared" si="561"/>
        <v>0.86326366809922361</v>
      </c>
      <c r="HR99" s="10">
        <f t="shared" si="562"/>
        <v>22.50555359724304</v>
      </c>
      <c r="HS99" s="539">
        <f t="shared" si="563"/>
        <v>722.20321493552922</v>
      </c>
      <c r="HT99" s="19">
        <f t="shared" si="564"/>
        <v>28.807108604471093</v>
      </c>
      <c r="HU99" s="10">
        <f t="shared" si="565"/>
        <v>0.89769737003649397</v>
      </c>
      <c r="HV99" s="10">
        <f t="shared" si="566"/>
        <v>23.403250967279533</v>
      </c>
      <c r="HW99" s="539">
        <f t="shared" si="567"/>
        <v>751.01032354000029</v>
      </c>
      <c r="HX99" s="19">
        <f t="shared" si="568"/>
        <v>29.956161238117801</v>
      </c>
      <c r="HY99" s="10">
        <f t="shared" si="569"/>
        <v>0.93350455712426916</v>
      </c>
      <c r="HZ99" s="10">
        <f t="shared" si="570"/>
        <v>24.336755524403802</v>
      </c>
      <c r="IA99" s="539">
        <f t="shared" si="571"/>
        <v>780.96648477811812</v>
      </c>
      <c r="IB99" s="19">
        <f t="shared" si="572"/>
        <v>31.151047071236867</v>
      </c>
      <c r="IM99" s="11"/>
      <c r="IN99" s="19"/>
      <c r="IO99" s="20"/>
      <c r="IP99" s="10"/>
    </row>
    <row r="100" spans="1:261">
      <c r="A100" s="11"/>
      <c r="B100" s="20"/>
      <c r="C100" s="826" t="s">
        <v>2348</v>
      </c>
      <c r="D100" s="47" t="s">
        <v>666</v>
      </c>
      <c r="E100" s="396">
        <f t="shared" si="600"/>
        <v>5.0990000000000002</v>
      </c>
      <c r="F100" s="242">
        <v>2.0990000000000002</v>
      </c>
      <c r="G100" s="48">
        <f>'Update Stock Prices'!S100</f>
        <v>2546276169.7746253</v>
      </c>
      <c r="H100" s="991">
        <f t="shared" si="610"/>
        <v>8.2434106123916085E-10</v>
      </c>
      <c r="I100" s="49">
        <f>'Update Stock Prices'!D100</f>
        <v>87.41</v>
      </c>
      <c r="J100" s="49">
        <f t="shared" si="404"/>
        <v>183.47359</v>
      </c>
      <c r="K100" s="30">
        <v>163.89</v>
      </c>
      <c r="L100" s="49">
        <f t="shared" si="611"/>
        <v>19.583590000000015</v>
      </c>
      <c r="M100" s="50">
        <f t="shared" si="613"/>
        <v>0.11949228140826174</v>
      </c>
      <c r="N100" s="49">
        <f t="shared" si="612"/>
        <v>78.080038113387317</v>
      </c>
      <c r="O100" s="48">
        <f t="shared" si="601"/>
        <v>3</v>
      </c>
      <c r="P100" s="49">
        <f t="shared" si="602"/>
        <v>58.779999999999973</v>
      </c>
      <c r="Q100" s="30">
        <f>0.6695*4</f>
        <v>2.6779999999999999</v>
      </c>
      <c r="R100" s="49">
        <f t="shared" si="665"/>
        <v>1.5389793292265573E-2</v>
      </c>
      <c r="S100" s="49">
        <f t="shared" si="603"/>
        <v>5.6211220000000006</v>
      </c>
      <c r="T100" s="49">
        <f t="shared" si="666"/>
        <v>0.4684268333333334</v>
      </c>
      <c r="U100" s="49" t="s">
        <v>54</v>
      </c>
      <c r="V100" s="50">
        <f t="shared" si="604"/>
        <v>3.0637226861915112E-2</v>
      </c>
      <c r="W100" s="50">
        <f t="shared" si="575"/>
        <v>3.4298138995667832E-2</v>
      </c>
      <c r="X100" s="49">
        <f t="shared" si="618"/>
        <v>8.0339999999999989</v>
      </c>
      <c r="Y100" s="49">
        <f t="shared" si="654"/>
        <v>1.4052805000000002</v>
      </c>
      <c r="Z100" s="860">
        <f t="shared" si="605"/>
        <v>0</v>
      </c>
      <c r="AA100" s="860">
        <f t="shared" si="606"/>
        <v>128.46111949215833</v>
      </c>
      <c r="AB100" s="49">
        <f t="shared" si="607"/>
        <v>11228.786454809559</v>
      </c>
      <c r="AC100" s="48">
        <v>1</v>
      </c>
      <c r="AD100" s="47" t="str">
        <f t="shared" si="608"/>
        <v>PG</v>
      </c>
      <c r="AE100" s="49">
        <f t="shared" si="609"/>
        <v>183.47359</v>
      </c>
      <c r="AF100" s="50" t="e">
        <f t="shared" si="692"/>
        <v>#REF!</v>
      </c>
      <c r="AG100" s="890" t="e">
        <f t="shared" si="599"/>
        <v>#REF!</v>
      </c>
      <c r="AH100" s="207" t="s">
        <v>665</v>
      </c>
      <c r="AI100" s="240">
        <f t="shared" si="693"/>
        <v>7.6417961770249718E-2</v>
      </c>
      <c r="AJ100" s="11">
        <f t="shared" si="595"/>
        <v>2</v>
      </c>
      <c r="AK100" s="11"/>
      <c r="AL100" s="11"/>
      <c r="AM100" s="11"/>
      <c r="AN100" s="11"/>
      <c r="AO100" s="11"/>
      <c r="AP100" s="11"/>
      <c r="AQ100" s="11" t="str">
        <f>'Update Stock Prices'!Q100</f>
        <v>mega</v>
      </c>
      <c r="AR100" s="11"/>
      <c r="AS100" s="11"/>
      <c r="AT100" s="19"/>
      <c r="AU100" s="224" t="s">
        <v>51</v>
      </c>
      <c r="AV100" s="30">
        <v>687.31349583199244</v>
      </c>
      <c r="AW100" s="420" t="e">
        <f t="shared" si="667"/>
        <v>#REF!</v>
      </c>
      <c r="AX100" s="30">
        <v>1766.1840880210366</v>
      </c>
      <c r="AY100" s="236" t="e">
        <f t="shared" si="668"/>
        <v>#REF!</v>
      </c>
      <c r="AZ100" s="19">
        <f t="shared" si="669"/>
        <v>1078.8705921890441</v>
      </c>
      <c r="BA100" s="15" t="e">
        <f t="shared" si="670"/>
        <v>#REF!</v>
      </c>
      <c r="BB100" s="730" t="e">
        <f t="shared" si="671"/>
        <v>#REF!</v>
      </c>
      <c r="BC100" s="800" t="e">
        <f>IF(AND(BA100&gt;0,BB100&gt;0),"Between",IF(BA100&lt;0.001,"At high","At low"))</f>
        <v>#REF!</v>
      </c>
      <c r="BD100" s="749">
        <f>COUNTIF($BC$96:$BC$105,"=Between")/COUNTA($BC$96:$BC$105)</f>
        <v>0.3</v>
      </c>
      <c r="BE100" s="749">
        <f ca="1">COUNTIF($BC$96:$BC$109,"=Between")/COUNTA($BC$96:$BC$109)</f>
        <v>0.2857142857142857</v>
      </c>
      <c r="BF100" s="74"/>
      <c r="BG100" s="15"/>
      <c r="BH100" s="15"/>
      <c r="BI100" s="15"/>
      <c r="BS100" s="420" t="str">
        <f t="shared" si="407"/>
        <v>PG</v>
      </c>
      <c r="BT100" s="425">
        <f t="shared" si="408"/>
        <v>2.0990000000000002</v>
      </c>
      <c r="BU100" s="19">
        <f t="shared" si="409"/>
        <v>87.41</v>
      </c>
      <c r="BV100" s="19">
        <f t="shared" si="410"/>
        <v>183.47359</v>
      </c>
      <c r="BW100" s="539">
        <f t="shared" si="411"/>
        <v>2.6779999999999999</v>
      </c>
      <c r="BX100" s="19">
        <f t="shared" si="412"/>
        <v>5.6211220000000006</v>
      </c>
      <c r="BY100" s="10">
        <f t="shared" si="413"/>
        <v>6.4307539183159831E-2</v>
      </c>
      <c r="BZ100" s="10">
        <f t="shared" si="414"/>
        <v>2.16330753918316</v>
      </c>
      <c r="CA100" s="539">
        <f t="shared" si="415"/>
        <v>189.09471200000002</v>
      </c>
      <c r="CB100" s="19">
        <f t="shared" si="416"/>
        <v>5.7933375899325021</v>
      </c>
      <c r="CC100" s="10">
        <f t="shared" si="417"/>
        <v>6.6277743850045784E-2</v>
      </c>
      <c r="CD100" s="10">
        <f t="shared" si="418"/>
        <v>2.2295852830332059</v>
      </c>
      <c r="CE100" s="539">
        <f t="shared" si="419"/>
        <v>194.88804958993251</v>
      </c>
      <c r="CF100" s="19">
        <f t="shared" si="420"/>
        <v>5.9708293879629251</v>
      </c>
      <c r="CG100" s="10">
        <f t="shared" si="421"/>
        <v>6.8308310124275545E-2</v>
      </c>
      <c r="CH100" s="10">
        <f t="shared" si="422"/>
        <v>2.2978935931574815</v>
      </c>
      <c r="CI100" s="539">
        <f t="shared" si="423"/>
        <v>200.85887897789544</v>
      </c>
      <c r="CJ100" s="19">
        <f t="shared" si="424"/>
        <v>6.1537590424757358</v>
      </c>
      <c r="CK100" s="10">
        <f t="shared" si="425"/>
        <v>7.0401087318107042E-2</v>
      </c>
      <c r="CL100" s="10">
        <f t="shared" si="426"/>
        <v>2.3682946804755884</v>
      </c>
      <c r="CM100" s="539">
        <f t="shared" si="427"/>
        <v>207.01263802037118</v>
      </c>
      <c r="CN100" s="19">
        <f t="shared" si="428"/>
        <v>6.3422931543136256</v>
      </c>
      <c r="CO100" s="10">
        <f t="shared" si="429"/>
        <v>7.2557981401597374E-2</v>
      </c>
      <c r="CP100" s="10">
        <f t="shared" si="430"/>
        <v>2.440852661877186</v>
      </c>
      <c r="CQ100" s="539">
        <f t="shared" si="431"/>
        <v>213.35493117468482</v>
      </c>
      <c r="CR100" s="19">
        <f t="shared" si="432"/>
        <v>6.536603428507104</v>
      </c>
      <c r="CS100" s="10">
        <f t="shared" si="433"/>
        <v>7.4780956738440735E-2</v>
      </c>
      <c r="CT100" s="10">
        <f t="shared" si="434"/>
        <v>2.5156336186156265</v>
      </c>
      <c r="CU100" s="539">
        <f t="shared" si="435"/>
        <v>219.8915346031919</v>
      </c>
      <c r="CV100" s="19">
        <f t="shared" si="436"/>
        <v>6.736866830652648</v>
      </c>
      <c r="CW100" s="10">
        <f t="shared" si="437"/>
        <v>7.7072037874987398E-2</v>
      </c>
      <c r="CX100" s="10">
        <f t="shared" si="438"/>
        <v>2.5927056564906139</v>
      </c>
      <c r="CY100" s="539">
        <f t="shared" si="439"/>
        <v>226.62840143384454</v>
      </c>
      <c r="CZ100" s="19">
        <f t="shared" si="440"/>
        <v>6.9432657480818643</v>
      </c>
      <c r="DA100" s="10">
        <f t="shared" si="441"/>
        <v>7.9433311384073502E-2</v>
      </c>
      <c r="DB100" s="10">
        <f t="shared" si="442"/>
        <v>2.6721389678746874</v>
      </c>
      <c r="DC100" s="539">
        <f t="shared" si="443"/>
        <v>233.57166718192641</v>
      </c>
      <c r="DD100" s="19">
        <f t="shared" si="444"/>
        <v>7.1559881559684131</v>
      </c>
      <c r="DE100" s="10">
        <f t="shared" si="445"/>
        <v>8.1866927765340505E-2</v>
      </c>
      <c r="DF100" s="10">
        <f t="shared" si="446"/>
        <v>2.7540058956400277</v>
      </c>
      <c r="DG100" s="539">
        <f t="shared" si="447"/>
        <v>240.72765533789482</v>
      </c>
      <c r="DH100" s="19">
        <f t="shared" si="448"/>
        <v>7.3752277885239943</v>
      </c>
      <c r="DI100" s="10">
        <f t="shared" si="449"/>
        <v>8.4375103403775256E-2</v>
      </c>
      <c r="DJ100" s="10">
        <f t="shared" si="450"/>
        <v>2.8383809990438031</v>
      </c>
      <c r="DK100" s="539">
        <f t="shared" si="451"/>
        <v>248.10288312641882</v>
      </c>
      <c r="DL100" s="19">
        <f t="shared" si="452"/>
        <v>7.6011843154393048</v>
      </c>
      <c r="DM100" s="10">
        <f t="shared" si="453"/>
        <v>8.6960122588254266E-2</v>
      </c>
      <c r="DN100" s="10">
        <f t="shared" si="454"/>
        <v>2.9253411216320573</v>
      </c>
      <c r="DO100" s="539">
        <f t="shared" si="455"/>
        <v>255.70406744185811</v>
      </c>
      <c r="DP100" s="19">
        <f t="shared" si="456"/>
        <v>7.8340635237306495</v>
      </c>
      <c r="DQ100" s="10">
        <f t="shared" si="457"/>
        <v>8.9624339591930557E-2</v>
      </c>
      <c r="DR100" s="10">
        <f t="shared" si="458"/>
        <v>3.014965461223988</v>
      </c>
      <c r="DS100" s="539">
        <f t="shared" si="459"/>
        <v>263.53813096558878</v>
      </c>
      <c r="DT100" s="19">
        <f t="shared" si="460"/>
        <v>8.07407750515784</v>
      </c>
      <c r="DU100" s="10">
        <f t="shared" si="461"/>
        <v>9.2370180816357852E-2</v>
      </c>
      <c r="DV100" s="10">
        <f t="shared" si="462"/>
        <v>3.1073356420403457</v>
      </c>
      <c r="DW100" s="539">
        <f t="shared" si="463"/>
        <v>271.61220847074662</v>
      </c>
      <c r="DX100" s="19">
        <f t="shared" si="464"/>
        <v>8.3214448493840454</v>
      </c>
      <c r="DY100" s="10">
        <f t="shared" si="465"/>
        <v>9.5200147001304719E-2</v>
      </c>
      <c r="DZ100" s="10">
        <f t="shared" si="466"/>
        <v>3.2025357890416504</v>
      </c>
      <c r="EA100" s="539">
        <f t="shared" si="467"/>
        <v>279.93365332013065</v>
      </c>
      <c r="EB100" s="19">
        <f t="shared" si="468"/>
        <v>8.5763908430535398</v>
      </c>
      <c r="EC100" s="10">
        <f t="shared" si="469"/>
        <v>9.8116815502271373E-2</v>
      </c>
      <c r="ED100" s="10">
        <f t="shared" si="470"/>
        <v>3.300652604543922</v>
      </c>
      <c r="EE100" s="539">
        <f t="shared" si="471"/>
        <v>288.5100441631842</v>
      </c>
      <c r="EF100" s="19">
        <f t="shared" si="472"/>
        <v>8.839147674968622</v>
      </c>
      <c r="EG100" s="10">
        <f t="shared" si="473"/>
        <v>0.10112284263778312</v>
      </c>
      <c r="EH100" s="10">
        <f t="shared" si="474"/>
        <v>3.4017754471817052</v>
      </c>
      <c r="EI100" s="539">
        <f t="shared" si="475"/>
        <v>297.34919183815282</v>
      </c>
      <c r="EJ100" s="19">
        <f t="shared" si="476"/>
        <v>9.1099546475526072</v>
      </c>
      <c r="EK100" s="10">
        <f t="shared" si="477"/>
        <v>0.10422096610859864</v>
      </c>
      <c r="EL100" s="10">
        <f t="shared" si="478"/>
        <v>3.5059964132903039</v>
      </c>
      <c r="EM100" s="539">
        <f t="shared" si="479"/>
        <v>306.45914648570545</v>
      </c>
      <c r="EN100" s="19">
        <f t="shared" si="480"/>
        <v>9.3890583947914337</v>
      </c>
      <c r="EO100" s="10">
        <f t="shared" si="481"/>
        <v>0.10741400749103575</v>
      </c>
      <c r="EP100" s="10">
        <f t="shared" si="482"/>
        <v>3.6134104207813396</v>
      </c>
      <c r="EQ100" s="539">
        <f t="shared" si="483"/>
        <v>315.84820488049689</v>
      </c>
      <c r="ER100" s="19">
        <f t="shared" si="484"/>
        <v>9.6767131068524268</v>
      </c>
      <c r="ES100" s="10">
        <f t="shared" si="485"/>
        <v>0.11070487480668605</v>
      </c>
      <c r="ET100" s="10">
        <f t="shared" si="486"/>
        <v>3.7241152955880255</v>
      </c>
      <c r="EU100" s="539">
        <f t="shared" si="487"/>
        <v>325.52491798734928</v>
      </c>
      <c r="EV100" s="19">
        <f t="shared" si="488"/>
        <v>9.9731807615847323</v>
      </c>
      <c r="EW100" s="10">
        <f t="shared" si="489"/>
        <v>0.11409656517085839</v>
      </c>
      <c r="EX100" s="10">
        <f t="shared" si="490"/>
        <v>3.838211860758884</v>
      </c>
      <c r="EY100" s="539">
        <f t="shared" si="491"/>
        <v>335.49809874893401</v>
      </c>
      <c r="EZ100" s="19">
        <f t="shared" si="492"/>
        <v>10.278731363112291</v>
      </c>
      <c r="FA100" s="10">
        <f t="shared" si="493"/>
        <v>0.11759216752216327</v>
      </c>
      <c r="FB100" s="10">
        <f t="shared" si="494"/>
        <v>3.9558040282810474</v>
      </c>
      <c r="FC100" s="539">
        <f t="shared" si="495"/>
        <v>345.77683011204635</v>
      </c>
      <c r="FD100" s="19">
        <f t="shared" si="496"/>
        <v>10.593643187736644</v>
      </c>
      <c r="FE100" s="10">
        <f t="shared" si="497"/>
        <v>0.12119486543572411</v>
      </c>
      <c r="FF100" s="10">
        <f t="shared" si="498"/>
        <v>4.0769988937167714</v>
      </c>
      <c r="FG100" s="539">
        <f t="shared" si="499"/>
        <v>356.37047329978299</v>
      </c>
      <c r="FH100" s="19">
        <f t="shared" si="500"/>
        <v>10.918203037373514</v>
      </c>
      <c r="FI100" s="10">
        <f t="shared" si="501"/>
        <v>0.12490794002257767</v>
      </c>
      <c r="FJ100" s="10">
        <f t="shared" si="502"/>
        <v>4.2019068337393488</v>
      </c>
      <c r="FK100" s="539">
        <f t="shared" si="503"/>
        <v>367.28867633715646</v>
      </c>
      <c r="FL100" s="19">
        <f t="shared" si="504"/>
        <v>11.252706500753975</v>
      </c>
      <c r="FM100" s="10">
        <f t="shared" si="505"/>
        <v>0.12873477291790386</v>
      </c>
      <c r="FN100" s="10">
        <f t="shared" si="506"/>
        <v>4.3306416066572524</v>
      </c>
      <c r="FO100" s="539">
        <f t="shared" si="507"/>
        <v>378.54138283791042</v>
      </c>
      <c r="FP100" s="19">
        <f t="shared" si="508"/>
        <v>11.597458222628122</v>
      </c>
      <c r="FQ100" s="10">
        <f t="shared" si="509"/>
        <v>0.13267884936080679</v>
      </c>
      <c r="FR100" s="10">
        <f t="shared" si="510"/>
        <v>4.4633204560180593</v>
      </c>
      <c r="FS100" s="539">
        <f t="shared" si="511"/>
        <v>390.13884106053854</v>
      </c>
      <c r="FT100" s="19">
        <f t="shared" si="512"/>
        <v>11.952772181216362</v>
      </c>
      <c r="FU100" s="10">
        <f t="shared" si="513"/>
        <v>0.13674376136845171</v>
      </c>
      <c r="FV100" s="10">
        <f t="shared" si="514"/>
        <v>4.6000642173865112</v>
      </c>
      <c r="FW100" s="539">
        <f t="shared" si="515"/>
        <v>402.09161324175494</v>
      </c>
      <c r="FX100" s="19">
        <f t="shared" si="516"/>
        <v>12.318971974161077</v>
      </c>
      <c r="FY100" s="10">
        <f t="shared" si="517"/>
        <v>0.14093321100744854</v>
      </c>
      <c r="FZ100" s="10">
        <f t="shared" si="518"/>
        <v>4.7409974283939595</v>
      </c>
      <c r="GA100" s="539">
        <f t="shared" si="519"/>
        <v>414.410585215916</v>
      </c>
      <c r="GB100" s="19">
        <f t="shared" si="520"/>
        <v>12.696391113239024</v>
      </c>
      <c r="GC100" s="10">
        <f t="shared" si="521"/>
        <v>0.1452510137654619</v>
      </c>
      <c r="GD100" s="10">
        <f t="shared" si="522"/>
        <v>4.8862484421594212</v>
      </c>
      <c r="GE100" s="539">
        <f t="shared" si="523"/>
        <v>427.10697632915497</v>
      </c>
      <c r="GF100" s="19">
        <f t="shared" si="524"/>
        <v>13.08537332810293</v>
      </c>
      <c r="GG100" s="10">
        <f t="shared" si="525"/>
        <v>0.1497011020261175</v>
      </c>
      <c r="GH100" s="10">
        <f t="shared" si="526"/>
        <v>5.0359495441855389</v>
      </c>
      <c r="GI100" s="539">
        <f t="shared" si="527"/>
        <v>440.19234965725792</v>
      </c>
      <c r="GJ100" s="19">
        <f t="shared" si="528"/>
        <v>13.486272879328872</v>
      </c>
      <c r="GK100" s="10">
        <f t="shared" si="529"/>
        <v>0.15428752865037035</v>
      </c>
      <c r="GL100" s="10">
        <f t="shared" si="530"/>
        <v>5.1902370728359095</v>
      </c>
      <c r="GM100" s="539">
        <f t="shared" si="531"/>
        <v>453.67862253658683</v>
      </c>
      <c r="GN100" s="19">
        <f t="shared" si="532"/>
        <v>13.899454881054565</v>
      </c>
      <c r="GO100" s="10">
        <f t="shared" si="533"/>
        <v>0.159014470667596</v>
      </c>
      <c r="GP100" s="10">
        <f t="shared" si="534"/>
        <v>5.349251543503506</v>
      </c>
      <c r="GQ100" s="539">
        <f t="shared" si="535"/>
        <v>467.57807741764145</v>
      </c>
      <c r="GR100" s="19">
        <f t="shared" si="536"/>
        <v>14.325295633502389</v>
      </c>
      <c r="GS100" s="10">
        <f t="shared" si="537"/>
        <v>0.16388623307976649</v>
      </c>
      <c r="GT100" s="10">
        <f t="shared" si="538"/>
        <v>5.5131377765832728</v>
      </c>
      <c r="GU100" s="539">
        <f t="shared" si="539"/>
        <v>481.90337305114383</v>
      </c>
      <c r="GV100" s="19">
        <f t="shared" si="540"/>
        <v>14.764182965690004</v>
      </c>
      <c r="GW100" s="10">
        <f t="shared" si="541"/>
        <v>0.168907252782176</v>
      </c>
      <c r="GX100" s="10">
        <f t="shared" si="542"/>
        <v>5.6820450293654492</v>
      </c>
      <c r="GY100" s="539">
        <f t="shared" si="543"/>
        <v>496.66755601683388</v>
      </c>
      <c r="GZ100" s="19">
        <f t="shared" si="544"/>
        <v>15.216516588640673</v>
      </c>
      <c r="HA100" s="10">
        <f t="shared" si="545"/>
        <v>0.17408210260428639</v>
      </c>
      <c r="HB100" s="10">
        <f t="shared" si="546"/>
        <v>5.8561271319697354</v>
      </c>
      <c r="HC100" s="539">
        <f t="shared" si="547"/>
        <v>511.88407260547456</v>
      </c>
      <c r="HD100" s="19">
        <f t="shared" si="548"/>
        <v>15.68270845941495</v>
      </c>
      <c r="HE100" s="10">
        <f t="shared" si="549"/>
        <v>0.17941549547437308</v>
      </c>
      <c r="HF100" s="10">
        <f t="shared" si="550"/>
        <v>6.0355426274441086</v>
      </c>
      <c r="HG100" s="539">
        <f t="shared" si="551"/>
        <v>527.56678106488948</v>
      </c>
      <c r="HH100" s="19">
        <f t="shared" si="552"/>
        <v>16.163183156295322</v>
      </c>
      <c r="HI100" s="10">
        <f t="shared" si="553"/>
        <v>0.18491228871176435</v>
      </c>
      <c r="HJ100" s="10">
        <f t="shared" si="554"/>
        <v>6.2204549161558731</v>
      </c>
      <c r="HK100" s="539">
        <f t="shared" si="555"/>
        <v>543.7299642211849</v>
      </c>
      <c r="HL100" s="19">
        <f t="shared" si="556"/>
        <v>16.658378265465426</v>
      </c>
      <c r="HM100" s="10">
        <f t="shared" si="557"/>
        <v>0.19057748845058262</v>
      </c>
      <c r="HN100" s="10">
        <f t="shared" si="558"/>
        <v>6.4110324046064555</v>
      </c>
      <c r="HO100" s="539">
        <f t="shared" si="559"/>
        <v>560.38834248665023</v>
      </c>
      <c r="HP100" s="19">
        <f t="shared" si="560"/>
        <v>17.168744779536087</v>
      </c>
      <c r="HQ100" s="10">
        <f t="shared" si="561"/>
        <v>0.19641625419901715</v>
      </c>
      <c r="HR100" s="10">
        <f t="shared" si="562"/>
        <v>6.6074486588054731</v>
      </c>
      <c r="HS100" s="539">
        <f t="shared" si="563"/>
        <v>577.55708726618639</v>
      </c>
      <c r="HT100" s="19">
        <f t="shared" si="564"/>
        <v>17.694747508281058</v>
      </c>
      <c r="HU100" s="10">
        <f t="shared" si="565"/>
        <v>0.20243390353828003</v>
      </c>
      <c r="HV100" s="10">
        <f t="shared" si="566"/>
        <v>6.8098825623437529</v>
      </c>
      <c r="HW100" s="539">
        <f t="shared" si="567"/>
        <v>595.2518347744674</v>
      </c>
      <c r="HX100" s="19">
        <f t="shared" si="568"/>
        <v>18.236865501956569</v>
      </c>
      <c r="HY100" s="10">
        <f t="shared" si="569"/>
        <v>0.20863591696552533</v>
      </c>
      <c r="HZ100" s="10">
        <f t="shared" si="570"/>
        <v>7.0185184793092779</v>
      </c>
      <c r="IA100" s="539">
        <f t="shared" si="571"/>
        <v>613.48870027642397</v>
      </c>
      <c r="IB100" s="19">
        <f t="shared" si="572"/>
        <v>18.795592487590245</v>
      </c>
      <c r="IM100" s="11"/>
      <c r="IN100" s="19"/>
      <c r="IO100" s="20"/>
      <c r="IP100" s="10"/>
    </row>
    <row r="101" spans="1:261">
      <c r="A101" s="20"/>
      <c r="B101" s="20"/>
      <c r="C101" s="826" t="s">
        <v>2345</v>
      </c>
      <c r="D101" s="47" t="s">
        <v>611</v>
      </c>
      <c r="E101" s="396">
        <f t="shared" si="600"/>
        <v>258.34929999999997</v>
      </c>
      <c r="F101" s="242">
        <v>13.349299999999999</v>
      </c>
      <c r="G101" s="48">
        <f>'Update Stock Prices'!S101</f>
        <v>535877862.59541982</v>
      </c>
      <c r="H101" s="991">
        <f t="shared" si="610"/>
        <v>2.4911086894586894E-8</v>
      </c>
      <c r="I101" s="49">
        <f>'Update Stock Prices'!D101</f>
        <v>1.31</v>
      </c>
      <c r="J101" s="49">
        <f t="shared" si="404"/>
        <v>17.487583000000001</v>
      </c>
      <c r="K101" s="30">
        <v>44.26</v>
      </c>
      <c r="L101" s="49">
        <f t="shared" si="611"/>
        <v>-26.772416999999997</v>
      </c>
      <c r="M101" s="50">
        <f t="shared" si="613"/>
        <v>-0.60488967464979659</v>
      </c>
      <c r="N101" s="49">
        <f t="shared" si="612"/>
        <v>3.3155296532402447</v>
      </c>
      <c r="O101" s="48">
        <f t="shared" si="601"/>
        <v>245</v>
      </c>
      <c r="P101" s="49">
        <f t="shared" si="602"/>
        <v>6.0000000000002274E-2</v>
      </c>
      <c r="Q101" s="30">
        <v>0</v>
      </c>
      <c r="R101" s="49">
        <f t="shared" si="665"/>
        <v>0</v>
      </c>
      <c r="S101" s="49">
        <f t="shared" si="603"/>
        <v>0</v>
      </c>
      <c r="T101" s="49">
        <f t="shared" si="666"/>
        <v>0</v>
      </c>
      <c r="U101" s="49"/>
      <c r="V101" s="50">
        <f t="shared" si="604"/>
        <v>0</v>
      </c>
      <c r="W101" s="50">
        <f t="shared" si="575"/>
        <v>0</v>
      </c>
      <c r="X101" s="49">
        <f t="shared" si="618"/>
        <v>0</v>
      </c>
      <c r="Y101" s="49">
        <f t="shared" si="654"/>
        <v>0</v>
      </c>
      <c r="Z101" s="860">
        <f t="shared" si="605"/>
        <v>0</v>
      </c>
      <c r="AA101" s="860" t="str">
        <f t="shared" si="606"/>
        <v/>
      </c>
      <c r="AB101" s="49" t="str">
        <f t="shared" si="607"/>
        <v/>
      </c>
      <c r="AC101" s="48">
        <v>1</v>
      </c>
      <c r="AD101" s="47" t="str">
        <f t="shared" si="608"/>
        <v>PGH</v>
      </c>
      <c r="AE101" s="49">
        <f t="shared" si="609"/>
        <v>17.487583000000001</v>
      </c>
      <c r="AF101" s="50" t="e">
        <f t="shared" si="692"/>
        <v>#REF!</v>
      </c>
      <c r="AG101" s="890" t="e">
        <f t="shared" si="599"/>
        <v>#REF!</v>
      </c>
      <c r="AH101" s="207" t="s">
        <v>322</v>
      </c>
      <c r="AI101" s="240">
        <f t="shared" si="693"/>
        <v>6.9423724579630659E-4</v>
      </c>
      <c r="AJ101" s="11">
        <f t="shared" si="595"/>
        <v>3</v>
      </c>
      <c r="AK101" s="11"/>
      <c r="AL101" s="11"/>
      <c r="AM101" s="11"/>
      <c r="AN101" s="11"/>
      <c r="AO101" s="11"/>
      <c r="AP101" s="11"/>
      <c r="AQ101" s="11" t="str">
        <f>'Update Stock Prices'!Q101</f>
        <v>small</v>
      </c>
      <c r="AR101" s="11"/>
      <c r="AS101" s="11"/>
      <c r="AT101" s="19"/>
      <c r="AU101" s="224" t="s">
        <v>2213</v>
      </c>
      <c r="AV101" s="30">
        <v>9.382731917700001</v>
      </c>
      <c r="AW101" s="420" t="str">
        <f t="shared" si="667"/>
        <v/>
      </c>
      <c r="AX101" s="30">
        <v>295.11993325539999</v>
      </c>
      <c r="AY101" s="236" t="str">
        <f t="shared" si="668"/>
        <v/>
      </c>
      <c r="AZ101" s="19">
        <f>AX101-AV101</f>
        <v>285.73720133769996</v>
      </c>
      <c r="BA101" s="15">
        <f t="shared" si="670"/>
        <v>0.62334621842054183</v>
      </c>
      <c r="BB101" s="730">
        <f t="shared" si="671"/>
        <v>18.375730378276028</v>
      </c>
      <c r="BC101" s="800" t="str">
        <f t="shared" si="694"/>
        <v>Between</v>
      </c>
      <c r="BD101" s="749"/>
      <c r="BE101" s="749"/>
      <c r="BF101" s="74"/>
      <c r="BG101" s="15">
        <v>0.01</v>
      </c>
      <c r="BH101" s="15"/>
      <c r="BI101" s="15"/>
      <c r="BS101" s="420" t="str">
        <f t="shared" ref="BS101:BS146" si="715">D101</f>
        <v>PGH</v>
      </c>
      <c r="BT101" s="425">
        <f t="shared" ref="BT101:BT146" si="716">F101</f>
        <v>13.349299999999999</v>
      </c>
      <c r="BU101" s="19">
        <f t="shared" ref="BU101:BU146" si="717">I101</f>
        <v>1.31</v>
      </c>
      <c r="BV101" s="19">
        <f t="shared" ref="BV101:BV146" si="718">J101</f>
        <v>17.487583000000001</v>
      </c>
      <c r="BW101" s="539">
        <f t="shared" ref="BW101:BW146" si="719">Q101</f>
        <v>0</v>
      </c>
      <c r="BX101" s="19">
        <f t="shared" ref="BX101:BX146" si="720">BT101*BW101</f>
        <v>0</v>
      </c>
      <c r="BY101" s="10">
        <f t="shared" ref="BY101:BY146" si="721">BX101/BU101</f>
        <v>0</v>
      </c>
      <c r="BZ101" s="10">
        <f t="shared" ref="BZ101:BZ146" si="722">BY101+BT101</f>
        <v>13.349299999999999</v>
      </c>
      <c r="CA101" s="539">
        <f t="shared" ref="CA101:CA146" si="723">BZ101*BU101</f>
        <v>17.487583000000001</v>
      </c>
      <c r="CB101" s="19">
        <f t="shared" ref="CB101:CB146" si="724">BZ101*BW101</f>
        <v>0</v>
      </c>
      <c r="CC101" s="10">
        <f t="shared" ref="CC101:CC146" si="725">CB101/BU101</f>
        <v>0</v>
      </c>
      <c r="CD101" s="10">
        <f t="shared" ref="CD101:CD146" si="726">BZ101+CC101</f>
        <v>13.349299999999999</v>
      </c>
      <c r="CE101" s="539">
        <f t="shared" ref="CE101:CE146" si="727">CD101*BU101</f>
        <v>17.487583000000001</v>
      </c>
      <c r="CF101" s="19">
        <f t="shared" ref="CF101:CF146" si="728">CD101*BW101</f>
        <v>0</v>
      </c>
      <c r="CG101" s="10">
        <f t="shared" ref="CG101:CG146" si="729">CF101/BU101</f>
        <v>0</v>
      </c>
      <c r="CH101" s="10">
        <f t="shared" ref="CH101:CH146" si="730">CD101+CG101</f>
        <v>13.349299999999999</v>
      </c>
      <c r="CI101" s="539">
        <f t="shared" ref="CI101:CI146" si="731">CH101*BU101</f>
        <v>17.487583000000001</v>
      </c>
      <c r="CJ101" s="19">
        <f t="shared" ref="CJ101:CJ146" si="732">CH101*BW101</f>
        <v>0</v>
      </c>
      <c r="CK101" s="10">
        <f t="shared" ref="CK101:CK146" si="733">CJ101/BU101</f>
        <v>0</v>
      </c>
      <c r="CL101" s="10">
        <f t="shared" ref="CL101:CL146" si="734">CH101+CK101</f>
        <v>13.349299999999999</v>
      </c>
      <c r="CM101" s="539">
        <f t="shared" ref="CM101:CM146" si="735">CL101*BU101</f>
        <v>17.487583000000001</v>
      </c>
      <c r="CN101" s="19">
        <f t="shared" ref="CN101:CN146" si="736">CL101*BW101</f>
        <v>0</v>
      </c>
      <c r="CO101" s="10">
        <f t="shared" ref="CO101:CO146" si="737">CN101/BU101</f>
        <v>0</v>
      </c>
      <c r="CP101" s="10">
        <f t="shared" ref="CP101:CP146" si="738">CL101+CO101</f>
        <v>13.349299999999999</v>
      </c>
      <c r="CQ101" s="539">
        <f t="shared" ref="CQ101:CQ146" si="739">CP101*BU101</f>
        <v>17.487583000000001</v>
      </c>
      <c r="CR101" s="19">
        <f t="shared" ref="CR101:CR146" si="740">CP101*BW101</f>
        <v>0</v>
      </c>
      <c r="CS101" s="10">
        <f t="shared" ref="CS101:CS146" si="741">CR101/BU101</f>
        <v>0</v>
      </c>
      <c r="CT101" s="10">
        <f t="shared" ref="CT101:CT146" si="742">CP101+CS101</f>
        <v>13.349299999999999</v>
      </c>
      <c r="CU101" s="539">
        <f t="shared" ref="CU101:CU146" si="743">CT101*BU101</f>
        <v>17.487583000000001</v>
      </c>
      <c r="CV101" s="19">
        <f t="shared" ref="CV101:CV146" si="744">CT101*BW101</f>
        <v>0</v>
      </c>
      <c r="CW101" s="10">
        <f t="shared" ref="CW101:CW146" si="745">CV101/BU101</f>
        <v>0</v>
      </c>
      <c r="CX101" s="10">
        <f t="shared" ref="CX101:CX146" si="746">CT101+CW101</f>
        <v>13.349299999999999</v>
      </c>
      <c r="CY101" s="539">
        <f t="shared" ref="CY101:CY146" si="747">CX101*BU101</f>
        <v>17.487583000000001</v>
      </c>
      <c r="CZ101" s="19">
        <f t="shared" ref="CZ101:CZ146" si="748">CX101*BW101</f>
        <v>0</v>
      </c>
      <c r="DA101" s="10">
        <f t="shared" ref="DA101:DA146" si="749">CZ101/BU101</f>
        <v>0</v>
      </c>
      <c r="DB101" s="10">
        <f t="shared" ref="DB101:DB146" si="750">CX101+DA101</f>
        <v>13.349299999999999</v>
      </c>
      <c r="DC101" s="539">
        <f t="shared" ref="DC101:DC146" si="751">DB101*BU101</f>
        <v>17.487583000000001</v>
      </c>
      <c r="DD101" s="19">
        <f t="shared" ref="DD101:DD146" si="752">DB101*BW101</f>
        <v>0</v>
      </c>
      <c r="DE101" s="10">
        <f t="shared" ref="DE101:DE146" si="753">DD101/BU101</f>
        <v>0</v>
      </c>
      <c r="DF101" s="10">
        <f t="shared" ref="DF101:DF146" si="754">DB101+DE101</f>
        <v>13.349299999999999</v>
      </c>
      <c r="DG101" s="539">
        <f t="shared" ref="DG101:DG146" si="755">DF101*BU101</f>
        <v>17.487583000000001</v>
      </c>
      <c r="DH101" s="19">
        <f t="shared" ref="DH101:DH146" si="756">DF101*BW101</f>
        <v>0</v>
      </c>
      <c r="DI101" s="10">
        <f t="shared" ref="DI101:DI146" si="757">DH101/BU101</f>
        <v>0</v>
      </c>
      <c r="DJ101" s="10">
        <f t="shared" ref="DJ101:DJ146" si="758">DF101+DI101</f>
        <v>13.349299999999999</v>
      </c>
      <c r="DK101" s="539">
        <f t="shared" ref="DK101:DK146" si="759">DJ101*BU101</f>
        <v>17.487583000000001</v>
      </c>
      <c r="DL101" s="19">
        <f t="shared" ref="DL101:DL146" si="760">DJ101*BW101</f>
        <v>0</v>
      </c>
      <c r="DM101" s="10">
        <f t="shared" ref="DM101:DM146" si="761">DL101/BU101</f>
        <v>0</v>
      </c>
      <c r="DN101" s="10">
        <f t="shared" ref="DN101:DN146" si="762">DJ101+DM101</f>
        <v>13.349299999999999</v>
      </c>
      <c r="DO101" s="539">
        <f t="shared" ref="DO101:DO146" si="763">DN101*BU101</f>
        <v>17.487583000000001</v>
      </c>
      <c r="DP101" s="19">
        <f t="shared" ref="DP101:DP146" si="764">DN101*BW101</f>
        <v>0</v>
      </c>
      <c r="DQ101" s="10">
        <f t="shared" ref="DQ101:DQ146" si="765">DP101/BU101</f>
        <v>0</v>
      </c>
      <c r="DR101" s="10">
        <f t="shared" ref="DR101:DR146" si="766">DN101+DQ101</f>
        <v>13.349299999999999</v>
      </c>
      <c r="DS101" s="539">
        <f t="shared" ref="DS101:DS146" si="767">DR101*BU101</f>
        <v>17.487583000000001</v>
      </c>
      <c r="DT101" s="19">
        <f t="shared" ref="DT101:DT146" si="768">DR101*BW101</f>
        <v>0</v>
      </c>
      <c r="DU101" s="10">
        <f t="shared" ref="DU101:DU146" si="769">DT101/BU101</f>
        <v>0</v>
      </c>
      <c r="DV101" s="10">
        <f t="shared" ref="DV101:DV146" si="770">DR101+DU101</f>
        <v>13.349299999999999</v>
      </c>
      <c r="DW101" s="539">
        <f t="shared" ref="DW101:DW146" si="771">DV101*BU101</f>
        <v>17.487583000000001</v>
      </c>
      <c r="DX101" s="19">
        <f t="shared" ref="DX101:DX146" si="772">DV101*BW101</f>
        <v>0</v>
      </c>
      <c r="DY101" s="10">
        <f t="shared" ref="DY101:DY146" si="773">DX101/BU101</f>
        <v>0</v>
      </c>
      <c r="DZ101" s="10">
        <f t="shared" ref="DZ101:DZ146" si="774">DV101+DY101</f>
        <v>13.349299999999999</v>
      </c>
      <c r="EA101" s="539">
        <f t="shared" ref="EA101:EA146" si="775">DZ101*BU101</f>
        <v>17.487583000000001</v>
      </c>
      <c r="EB101" s="19">
        <f t="shared" ref="EB101:EB146" si="776">DZ101*BW101</f>
        <v>0</v>
      </c>
      <c r="EC101" s="10">
        <f t="shared" ref="EC101:EC146" si="777">EB101/BU101</f>
        <v>0</v>
      </c>
      <c r="ED101" s="10">
        <f t="shared" ref="ED101:ED146" si="778">DZ101+EC101</f>
        <v>13.349299999999999</v>
      </c>
      <c r="EE101" s="539">
        <f t="shared" ref="EE101:EE146" si="779">ED101*BU101</f>
        <v>17.487583000000001</v>
      </c>
      <c r="EF101" s="19">
        <f t="shared" ref="EF101:EF146" si="780">ED101*BW101</f>
        <v>0</v>
      </c>
      <c r="EG101" s="10">
        <f t="shared" ref="EG101:EG146" si="781">EF101/BU101</f>
        <v>0</v>
      </c>
      <c r="EH101" s="10">
        <f t="shared" ref="EH101:EH146" si="782">ED101+EG101</f>
        <v>13.349299999999999</v>
      </c>
      <c r="EI101" s="539">
        <f t="shared" ref="EI101:EI146" si="783">EH101*BU101</f>
        <v>17.487583000000001</v>
      </c>
      <c r="EJ101" s="19">
        <f t="shared" ref="EJ101:EJ146" si="784">EH101*BW101</f>
        <v>0</v>
      </c>
      <c r="EK101" s="10">
        <f t="shared" ref="EK101:EK146" si="785">EJ101/BU101</f>
        <v>0</v>
      </c>
      <c r="EL101" s="10">
        <f t="shared" ref="EL101:EL146" si="786">EH101+EK101</f>
        <v>13.349299999999999</v>
      </c>
      <c r="EM101" s="539">
        <f t="shared" ref="EM101:EM146" si="787">EL101*BU101</f>
        <v>17.487583000000001</v>
      </c>
      <c r="EN101" s="19">
        <f t="shared" ref="EN101:EN146" si="788">EL101*BW101</f>
        <v>0</v>
      </c>
      <c r="EO101" s="10">
        <f t="shared" ref="EO101:EO146" si="789">EN101/BU101</f>
        <v>0</v>
      </c>
      <c r="EP101" s="10">
        <f t="shared" ref="EP101:EP146" si="790">EL101+EO101</f>
        <v>13.349299999999999</v>
      </c>
      <c r="EQ101" s="539">
        <f t="shared" ref="EQ101:EQ146" si="791">EP101*BU101</f>
        <v>17.487583000000001</v>
      </c>
      <c r="ER101" s="19">
        <f t="shared" ref="ER101:ER146" si="792">EP101*BW101</f>
        <v>0</v>
      </c>
      <c r="ES101" s="10">
        <f t="shared" ref="ES101:ES146" si="793">ER101/BU101</f>
        <v>0</v>
      </c>
      <c r="ET101" s="10">
        <f t="shared" ref="ET101:ET146" si="794">EP101+ES101</f>
        <v>13.349299999999999</v>
      </c>
      <c r="EU101" s="539">
        <f t="shared" ref="EU101:EU146" si="795">ET101*BU101</f>
        <v>17.487583000000001</v>
      </c>
      <c r="EV101" s="19">
        <f t="shared" ref="EV101:EV146" si="796">ET101*BW101</f>
        <v>0</v>
      </c>
      <c r="EW101" s="10">
        <f t="shared" ref="EW101:EW146" si="797">EV101/BU101</f>
        <v>0</v>
      </c>
      <c r="EX101" s="10">
        <f t="shared" ref="EX101:EX146" si="798">ET101+EW101</f>
        <v>13.349299999999999</v>
      </c>
      <c r="EY101" s="539">
        <f t="shared" ref="EY101:EY146" si="799">EX101*BU101</f>
        <v>17.487583000000001</v>
      </c>
      <c r="EZ101" s="19">
        <f t="shared" ref="EZ101:EZ146" si="800">EX101*BW101</f>
        <v>0</v>
      </c>
      <c r="FA101" s="10">
        <f t="shared" ref="FA101:FA146" si="801">EZ101/BU101</f>
        <v>0</v>
      </c>
      <c r="FB101" s="10">
        <f t="shared" ref="FB101:FB146" si="802">EX101+FA101</f>
        <v>13.349299999999999</v>
      </c>
      <c r="FC101" s="539">
        <f t="shared" ref="FC101:FC146" si="803">FB101*BU101</f>
        <v>17.487583000000001</v>
      </c>
      <c r="FD101" s="19">
        <f t="shared" ref="FD101:FD146" si="804">FB101*BW101</f>
        <v>0</v>
      </c>
      <c r="FE101" s="10">
        <f t="shared" ref="FE101:FE146" si="805">FD101/BU101</f>
        <v>0</v>
      </c>
      <c r="FF101" s="10">
        <f t="shared" ref="FF101:FF146" si="806">FB101+FE101</f>
        <v>13.349299999999999</v>
      </c>
      <c r="FG101" s="539">
        <f t="shared" ref="FG101:FG146" si="807">FF101*BU101</f>
        <v>17.487583000000001</v>
      </c>
      <c r="FH101" s="19">
        <f t="shared" ref="FH101:FH146" si="808">FF101*BW101</f>
        <v>0</v>
      </c>
      <c r="FI101" s="10">
        <f t="shared" ref="FI101:FI146" si="809">FH101/BU101</f>
        <v>0</v>
      </c>
      <c r="FJ101" s="10">
        <f t="shared" ref="FJ101:FJ146" si="810">FF101+FI101</f>
        <v>13.349299999999999</v>
      </c>
      <c r="FK101" s="539">
        <f t="shared" ref="FK101:FK146" si="811">FJ101*BU101</f>
        <v>17.487583000000001</v>
      </c>
      <c r="FL101" s="19">
        <f t="shared" ref="FL101:FL146" si="812">FJ101*BW101</f>
        <v>0</v>
      </c>
      <c r="FM101" s="10">
        <f t="shared" ref="FM101:FM146" si="813">FL101/BU101</f>
        <v>0</v>
      </c>
      <c r="FN101" s="10">
        <f t="shared" ref="FN101:FN146" si="814">FJ101+FM101</f>
        <v>13.349299999999999</v>
      </c>
      <c r="FO101" s="539">
        <f t="shared" ref="FO101:FO146" si="815">FN101*BU101</f>
        <v>17.487583000000001</v>
      </c>
      <c r="FP101" s="19">
        <f t="shared" ref="FP101:FP146" si="816">FN101*BW101</f>
        <v>0</v>
      </c>
      <c r="FQ101" s="10">
        <f t="shared" ref="FQ101:FQ146" si="817">FP101/BU101</f>
        <v>0</v>
      </c>
      <c r="FR101" s="10">
        <f t="shared" ref="FR101:FR146" si="818">FN101+FQ101</f>
        <v>13.349299999999999</v>
      </c>
      <c r="FS101" s="539">
        <f t="shared" ref="FS101:FS146" si="819">FR101*BU101</f>
        <v>17.487583000000001</v>
      </c>
      <c r="FT101" s="19">
        <f t="shared" ref="FT101:FT146" si="820">FR101*BW101</f>
        <v>0</v>
      </c>
      <c r="FU101" s="10">
        <f t="shared" ref="FU101:FU146" si="821">FT101/BU101</f>
        <v>0</v>
      </c>
      <c r="FV101" s="10">
        <f t="shared" ref="FV101:FV146" si="822">FR101+FU101</f>
        <v>13.349299999999999</v>
      </c>
      <c r="FW101" s="539">
        <f t="shared" ref="FW101:FW146" si="823">FV101*BU101</f>
        <v>17.487583000000001</v>
      </c>
      <c r="FX101" s="19">
        <f t="shared" ref="FX101:FX146" si="824">FV101*BW101</f>
        <v>0</v>
      </c>
      <c r="FY101" s="10">
        <f t="shared" ref="FY101:FY146" si="825">FX101/BU101</f>
        <v>0</v>
      </c>
      <c r="FZ101" s="10">
        <f t="shared" ref="FZ101:FZ146" si="826">FV101+FY101</f>
        <v>13.349299999999999</v>
      </c>
      <c r="GA101" s="539">
        <f t="shared" ref="GA101:GA146" si="827">FZ101*BU101</f>
        <v>17.487583000000001</v>
      </c>
      <c r="GB101" s="19">
        <f t="shared" ref="GB101:GB146" si="828">FZ101*BW101</f>
        <v>0</v>
      </c>
      <c r="GC101" s="10">
        <f t="shared" ref="GC101:GC146" si="829">GB101/BU101</f>
        <v>0</v>
      </c>
      <c r="GD101" s="10">
        <f t="shared" ref="GD101:GD146" si="830">FZ101+GC101</f>
        <v>13.349299999999999</v>
      </c>
      <c r="GE101" s="539">
        <f t="shared" ref="GE101:GE146" si="831">GD101*BU101</f>
        <v>17.487583000000001</v>
      </c>
      <c r="GF101" s="19">
        <f t="shared" ref="GF101:GF146" si="832">GD101*BW101</f>
        <v>0</v>
      </c>
      <c r="GG101" s="10">
        <f t="shared" ref="GG101:GG146" si="833">GF101/BU101</f>
        <v>0</v>
      </c>
      <c r="GH101" s="10">
        <f t="shared" ref="GH101:GH146" si="834">GD101+GG101</f>
        <v>13.349299999999999</v>
      </c>
      <c r="GI101" s="539">
        <f t="shared" ref="GI101:GI146" si="835">GH101*BU101</f>
        <v>17.487583000000001</v>
      </c>
      <c r="GJ101" s="19">
        <f t="shared" ref="GJ101:GJ146" si="836">GH101*BW101</f>
        <v>0</v>
      </c>
      <c r="GK101" s="10">
        <f t="shared" ref="GK101:GK146" si="837">GJ101/BU101</f>
        <v>0</v>
      </c>
      <c r="GL101" s="10">
        <f t="shared" ref="GL101:GL146" si="838">GH101+GK101</f>
        <v>13.349299999999999</v>
      </c>
      <c r="GM101" s="539">
        <f t="shared" ref="GM101:GM146" si="839">GL101*BU101</f>
        <v>17.487583000000001</v>
      </c>
      <c r="GN101" s="19">
        <f t="shared" ref="GN101:GN146" si="840">GL101*BW101</f>
        <v>0</v>
      </c>
      <c r="GO101" s="10">
        <f t="shared" ref="GO101:GO146" si="841">GN101/BU101</f>
        <v>0</v>
      </c>
      <c r="GP101" s="10">
        <f t="shared" ref="GP101:GP146" si="842">GL101+GO101</f>
        <v>13.349299999999999</v>
      </c>
      <c r="GQ101" s="539">
        <f t="shared" ref="GQ101:GQ146" si="843">GP101*BU101</f>
        <v>17.487583000000001</v>
      </c>
      <c r="GR101" s="19">
        <f t="shared" ref="GR101:GR146" si="844">GP101*BW101</f>
        <v>0</v>
      </c>
      <c r="GS101" s="10">
        <f t="shared" ref="GS101:GS146" si="845">GR101/BU101</f>
        <v>0</v>
      </c>
      <c r="GT101" s="10">
        <f t="shared" ref="GT101:GT146" si="846">GP101+GS101</f>
        <v>13.349299999999999</v>
      </c>
      <c r="GU101" s="539">
        <f t="shared" ref="GU101:GU146" si="847">GT101*BU101</f>
        <v>17.487583000000001</v>
      </c>
      <c r="GV101" s="19">
        <f t="shared" ref="GV101:GV146" si="848">GT101*BW101</f>
        <v>0</v>
      </c>
      <c r="GW101" s="10">
        <f t="shared" ref="GW101:GW146" si="849">GV101/BU101</f>
        <v>0</v>
      </c>
      <c r="GX101" s="10">
        <f t="shared" ref="GX101:GX146" si="850">GT101+GW101</f>
        <v>13.349299999999999</v>
      </c>
      <c r="GY101" s="539">
        <f t="shared" ref="GY101:GY146" si="851">GX101*BU101</f>
        <v>17.487583000000001</v>
      </c>
      <c r="GZ101" s="19">
        <f t="shared" ref="GZ101:GZ146" si="852">GX101*BW101</f>
        <v>0</v>
      </c>
      <c r="HA101" s="10">
        <f t="shared" ref="HA101:HA146" si="853">GZ101/BU101</f>
        <v>0</v>
      </c>
      <c r="HB101" s="10">
        <f t="shared" ref="HB101:HB146" si="854">GX101+HA101</f>
        <v>13.349299999999999</v>
      </c>
      <c r="HC101" s="539">
        <f t="shared" ref="HC101:HC146" si="855">HB101*BU101</f>
        <v>17.487583000000001</v>
      </c>
      <c r="HD101" s="19">
        <f t="shared" ref="HD101:HD146" si="856">HB101*BW101</f>
        <v>0</v>
      </c>
      <c r="HE101" s="10">
        <f t="shared" ref="HE101:HE146" si="857">HD101/BU101</f>
        <v>0</v>
      </c>
      <c r="HF101" s="10">
        <f t="shared" ref="HF101:HF146" si="858">HB101+HE101</f>
        <v>13.349299999999999</v>
      </c>
      <c r="HG101" s="539">
        <f t="shared" ref="HG101:HG146" si="859">HF101*BU101</f>
        <v>17.487583000000001</v>
      </c>
      <c r="HH101" s="19">
        <f t="shared" ref="HH101:HH146" si="860">HF101*BW101</f>
        <v>0</v>
      </c>
      <c r="HI101" s="10">
        <f t="shared" ref="HI101:HI146" si="861">HH101/BU101</f>
        <v>0</v>
      </c>
      <c r="HJ101" s="10">
        <f t="shared" ref="HJ101:HJ146" si="862">HF101+HI101</f>
        <v>13.349299999999999</v>
      </c>
      <c r="HK101" s="539">
        <f t="shared" ref="HK101:HK146" si="863">HJ101*BU101</f>
        <v>17.487583000000001</v>
      </c>
      <c r="HL101" s="19">
        <f t="shared" ref="HL101:HL146" si="864">HJ101*BW101</f>
        <v>0</v>
      </c>
      <c r="HM101" s="10">
        <f t="shared" ref="HM101:HM146" si="865">HL101/BU101</f>
        <v>0</v>
      </c>
      <c r="HN101" s="10">
        <f t="shared" ref="HN101:HN146" si="866">HJ101+HM101</f>
        <v>13.349299999999999</v>
      </c>
      <c r="HO101" s="539">
        <f t="shared" ref="HO101:HO146" si="867">HN101*BU101</f>
        <v>17.487583000000001</v>
      </c>
      <c r="HP101" s="19">
        <f t="shared" ref="HP101:HP146" si="868">HN101*BW101</f>
        <v>0</v>
      </c>
      <c r="HQ101" s="10">
        <f t="shared" ref="HQ101:HQ146" si="869">HP101/BU101</f>
        <v>0</v>
      </c>
      <c r="HR101" s="10">
        <f t="shared" ref="HR101:HR146" si="870">HN101+HQ101</f>
        <v>13.349299999999999</v>
      </c>
      <c r="HS101" s="539">
        <f t="shared" ref="HS101:HS146" si="871">HR101*BU101</f>
        <v>17.487583000000001</v>
      </c>
      <c r="HT101" s="19">
        <f t="shared" ref="HT101:HT146" si="872">HR101*BW101</f>
        <v>0</v>
      </c>
      <c r="HU101" s="10">
        <f t="shared" ref="HU101:HU146" si="873">HT101/BU101</f>
        <v>0</v>
      </c>
      <c r="HV101" s="10">
        <f t="shared" ref="HV101:HV146" si="874">HR101+HU101</f>
        <v>13.349299999999999</v>
      </c>
      <c r="HW101" s="539">
        <f t="shared" ref="HW101:HW146" si="875">HV101*BU101</f>
        <v>17.487583000000001</v>
      </c>
      <c r="HX101" s="19">
        <f t="shared" ref="HX101:HX146" si="876">HV101*BW101</f>
        <v>0</v>
      </c>
      <c r="HY101" s="10">
        <f t="shared" ref="HY101:HY146" si="877">HX101/BU101</f>
        <v>0</v>
      </c>
      <c r="HZ101" s="10">
        <f t="shared" ref="HZ101:HZ146" si="878">HV101+HY101</f>
        <v>13.349299999999999</v>
      </c>
      <c r="IA101" s="539">
        <f t="shared" ref="IA101:IA146" si="879">HZ101*BU101</f>
        <v>17.487583000000001</v>
      </c>
      <c r="IB101" s="19">
        <f t="shared" ref="IB101:IB146" si="880">HZ101*BW101</f>
        <v>0</v>
      </c>
      <c r="IM101" s="11"/>
      <c r="IN101" s="19"/>
      <c r="IO101" s="20"/>
      <c r="IP101" s="10"/>
    </row>
    <row r="102" spans="1:261">
      <c r="A102" s="20"/>
      <c r="B102" s="20"/>
      <c r="C102" s="826" t="s">
        <v>2346</v>
      </c>
      <c r="D102" s="47" t="s">
        <v>2715</v>
      </c>
      <c r="E102" s="396">
        <f t="shared" ref="E102" si="881">F102+O102</f>
        <v>18</v>
      </c>
      <c r="F102" s="242">
        <v>3</v>
      </c>
      <c r="G102" s="48">
        <f>'Update Stock Prices'!S102</f>
        <v>98644226.273959786</v>
      </c>
      <c r="H102" s="991">
        <f t="shared" ref="H102" si="882">F102/G102</f>
        <v>3.0412322274881519E-8</v>
      </c>
      <c r="I102" s="49">
        <f>'Update Stock Prices'!D102</f>
        <v>21.39</v>
      </c>
      <c r="J102" s="49">
        <f t="shared" ref="J102" si="883">F102*I102</f>
        <v>64.17</v>
      </c>
      <c r="K102" s="30">
        <v>59.97</v>
      </c>
      <c r="L102" s="49">
        <f t="shared" ref="L102" si="884">J102-K102</f>
        <v>4.2000000000000028</v>
      </c>
      <c r="M102" s="50">
        <f t="shared" ref="M102" si="885">L102/K102</f>
        <v>7.0035017508754432E-2</v>
      </c>
      <c r="N102" s="49">
        <f t="shared" ref="N102" si="886">K102/F102</f>
        <v>19.989999999999998</v>
      </c>
      <c r="O102" s="48">
        <f t="shared" ref="O102" si="887">IF(INT(($B$11-$B$12)/I102)&lt;0,0,INT(($B$11-$B$12)/I102))</f>
        <v>15</v>
      </c>
      <c r="P102" s="49">
        <f t="shared" ref="P102" si="888">IF(($B$11-$B$12)-(O102*I102)&lt;0,0,($B$11-$B$12)-(O102*I102))</f>
        <v>0.15999999999996817</v>
      </c>
      <c r="Q102" s="30">
        <v>0</v>
      </c>
      <c r="R102" s="49">
        <f t="shared" ref="R102" si="889">S102/365.25</f>
        <v>0</v>
      </c>
      <c r="S102" s="49">
        <f t="shared" ref="S102" si="890">F102*Q102</f>
        <v>0</v>
      </c>
      <c r="T102" s="49">
        <f t="shared" ref="T102" si="891">S102/12</f>
        <v>0</v>
      </c>
      <c r="U102" s="49"/>
      <c r="V102" s="50">
        <f t="shared" ref="V102" si="892">Q102/I102</f>
        <v>0</v>
      </c>
      <c r="W102" s="50">
        <f t="shared" ref="W102" si="893">S102/K102</f>
        <v>0</v>
      </c>
      <c r="X102" s="49">
        <f t="shared" ref="X102" si="894">12*((E102*Q102)/12-T102)</f>
        <v>0</v>
      </c>
      <c r="Y102" s="49">
        <f t="shared" ref="Y102" si="895">IF(U102="Q",3*T102,IF(U102="Y",12*T102,IF(U102="B",6*T102,IF(U102="M",T102,0))))</f>
        <v>0</v>
      </c>
      <c r="Z102" s="860">
        <f t="shared" ref="Z102" si="896">IF(Y102/I102&gt;1,1,0)</f>
        <v>0</v>
      </c>
      <c r="AA102" s="860" t="str">
        <f t="shared" ref="AA102" si="897">IF(Z102=1,"",IF(AND(U102&lt;&gt;"",Z102=0),I102/(Y102/F102)-F102,""))</f>
        <v/>
      </c>
      <c r="AB102" s="49" t="str">
        <f t="shared" ref="AB102" si="898">IF(AA102&lt;&gt;"",AA102*I102,"")</f>
        <v/>
      </c>
      <c r="AC102" s="48">
        <v>1</v>
      </c>
      <c r="AD102" s="47" t="str">
        <f t="shared" ref="AD102" si="899">D102</f>
        <v>PLNT</v>
      </c>
      <c r="AE102" s="49">
        <f t="shared" ref="AE102" si="900">J102</f>
        <v>64.17</v>
      </c>
      <c r="AF102" s="50" t="e">
        <f t="shared" si="692"/>
        <v>#REF!</v>
      </c>
      <c r="AG102" s="890" t="e">
        <f t="shared" ref="AG102" si="901">(100*AF102)^2</f>
        <v>#REF!</v>
      </c>
      <c r="AH102" s="207" t="s">
        <v>2716</v>
      </c>
      <c r="AI102" s="240">
        <f t="shared" si="693"/>
        <v>9.3478645506271611E-3</v>
      </c>
      <c r="AJ102" s="11">
        <f t="shared" ref="AJ102" si="902">LEN(D102)</f>
        <v>4</v>
      </c>
      <c r="AK102" s="11"/>
      <c r="AL102" s="11"/>
      <c r="AM102" s="11"/>
      <c r="AN102" s="11"/>
      <c r="AO102" s="11"/>
      <c r="AP102" s="11"/>
      <c r="AQ102" s="11" t="str">
        <f>'Update Stock Prices'!Q102</f>
        <v>mid</v>
      </c>
      <c r="AR102" s="11"/>
      <c r="AS102" s="11"/>
      <c r="AT102" s="10"/>
      <c r="AU102" s="224" t="s">
        <v>407</v>
      </c>
      <c r="AV102" s="30">
        <v>15482.096666666666</v>
      </c>
      <c r="AW102" s="420" t="str">
        <f t="shared" si="667"/>
        <v/>
      </c>
      <c r="AX102" s="30">
        <v>23493.823333333334</v>
      </c>
      <c r="AY102" s="236" t="str">
        <f t="shared" si="668"/>
        <v/>
      </c>
      <c r="AZ102" s="19">
        <f t="shared" si="669"/>
        <v>8011.7266666666674</v>
      </c>
      <c r="BA102" s="15">
        <f t="shared" si="670"/>
        <v>7.9878632630668411E-2</v>
      </c>
      <c r="BB102" s="730">
        <f t="shared" si="671"/>
        <v>0.40523505752558497</v>
      </c>
      <c r="BC102" s="800" t="str">
        <f>IF(AND(BA102&gt;0,BB102&gt;0),"Between",IF(BA102&lt;0.001,"At high","At low"))</f>
        <v>Between</v>
      </c>
      <c r="BD102" s="750" t="s">
        <v>518</v>
      </c>
      <c r="BE102" s="750" t="s">
        <v>518</v>
      </c>
      <c r="BF102" s="74"/>
      <c r="BG102" s="1444">
        <v>27</v>
      </c>
      <c r="BH102" s="15"/>
      <c r="BI102" s="15"/>
      <c r="BS102" s="420" t="str">
        <f t="shared" si="715"/>
        <v>PLNT</v>
      </c>
      <c r="BT102" s="425">
        <f t="shared" si="716"/>
        <v>3</v>
      </c>
      <c r="BU102" s="19">
        <f t="shared" si="717"/>
        <v>21.39</v>
      </c>
      <c r="BV102" s="19">
        <f t="shared" si="718"/>
        <v>64.17</v>
      </c>
      <c r="BW102" s="539">
        <f t="shared" si="719"/>
        <v>0</v>
      </c>
      <c r="BX102" s="19">
        <f t="shared" si="720"/>
        <v>0</v>
      </c>
      <c r="BY102" s="10">
        <f t="shared" si="721"/>
        <v>0</v>
      </c>
      <c r="BZ102" s="10">
        <f t="shared" si="722"/>
        <v>3</v>
      </c>
      <c r="CA102" s="539">
        <f t="shared" si="723"/>
        <v>64.17</v>
      </c>
      <c r="CB102" s="19">
        <f t="shared" si="724"/>
        <v>0</v>
      </c>
      <c r="CC102" s="10">
        <f t="shared" si="725"/>
        <v>0</v>
      </c>
      <c r="CD102" s="10">
        <f t="shared" si="726"/>
        <v>3</v>
      </c>
      <c r="CE102" s="539">
        <f t="shared" si="727"/>
        <v>64.17</v>
      </c>
      <c r="CF102" s="19">
        <f t="shared" si="728"/>
        <v>0</v>
      </c>
      <c r="CG102" s="10">
        <f t="shared" si="729"/>
        <v>0</v>
      </c>
      <c r="CH102" s="10">
        <f t="shared" si="730"/>
        <v>3</v>
      </c>
      <c r="CI102" s="539">
        <f t="shared" si="731"/>
        <v>64.17</v>
      </c>
      <c r="CJ102" s="19">
        <f t="shared" si="732"/>
        <v>0</v>
      </c>
      <c r="CK102" s="10">
        <f t="shared" si="733"/>
        <v>0</v>
      </c>
      <c r="CL102" s="10">
        <f t="shared" si="734"/>
        <v>3</v>
      </c>
      <c r="CM102" s="539">
        <f t="shared" si="735"/>
        <v>64.17</v>
      </c>
      <c r="CN102" s="19">
        <f t="shared" si="736"/>
        <v>0</v>
      </c>
      <c r="CO102" s="10">
        <f t="shared" si="737"/>
        <v>0</v>
      </c>
      <c r="CP102" s="10">
        <f t="shared" si="738"/>
        <v>3</v>
      </c>
      <c r="CQ102" s="539">
        <f t="shared" si="739"/>
        <v>64.17</v>
      </c>
      <c r="CR102" s="19">
        <f t="shared" si="740"/>
        <v>0</v>
      </c>
      <c r="CS102" s="10">
        <f t="shared" si="741"/>
        <v>0</v>
      </c>
      <c r="CT102" s="10">
        <f t="shared" si="742"/>
        <v>3</v>
      </c>
      <c r="CU102" s="539">
        <f t="shared" si="743"/>
        <v>64.17</v>
      </c>
      <c r="CV102" s="19">
        <f t="shared" si="744"/>
        <v>0</v>
      </c>
      <c r="CW102" s="10">
        <f t="shared" si="745"/>
        <v>0</v>
      </c>
      <c r="CX102" s="10">
        <f t="shared" si="746"/>
        <v>3</v>
      </c>
      <c r="CY102" s="539">
        <f t="shared" si="747"/>
        <v>64.17</v>
      </c>
      <c r="CZ102" s="19">
        <f t="shared" si="748"/>
        <v>0</v>
      </c>
      <c r="DA102" s="10">
        <f t="shared" si="749"/>
        <v>0</v>
      </c>
      <c r="DB102" s="10">
        <f t="shared" si="750"/>
        <v>3</v>
      </c>
      <c r="DC102" s="539">
        <f t="shared" si="751"/>
        <v>64.17</v>
      </c>
      <c r="DD102" s="19">
        <f t="shared" si="752"/>
        <v>0</v>
      </c>
      <c r="DE102" s="10">
        <f t="shared" si="753"/>
        <v>0</v>
      </c>
      <c r="DF102" s="10">
        <f t="shared" si="754"/>
        <v>3</v>
      </c>
      <c r="DG102" s="539">
        <f t="shared" si="755"/>
        <v>64.17</v>
      </c>
      <c r="DH102" s="19">
        <f t="shared" si="756"/>
        <v>0</v>
      </c>
      <c r="DI102" s="10">
        <f t="shared" si="757"/>
        <v>0</v>
      </c>
      <c r="DJ102" s="10">
        <f t="shared" si="758"/>
        <v>3</v>
      </c>
      <c r="DK102" s="539">
        <f t="shared" si="759"/>
        <v>64.17</v>
      </c>
      <c r="DL102" s="19">
        <f t="shared" si="760"/>
        <v>0</v>
      </c>
      <c r="DM102" s="10">
        <f t="shared" si="761"/>
        <v>0</v>
      </c>
      <c r="DN102" s="10">
        <f t="shared" si="762"/>
        <v>3</v>
      </c>
      <c r="DO102" s="539">
        <f t="shared" si="763"/>
        <v>64.17</v>
      </c>
      <c r="DP102" s="19">
        <f t="shared" si="764"/>
        <v>0</v>
      </c>
      <c r="DQ102" s="10">
        <f t="shared" si="765"/>
        <v>0</v>
      </c>
      <c r="DR102" s="10">
        <f t="shared" si="766"/>
        <v>3</v>
      </c>
      <c r="DS102" s="539">
        <f t="shared" si="767"/>
        <v>64.17</v>
      </c>
      <c r="DT102" s="19">
        <f t="shared" si="768"/>
        <v>0</v>
      </c>
      <c r="DU102" s="10">
        <f t="shared" si="769"/>
        <v>0</v>
      </c>
      <c r="DV102" s="10">
        <f t="shared" si="770"/>
        <v>3</v>
      </c>
      <c r="DW102" s="539">
        <f t="shared" si="771"/>
        <v>64.17</v>
      </c>
      <c r="DX102" s="19">
        <f t="shared" si="772"/>
        <v>0</v>
      </c>
      <c r="DY102" s="10">
        <f t="shared" si="773"/>
        <v>0</v>
      </c>
      <c r="DZ102" s="10">
        <f t="shared" si="774"/>
        <v>3</v>
      </c>
      <c r="EA102" s="539">
        <f t="shared" si="775"/>
        <v>64.17</v>
      </c>
      <c r="EB102" s="19">
        <f t="shared" si="776"/>
        <v>0</v>
      </c>
      <c r="EC102" s="10">
        <f t="shared" si="777"/>
        <v>0</v>
      </c>
      <c r="ED102" s="10">
        <f t="shared" si="778"/>
        <v>3</v>
      </c>
      <c r="EE102" s="539">
        <f t="shared" si="779"/>
        <v>64.17</v>
      </c>
      <c r="EF102" s="19">
        <f t="shared" si="780"/>
        <v>0</v>
      </c>
      <c r="EG102" s="10">
        <f t="shared" si="781"/>
        <v>0</v>
      </c>
      <c r="EH102" s="10">
        <f t="shared" si="782"/>
        <v>3</v>
      </c>
      <c r="EI102" s="539">
        <f t="shared" si="783"/>
        <v>64.17</v>
      </c>
      <c r="EJ102" s="19">
        <f t="shared" si="784"/>
        <v>0</v>
      </c>
      <c r="EK102" s="10">
        <f t="shared" si="785"/>
        <v>0</v>
      </c>
      <c r="EL102" s="10">
        <f t="shared" si="786"/>
        <v>3</v>
      </c>
      <c r="EM102" s="539">
        <f t="shared" si="787"/>
        <v>64.17</v>
      </c>
      <c r="EN102" s="19">
        <f t="shared" si="788"/>
        <v>0</v>
      </c>
      <c r="EO102" s="10">
        <f t="shared" si="789"/>
        <v>0</v>
      </c>
      <c r="EP102" s="10">
        <f t="shared" si="790"/>
        <v>3</v>
      </c>
      <c r="EQ102" s="539">
        <f t="shared" si="791"/>
        <v>64.17</v>
      </c>
      <c r="ER102" s="19">
        <f t="shared" si="792"/>
        <v>0</v>
      </c>
      <c r="ES102" s="10">
        <f t="shared" si="793"/>
        <v>0</v>
      </c>
      <c r="ET102" s="10">
        <f t="shared" si="794"/>
        <v>3</v>
      </c>
      <c r="EU102" s="539">
        <f t="shared" si="795"/>
        <v>64.17</v>
      </c>
      <c r="EV102" s="19">
        <f t="shared" si="796"/>
        <v>0</v>
      </c>
      <c r="EW102" s="10">
        <f t="shared" si="797"/>
        <v>0</v>
      </c>
      <c r="EX102" s="10">
        <f t="shared" si="798"/>
        <v>3</v>
      </c>
      <c r="EY102" s="539">
        <f t="shared" si="799"/>
        <v>64.17</v>
      </c>
      <c r="EZ102" s="19">
        <f t="shared" si="800"/>
        <v>0</v>
      </c>
      <c r="FA102" s="10">
        <f t="shared" si="801"/>
        <v>0</v>
      </c>
      <c r="FB102" s="10">
        <f t="shared" si="802"/>
        <v>3</v>
      </c>
      <c r="FC102" s="539">
        <f t="shared" si="803"/>
        <v>64.17</v>
      </c>
      <c r="FD102" s="19">
        <f t="shared" si="804"/>
        <v>0</v>
      </c>
      <c r="FE102" s="10">
        <f t="shared" si="805"/>
        <v>0</v>
      </c>
      <c r="FF102" s="10">
        <f t="shared" si="806"/>
        <v>3</v>
      </c>
      <c r="FG102" s="539">
        <f t="shared" si="807"/>
        <v>64.17</v>
      </c>
      <c r="FH102" s="19">
        <f t="shared" si="808"/>
        <v>0</v>
      </c>
      <c r="FI102" s="10">
        <f t="shared" si="809"/>
        <v>0</v>
      </c>
      <c r="FJ102" s="10">
        <f t="shared" si="810"/>
        <v>3</v>
      </c>
      <c r="FK102" s="539">
        <f t="shared" si="811"/>
        <v>64.17</v>
      </c>
      <c r="FL102" s="19">
        <f t="shared" si="812"/>
        <v>0</v>
      </c>
      <c r="FM102" s="10">
        <f t="shared" si="813"/>
        <v>0</v>
      </c>
      <c r="FN102" s="10">
        <f t="shared" si="814"/>
        <v>3</v>
      </c>
      <c r="FO102" s="539">
        <f t="shared" si="815"/>
        <v>64.17</v>
      </c>
      <c r="FP102" s="19">
        <f t="shared" si="816"/>
        <v>0</v>
      </c>
      <c r="FQ102" s="10">
        <f t="shared" si="817"/>
        <v>0</v>
      </c>
      <c r="FR102" s="10">
        <f t="shared" si="818"/>
        <v>3</v>
      </c>
      <c r="FS102" s="539">
        <f t="shared" si="819"/>
        <v>64.17</v>
      </c>
      <c r="FT102" s="19">
        <f t="shared" si="820"/>
        <v>0</v>
      </c>
      <c r="FU102" s="10">
        <f t="shared" si="821"/>
        <v>0</v>
      </c>
      <c r="FV102" s="10">
        <f t="shared" si="822"/>
        <v>3</v>
      </c>
      <c r="FW102" s="539">
        <f t="shared" si="823"/>
        <v>64.17</v>
      </c>
      <c r="FX102" s="19">
        <f t="shared" si="824"/>
        <v>0</v>
      </c>
      <c r="FY102" s="10">
        <f t="shared" si="825"/>
        <v>0</v>
      </c>
      <c r="FZ102" s="10">
        <f t="shared" si="826"/>
        <v>3</v>
      </c>
      <c r="GA102" s="539">
        <f t="shared" si="827"/>
        <v>64.17</v>
      </c>
      <c r="GB102" s="19">
        <f t="shared" si="828"/>
        <v>0</v>
      </c>
      <c r="GC102" s="10">
        <f t="shared" si="829"/>
        <v>0</v>
      </c>
      <c r="GD102" s="10">
        <f t="shared" si="830"/>
        <v>3</v>
      </c>
      <c r="GE102" s="539">
        <f t="shared" si="831"/>
        <v>64.17</v>
      </c>
      <c r="GF102" s="19">
        <f t="shared" si="832"/>
        <v>0</v>
      </c>
      <c r="GG102" s="10">
        <f t="shared" si="833"/>
        <v>0</v>
      </c>
      <c r="GH102" s="10">
        <f t="shared" si="834"/>
        <v>3</v>
      </c>
      <c r="GI102" s="539">
        <f t="shared" si="835"/>
        <v>64.17</v>
      </c>
      <c r="GJ102" s="19">
        <f t="shared" si="836"/>
        <v>0</v>
      </c>
      <c r="GK102" s="10">
        <f t="shared" si="837"/>
        <v>0</v>
      </c>
      <c r="GL102" s="10">
        <f t="shared" si="838"/>
        <v>3</v>
      </c>
      <c r="GM102" s="539">
        <f t="shared" si="839"/>
        <v>64.17</v>
      </c>
      <c r="GN102" s="19">
        <f t="shared" si="840"/>
        <v>0</v>
      </c>
      <c r="GO102" s="10">
        <f t="shared" si="841"/>
        <v>0</v>
      </c>
      <c r="GP102" s="10">
        <f t="shared" si="842"/>
        <v>3</v>
      </c>
      <c r="GQ102" s="539">
        <f t="shared" si="843"/>
        <v>64.17</v>
      </c>
      <c r="GR102" s="19">
        <f t="shared" si="844"/>
        <v>0</v>
      </c>
      <c r="GS102" s="10">
        <f t="shared" si="845"/>
        <v>0</v>
      </c>
      <c r="GT102" s="10">
        <f t="shared" si="846"/>
        <v>3</v>
      </c>
      <c r="GU102" s="539">
        <f t="shared" si="847"/>
        <v>64.17</v>
      </c>
      <c r="GV102" s="19">
        <f t="shared" si="848"/>
        <v>0</v>
      </c>
      <c r="GW102" s="10">
        <f t="shared" si="849"/>
        <v>0</v>
      </c>
      <c r="GX102" s="10">
        <f t="shared" si="850"/>
        <v>3</v>
      </c>
      <c r="GY102" s="539">
        <f t="shared" si="851"/>
        <v>64.17</v>
      </c>
      <c r="GZ102" s="19">
        <f t="shared" si="852"/>
        <v>0</v>
      </c>
      <c r="HA102" s="10">
        <f t="shared" si="853"/>
        <v>0</v>
      </c>
      <c r="HB102" s="10">
        <f t="shared" si="854"/>
        <v>3</v>
      </c>
      <c r="HC102" s="539">
        <f t="shared" si="855"/>
        <v>64.17</v>
      </c>
      <c r="HD102" s="19">
        <f t="shared" si="856"/>
        <v>0</v>
      </c>
      <c r="HE102" s="10">
        <f t="shared" si="857"/>
        <v>0</v>
      </c>
      <c r="HF102" s="10">
        <f t="shared" si="858"/>
        <v>3</v>
      </c>
      <c r="HG102" s="539">
        <f t="shared" si="859"/>
        <v>64.17</v>
      </c>
      <c r="HH102" s="19">
        <f t="shared" si="860"/>
        <v>0</v>
      </c>
      <c r="HI102" s="10">
        <f t="shared" si="861"/>
        <v>0</v>
      </c>
      <c r="HJ102" s="10">
        <f t="shared" si="862"/>
        <v>3</v>
      </c>
      <c r="HK102" s="539">
        <f t="shared" si="863"/>
        <v>64.17</v>
      </c>
      <c r="HL102" s="19">
        <f t="shared" si="864"/>
        <v>0</v>
      </c>
      <c r="HM102" s="10">
        <f t="shared" si="865"/>
        <v>0</v>
      </c>
      <c r="HN102" s="10">
        <f t="shared" si="866"/>
        <v>3</v>
      </c>
      <c r="HO102" s="539">
        <f t="shared" si="867"/>
        <v>64.17</v>
      </c>
      <c r="HP102" s="19">
        <f t="shared" si="868"/>
        <v>0</v>
      </c>
      <c r="HQ102" s="10">
        <f t="shared" si="869"/>
        <v>0</v>
      </c>
      <c r="HR102" s="10">
        <f t="shared" si="870"/>
        <v>3</v>
      </c>
      <c r="HS102" s="539">
        <f t="shared" si="871"/>
        <v>64.17</v>
      </c>
      <c r="HT102" s="19">
        <f t="shared" si="872"/>
        <v>0</v>
      </c>
      <c r="HU102" s="10">
        <f t="shared" si="873"/>
        <v>0</v>
      </c>
      <c r="HV102" s="10">
        <f t="shared" si="874"/>
        <v>3</v>
      </c>
      <c r="HW102" s="539">
        <f t="shared" si="875"/>
        <v>64.17</v>
      </c>
      <c r="HX102" s="19">
        <f t="shared" si="876"/>
        <v>0</v>
      </c>
      <c r="HY102" s="10">
        <f t="shared" si="877"/>
        <v>0</v>
      </c>
      <c r="HZ102" s="10">
        <f t="shared" si="878"/>
        <v>3</v>
      </c>
      <c r="IA102" s="539">
        <f t="shared" si="879"/>
        <v>64.17</v>
      </c>
      <c r="IB102" s="19">
        <f t="shared" si="880"/>
        <v>0</v>
      </c>
      <c r="IM102" s="11"/>
      <c r="IN102" s="19"/>
      <c r="IO102" s="20"/>
      <c r="IP102" s="10"/>
    </row>
    <row r="103" spans="1:261" ht="12" customHeight="1">
      <c r="A103" s="1059"/>
      <c r="B103" s="20"/>
      <c r="C103" s="826" t="s">
        <v>2348</v>
      </c>
      <c r="D103" s="47" t="s">
        <v>1210</v>
      </c>
      <c r="E103" s="396">
        <f t="shared" si="600"/>
        <v>5.0944000000000003</v>
      </c>
      <c r="F103" s="242">
        <v>2.0943999999999998</v>
      </c>
      <c r="G103" s="48">
        <f>'Update Stock Prices'!S103</f>
        <v>1586984472.3568392</v>
      </c>
      <c r="H103" s="991">
        <f t="shared" si="610"/>
        <v>1.3197356599775643E-9</v>
      </c>
      <c r="I103" s="49">
        <f>'Update Stock Prices'!D103</f>
        <v>101.11</v>
      </c>
      <c r="J103" s="49">
        <f t="shared" si="404"/>
        <v>211.76478399999999</v>
      </c>
      <c r="K103" s="30">
        <v>174.29</v>
      </c>
      <c r="L103" s="49">
        <f t="shared" si="611"/>
        <v>37.474784</v>
      </c>
      <c r="M103" s="50">
        <f t="shared" si="613"/>
        <v>0.2150139652303632</v>
      </c>
      <c r="N103" s="49">
        <f t="shared" si="612"/>
        <v>83.217150496562269</v>
      </c>
      <c r="O103" s="48">
        <f t="shared" si="601"/>
        <v>3</v>
      </c>
      <c r="P103" s="49">
        <f t="shared" si="602"/>
        <v>17.680000000000007</v>
      </c>
      <c r="Q103" s="30">
        <f>1.04*4</f>
        <v>4.16</v>
      </c>
      <c r="R103" s="49">
        <f t="shared" ref="R103" si="903">S103/365.25</f>
        <v>2.3854083504449005E-2</v>
      </c>
      <c r="S103" s="49">
        <f t="shared" si="603"/>
        <v>8.7127039999999987</v>
      </c>
      <c r="T103" s="49">
        <f t="shared" ref="T103" si="904">S103/12</f>
        <v>0.72605866666666652</v>
      </c>
      <c r="U103" s="49" t="s">
        <v>54</v>
      </c>
      <c r="V103" s="50">
        <f t="shared" si="604"/>
        <v>4.1143309267134803E-2</v>
      </c>
      <c r="W103" s="50">
        <f t="shared" si="575"/>
        <v>4.9989695335360601E-2</v>
      </c>
      <c r="X103" s="49">
        <f t="shared" si="618"/>
        <v>12.480000000000006</v>
      </c>
      <c r="Y103" s="49">
        <f t="shared" ref="Y103" si="905">IF(U103="Q",3*T103,IF(U103="Y",12*T103,IF(U103="B",6*T103,IF(U103="M",T103,0))))</f>
        <v>2.1781759999999997</v>
      </c>
      <c r="Z103" s="860">
        <f t="shared" si="605"/>
        <v>0</v>
      </c>
      <c r="AA103" s="860">
        <f t="shared" si="606"/>
        <v>95.126753846153846</v>
      </c>
      <c r="AB103" s="49">
        <f t="shared" si="607"/>
        <v>9618.266081384616</v>
      </c>
      <c r="AC103" s="48">
        <v>1</v>
      </c>
      <c r="AD103" s="47" t="str">
        <f t="shared" si="608"/>
        <v>PM</v>
      </c>
      <c r="AE103" s="49">
        <f t="shared" si="609"/>
        <v>211.76478399999999</v>
      </c>
      <c r="AF103" s="50" t="e">
        <f t="shared" si="692"/>
        <v>#REF!</v>
      </c>
      <c r="AG103" s="890" t="e">
        <f t="shared" si="599"/>
        <v>#REF!</v>
      </c>
      <c r="AH103" s="207" t="s">
        <v>1211</v>
      </c>
      <c r="AI103" s="240">
        <f t="shared" si="693"/>
        <v>0.10180188309555809</v>
      </c>
      <c r="AJ103" s="11">
        <f t="shared" si="595"/>
        <v>2</v>
      </c>
      <c r="AK103" s="11"/>
      <c r="AL103" s="11"/>
      <c r="AM103" s="11"/>
      <c r="AN103" s="11">
        <v>1</v>
      </c>
      <c r="AO103" s="11"/>
      <c r="AP103" s="11"/>
      <c r="AQ103" s="11" t="str">
        <f>'Update Stock Prices'!Q103</f>
        <v>mega</v>
      </c>
      <c r="AR103" s="11"/>
      <c r="AS103" s="11"/>
      <c r="AT103" s="10"/>
      <c r="AU103" s="224" t="s">
        <v>1858</v>
      </c>
      <c r="AV103" s="30">
        <v>117635.098977</v>
      </c>
      <c r="AW103" s="420" t="str">
        <f t="shared" si="667"/>
        <v/>
      </c>
      <c r="AX103" s="30">
        <v>145612.19104130002</v>
      </c>
      <c r="AY103" s="236" t="str">
        <f t="shared" si="668"/>
        <v/>
      </c>
      <c r="AZ103" s="19">
        <f t="shared" si="669"/>
        <v>27977.092064300014</v>
      </c>
      <c r="BA103" s="15">
        <f t="shared" si="670"/>
        <v>0</v>
      </c>
      <c r="BB103" s="730">
        <f t="shared" si="671"/>
        <v>0.23782945997920302</v>
      </c>
      <c r="BC103" s="800" t="str">
        <f>IF(AND(BA103&gt;0,BB103&gt;0),"Between",IF(BA103&lt;0.001,"At high","At low"))</f>
        <v>At high</v>
      </c>
      <c r="BD103" s="749">
        <f>COUNTIF($BC$96:$BC$105,"=At low")/COUNTA($BC$96:$BC$105)</f>
        <v>0</v>
      </c>
      <c r="BE103" s="749">
        <f ca="1">COUNTIF($BC$96:$BC$109,"=At low")/COUNTA($BC$96:$BC$109)</f>
        <v>0</v>
      </c>
      <c r="BF103" s="74"/>
      <c r="BG103" s="1443">
        <v>2.88</v>
      </c>
      <c r="BH103" s="15"/>
      <c r="BS103" s="420" t="str">
        <f t="shared" si="715"/>
        <v>PM</v>
      </c>
      <c r="BT103" s="425">
        <f t="shared" si="716"/>
        <v>2.0943999999999998</v>
      </c>
      <c r="BU103" s="19">
        <f t="shared" si="717"/>
        <v>101.11</v>
      </c>
      <c r="BV103" s="19">
        <f t="shared" si="718"/>
        <v>211.76478399999999</v>
      </c>
      <c r="BW103" s="539">
        <f t="shared" si="719"/>
        <v>4.16</v>
      </c>
      <c r="BX103" s="19">
        <f t="shared" si="720"/>
        <v>8.7127039999999987</v>
      </c>
      <c r="BY103" s="10">
        <f t="shared" si="721"/>
        <v>8.6170546929087113E-2</v>
      </c>
      <c r="BZ103" s="10">
        <f t="shared" si="722"/>
        <v>2.1805705469290868</v>
      </c>
      <c r="CA103" s="539">
        <f t="shared" si="723"/>
        <v>220.47748799999997</v>
      </c>
      <c r="CB103" s="19">
        <f t="shared" si="724"/>
        <v>9.0711734752250006</v>
      </c>
      <c r="CC103" s="10">
        <f t="shared" si="725"/>
        <v>8.9715888391108695E-2</v>
      </c>
      <c r="CD103" s="10">
        <f t="shared" si="726"/>
        <v>2.2702864353201955</v>
      </c>
      <c r="CE103" s="539">
        <f t="shared" si="727"/>
        <v>229.54866147522497</v>
      </c>
      <c r="CF103" s="19">
        <f t="shared" si="728"/>
        <v>9.4443915709320141</v>
      </c>
      <c r="CG103" s="10">
        <f t="shared" si="729"/>
        <v>9.3407096933359843E-2</v>
      </c>
      <c r="CH103" s="10">
        <f t="shared" si="730"/>
        <v>2.3636935322535555</v>
      </c>
      <c r="CI103" s="539">
        <f t="shared" si="731"/>
        <v>238.993053046157</v>
      </c>
      <c r="CJ103" s="19">
        <f t="shared" si="732"/>
        <v>9.8329650941747904</v>
      </c>
      <c r="CK103" s="10">
        <f t="shared" si="733"/>
        <v>9.7250174010234308E-2</v>
      </c>
      <c r="CL103" s="10">
        <f t="shared" si="734"/>
        <v>2.46094370626379</v>
      </c>
      <c r="CM103" s="539">
        <f t="shared" si="735"/>
        <v>248.8260181403318</v>
      </c>
      <c r="CN103" s="19">
        <f t="shared" si="736"/>
        <v>10.237525818057367</v>
      </c>
      <c r="CO103" s="10">
        <f t="shared" si="737"/>
        <v>0.10125136799582007</v>
      </c>
      <c r="CP103" s="10">
        <f t="shared" si="738"/>
        <v>2.56219507425961</v>
      </c>
      <c r="CQ103" s="539">
        <f t="shared" si="739"/>
        <v>259.06354395838918</v>
      </c>
      <c r="CR103" s="19">
        <f t="shared" si="740"/>
        <v>10.658731508919978</v>
      </c>
      <c r="CS103" s="10">
        <f t="shared" si="741"/>
        <v>0.10541718434299256</v>
      </c>
      <c r="CT103" s="10">
        <f t="shared" si="742"/>
        <v>2.6676122586026025</v>
      </c>
      <c r="CU103" s="539">
        <f t="shared" si="743"/>
        <v>269.72227546730915</v>
      </c>
      <c r="CV103" s="19">
        <f t="shared" si="744"/>
        <v>11.097266995786827</v>
      </c>
      <c r="CW103" s="10">
        <f t="shared" si="745"/>
        <v>0.10975439616048686</v>
      </c>
      <c r="CX103" s="10">
        <f t="shared" si="746"/>
        <v>2.7773666547630893</v>
      </c>
      <c r="CY103" s="539">
        <f t="shared" si="747"/>
        <v>280.81954246309596</v>
      </c>
      <c r="CZ103" s="19">
        <f t="shared" si="748"/>
        <v>11.553845283814452</v>
      </c>
      <c r="DA103" s="10">
        <f t="shared" si="749"/>
        <v>0.11427005522514541</v>
      </c>
      <c r="DB103" s="10">
        <f t="shared" si="750"/>
        <v>2.8916367099882345</v>
      </c>
      <c r="DC103" s="539">
        <f t="shared" si="751"/>
        <v>292.3733877469104</v>
      </c>
      <c r="DD103" s="19">
        <f t="shared" si="752"/>
        <v>12.029208713551055</v>
      </c>
      <c r="DE103" s="10">
        <f t="shared" si="753"/>
        <v>0.11897150344724612</v>
      </c>
      <c r="DF103" s="10">
        <f t="shared" si="754"/>
        <v>3.0106082134354808</v>
      </c>
      <c r="DG103" s="539">
        <f t="shared" si="755"/>
        <v>304.40259646046144</v>
      </c>
      <c r="DH103" s="19">
        <f t="shared" si="756"/>
        <v>12.524130167891601</v>
      </c>
      <c r="DI103" s="10">
        <f t="shared" si="757"/>
        <v>0.12386638480755217</v>
      </c>
      <c r="DJ103" s="10">
        <f t="shared" si="758"/>
        <v>3.1344745982430329</v>
      </c>
      <c r="DK103" s="539">
        <f t="shared" si="759"/>
        <v>316.92672662835304</v>
      </c>
      <c r="DL103" s="19">
        <f t="shared" si="760"/>
        <v>13.039414328691016</v>
      </c>
      <c r="DM103" s="10">
        <f t="shared" si="761"/>
        <v>0.12896265778549121</v>
      </c>
      <c r="DN103" s="10">
        <f t="shared" si="762"/>
        <v>3.2634372560285243</v>
      </c>
      <c r="DO103" s="539">
        <f t="shared" si="763"/>
        <v>329.9661409570441</v>
      </c>
      <c r="DP103" s="19">
        <f t="shared" si="764"/>
        <v>13.575898985078661</v>
      </c>
      <c r="DQ103" s="10">
        <f t="shared" si="765"/>
        <v>0.13426860829867135</v>
      </c>
      <c r="DR103" s="10">
        <f t="shared" si="766"/>
        <v>3.3977058643271958</v>
      </c>
      <c r="DS103" s="539">
        <f t="shared" si="767"/>
        <v>343.54203994212276</v>
      </c>
      <c r="DT103" s="19">
        <f t="shared" si="768"/>
        <v>14.134456395601134</v>
      </c>
      <c r="DU103" s="10">
        <f t="shared" si="769"/>
        <v>0.13979286317477138</v>
      </c>
      <c r="DV103" s="10">
        <f t="shared" si="770"/>
        <v>3.5374987275019674</v>
      </c>
      <c r="DW103" s="539">
        <f t="shared" si="771"/>
        <v>357.6764963377239</v>
      </c>
      <c r="DX103" s="19">
        <f t="shared" si="772"/>
        <v>14.715994706408186</v>
      </c>
      <c r="DY103" s="10">
        <f t="shared" si="773"/>
        <v>0.14554440417770928</v>
      </c>
      <c r="DZ103" s="10">
        <f t="shared" si="774"/>
        <v>3.6830431316796766</v>
      </c>
      <c r="EA103" s="539">
        <f t="shared" si="775"/>
        <v>372.3924910441321</v>
      </c>
      <c r="EB103" s="19">
        <f t="shared" si="776"/>
        <v>15.321459427787454</v>
      </c>
      <c r="EC103" s="10">
        <f t="shared" si="777"/>
        <v>0.15153258261089361</v>
      </c>
      <c r="ED103" s="10">
        <f t="shared" si="778"/>
        <v>3.8345757142905703</v>
      </c>
      <c r="EE103" s="539">
        <f t="shared" si="779"/>
        <v>387.71395047191959</v>
      </c>
      <c r="EF103" s="19">
        <f t="shared" si="780"/>
        <v>15.951834971448774</v>
      </c>
      <c r="EG103" s="10">
        <f t="shared" si="781"/>
        <v>0.15776713452130128</v>
      </c>
      <c r="EH103" s="10">
        <f t="shared" si="782"/>
        <v>3.9923428488118717</v>
      </c>
      <c r="EI103" s="539">
        <f t="shared" si="783"/>
        <v>403.66578544336835</v>
      </c>
      <c r="EJ103" s="19">
        <f t="shared" si="784"/>
        <v>16.608146251057388</v>
      </c>
      <c r="EK103" s="10">
        <f t="shared" si="785"/>
        <v>0.16425819652910087</v>
      </c>
      <c r="EL103" s="10">
        <f t="shared" si="786"/>
        <v>4.156601045340973</v>
      </c>
      <c r="EM103" s="539">
        <f t="shared" si="787"/>
        <v>420.27393169442576</v>
      </c>
      <c r="EN103" s="19">
        <f t="shared" si="788"/>
        <v>17.291460348618447</v>
      </c>
      <c r="EO103" s="10">
        <f t="shared" si="789"/>
        <v>0.17101632230855945</v>
      </c>
      <c r="EP103" s="10">
        <f t="shared" si="790"/>
        <v>4.3276173676495322</v>
      </c>
      <c r="EQ103" s="539">
        <f t="shared" si="791"/>
        <v>437.5653920430442</v>
      </c>
      <c r="ER103" s="19">
        <f t="shared" si="792"/>
        <v>18.002888249422053</v>
      </c>
      <c r="ES103" s="10">
        <f t="shared" si="793"/>
        <v>0.17805249974702853</v>
      </c>
      <c r="ET103" s="10">
        <f t="shared" si="794"/>
        <v>4.5056698673965609</v>
      </c>
      <c r="EU103" s="539">
        <f t="shared" si="795"/>
        <v>455.56828029246628</v>
      </c>
      <c r="EV103" s="19">
        <f t="shared" si="796"/>
        <v>18.743586648369693</v>
      </c>
      <c r="EW103" s="10">
        <f t="shared" si="797"/>
        <v>0.18537816880990696</v>
      </c>
      <c r="EX103" s="10">
        <f t="shared" si="798"/>
        <v>4.6910480362064675</v>
      </c>
      <c r="EY103" s="539">
        <f t="shared" si="799"/>
        <v>474.3118669408359</v>
      </c>
      <c r="EZ103" s="19">
        <f t="shared" si="800"/>
        <v>19.514759830618907</v>
      </c>
      <c r="FA103" s="10">
        <f t="shared" si="801"/>
        <v>0.19300524014062809</v>
      </c>
      <c r="FB103" s="10">
        <f t="shared" si="802"/>
        <v>4.8840532763470952</v>
      </c>
      <c r="FC103" s="539">
        <f t="shared" si="803"/>
        <v>493.82662677145481</v>
      </c>
      <c r="FD103" s="19">
        <f t="shared" si="804"/>
        <v>20.317661629603915</v>
      </c>
      <c r="FE103" s="10">
        <f t="shared" si="805"/>
        <v>0.20094611442591154</v>
      </c>
      <c r="FF103" s="10">
        <f t="shared" si="806"/>
        <v>5.0849993907730067</v>
      </c>
      <c r="FG103" s="539">
        <f t="shared" si="807"/>
        <v>514.1442884010587</v>
      </c>
      <c r="FH103" s="19">
        <f t="shared" si="808"/>
        <v>21.153597465615707</v>
      </c>
      <c r="FI103" s="10">
        <f t="shared" si="809"/>
        <v>0.20921370255776586</v>
      </c>
      <c r="FJ103" s="10">
        <f t="shared" si="810"/>
        <v>5.2942130933307725</v>
      </c>
      <c r="FK103" s="539">
        <f t="shared" si="811"/>
        <v>535.29788586667439</v>
      </c>
      <c r="FL103" s="19">
        <f t="shared" si="812"/>
        <v>22.023926468256015</v>
      </c>
      <c r="FM103" s="10">
        <f t="shared" si="813"/>
        <v>0.2178214466250224</v>
      </c>
      <c r="FN103" s="10">
        <f t="shared" si="814"/>
        <v>5.5120345399557946</v>
      </c>
      <c r="FO103" s="539">
        <f t="shared" si="815"/>
        <v>557.32181233493043</v>
      </c>
      <c r="FP103" s="19">
        <f t="shared" si="816"/>
        <v>22.930063686216105</v>
      </c>
      <c r="FQ103" s="10">
        <f t="shared" si="817"/>
        <v>0.22678334176853035</v>
      </c>
      <c r="FR103" s="10">
        <f t="shared" si="818"/>
        <v>5.7388178817243247</v>
      </c>
      <c r="FS103" s="539">
        <f t="shared" si="819"/>
        <v>580.25187602114647</v>
      </c>
      <c r="FT103" s="19">
        <f t="shared" si="820"/>
        <v>23.873482387973191</v>
      </c>
      <c r="FU103" s="10">
        <f t="shared" si="821"/>
        <v>0.23611395893554732</v>
      </c>
      <c r="FV103" s="10">
        <f t="shared" si="822"/>
        <v>5.9749318406598722</v>
      </c>
      <c r="FW103" s="539">
        <f t="shared" si="823"/>
        <v>604.12535840911971</v>
      </c>
      <c r="FX103" s="19">
        <f t="shared" si="824"/>
        <v>24.855716457145068</v>
      </c>
      <c r="FY103" s="10">
        <f t="shared" si="825"/>
        <v>0.24582846857032012</v>
      </c>
      <c r="FZ103" s="10">
        <f t="shared" si="826"/>
        <v>6.220760309230192</v>
      </c>
      <c r="GA103" s="539">
        <f t="shared" si="827"/>
        <v>628.98107486626475</v>
      </c>
      <c r="GB103" s="19">
        <f t="shared" si="828"/>
        <v>25.8783628863976</v>
      </c>
      <c r="GC103" s="10">
        <f t="shared" si="829"/>
        <v>0.25594266527937493</v>
      </c>
      <c r="GD103" s="10">
        <f t="shared" si="830"/>
        <v>6.4767029745095668</v>
      </c>
      <c r="GE103" s="539">
        <f t="shared" si="831"/>
        <v>654.8594377526623</v>
      </c>
      <c r="GF103" s="19">
        <f t="shared" si="832"/>
        <v>26.943084373959799</v>
      </c>
      <c r="GG103" s="10">
        <f t="shared" si="833"/>
        <v>0.26647299351161902</v>
      </c>
      <c r="GH103" s="10">
        <f t="shared" si="834"/>
        <v>6.7431759680211858</v>
      </c>
      <c r="GI103" s="539">
        <f t="shared" si="835"/>
        <v>681.80252212662208</v>
      </c>
      <c r="GJ103" s="19">
        <f t="shared" si="836"/>
        <v>28.051612026968133</v>
      </c>
      <c r="GK103" s="10">
        <f t="shared" si="837"/>
        <v>0.27743657429500673</v>
      </c>
      <c r="GL103" s="10">
        <f t="shared" si="838"/>
        <v>7.0206125423161927</v>
      </c>
      <c r="GM103" s="539">
        <f t="shared" si="839"/>
        <v>709.85413415359028</v>
      </c>
      <c r="GN103" s="19">
        <f t="shared" si="840"/>
        <v>29.205748176035364</v>
      </c>
      <c r="GO103" s="10">
        <f t="shared" si="841"/>
        <v>0.28885123307324068</v>
      </c>
      <c r="GP103" s="10">
        <f t="shared" si="842"/>
        <v>7.3094637753894336</v>
      </c>
      <c r="GQ103" s="539">
        <f t="shared" si="843"/>
        <v>739.05988232962568</v>
      </c>
      <c r="GR103" s="19">
        <f t="shared" si="844"/>
        <v>30.407369305620044</v>
      </c>
      <c r="GS103" s="10">
        <f t="shared" si="845"/>
        <v>0.30073552868776626</v>
      </c>
      <c r="GT103" s="10">
        <f t="shared" si="846"/>
        <v>7.6101993040771996</v>
      </c>
      <c r="GU103" s="539">
        <f t="shared" si="847"/>
        <v>769.46725163524559</v>
      </c>
      <c r="GV103" s="19">
        <f t="shared" si="848"/>
        <v>31.658429104961151</v>
      </c>
      <c r="GW103" s="10">
        <f t="shared" si="849"/>
        <v>0.3131087835521823</v>
      </c>
      <c r="GX103" s="10">
        <f t="shared" si="850"/>
        <v>7.9233080876293815</v>
      </c>
      <c r="GY103" s="539">
        <f t="shared" si="851"/>
        <v>801.1256807402068</v>
      </c>
      <c r="GZ103" s="19">
        <f t="shared" si="852"/>
        <v>32.96096164453823</v>
      </c>
      <c r="HA103" s="10">
        <f t="shared" si="853"/>
        <v>0.32599111506812611</v>
      </c>
      <c r="HB103" s="10">
        <f t="shared" si="854"/>
        <v>8.2492992026975074</v>
      </c>
      <c r="HC103" s="539">
        <f t="shared" si="855"/>
        <v>834.08664238474501</v>
      </c>
      <c r="HD103" s="19">
        <f t="shared" si="856"/>
        <v>34.31708468322163</v>
      </c>
      <c r="HE103" s="10">
        <f t="shared" si="857"/>
        <v>0.3394034683337121</v>
      </c>
      <c r="HF103" s="10">
        <f t="shared" si="858"/>
        <v>8.5887026710312195</v>
      </c>
      <c r="HG103" s="539">
        <f t="shared" si="859"/>
        <v>868.40372706796666</v>
      </c>
      <c r="HH103" s="19">
        <f t="shared" si="860"/>
        <v>35.729003111489874</v>
      </c>
      <c r="HI103" s="10">
        <f t="shared" si="861"/>
        <v>0.35336765019770422</v>
      </c>
      <c r="HJ103" s="10">
        <f t="shared" si="862"/>
        <v>8.9420703212289236</v>
      </c>
      <c r="HK103" s="539">
        <f t="shared" si="863"/>
        <v>904.13273017945642</v>
      </c>
      <c r="HL103" s="19">
        <f t="shared" si="864"/>
        <v>37.199012536312324</v>
      </c>
      <c r="HM103" s="10">
        <f t="shared" si="865"/>
        <v>0.3679063647147891</v>
      </c>
      <c r="HN103" s="10">
        <f t="shared" si="866"/>
        <v>9.3099766859437132</v>
      </c>
      <c r="HO103" s="539">
        <f t="shared" si="867"/>
        <v>941.33174271576888</v>
      </c>
      <c r="HP103" s="19">
        <f t="shared" si="868"/>
        <v>38.72950301352585</v>
      </c>
      <c r="HQ103" s="10">
        <f t="shared" si="869"/>
        <v>0.383043250059597</v>
      </c>
      <c r="HR103" s="10">
        <f t="shared" si="870"/>
        <v>9.69301993600331</v>
      </c>
      <c r="HS103" s="539">
        <f t="shared" si="871"/>
        <v>980.06124572929468</v>
      </c>
      <c r="HT103" s="19">
        <f t="shared" si="872"/>
        <v>40.322962933773773</v>
      </c>
      <c r="HU103" s="10">
        <f t="shared" si="873"/>
        <v>0.39880291695948744</v>
      </c>
      <c r="HV103" s="10">
        <f t="shared" si="874"/>
        <v>10.091822852962798</v>
      </c>
      <c r="HW103" s="539">
        <f t="shared" si="875"/>
        <v>1020.3842086630685</v>
      </c>
      <c r="HX103" s="19">
        <f t="shared" si="876"/>
        <v>41.981983068325242</v>
      </c>
      <c r="HY103" s="10">
        <f t="shared" si="877"/>
        <v>0.41521098870858708</v>
      </c>
      <c r="HZ103" s="10">
        <f t="shared" si="878"/>
        <v>10.507033841671385</v>
      </c>
      <c r="IA103" s="539">
        <f t="shared" si="879"/>
        <v>1062.3661917313937</v>
      </c>
      <c r="IB103" s="19">
        <f t="shared" si="880"/>
        <v>43.70926078135296</v>
      </c>
      <c r="IM103" s="11"/>
      <c r="IN103" s="19"/>
      <c r="IO103" s="20"/>
      <c r="IP103" s="10"/>
    </row>
    <row r="104" spans="1:261">
      <c r="A104" s="1059"/>
      <c r="B104" s="20"/>
      <c r="C104" s="826" t="s">
        <v>2342</v>
      </c>
      <c r="D104" s="47" t="s">
        <v>95</v>
      </c>
      <c r="E104" s="396">
        <f t="shared" si="600"/>
        <v>158.994</v>
      </c>
      <c r="F104" s="242">
        <v>121.994</v>
      </c>
      <c r="G104" s="48">
        <f>'Update Stock Prices'!S104</f>
        <v>363321799.30795848</v>
      </c>
      <c r="H104" s="991">
        <f t="shared" si="610"/>
        <v>3.3577396190476191E-7</v>
      </c>
      <c r="I104" s="49">
        <f>'Update Stock Prices'!D104</f>
        <v>8.67</v>
      </c>
      <c r="J104" s="49">
        <f t="shared" si="404"/>
        <v>1057.6879799999999</v>
      </c>
      <c r="K104" s="30">
        <v>1302.23</v>
      </c>
      <c r="L104" s="49">
        <f t="shared" si="611"/>
        <v>-244.54202000000009</v>
      </c>
      <c r="M104" s="50">
        <f t="shared" si="613"/>
        <v>-0.18778711901891379</v>
      </c>
      <c r="N104" s="49">
        <f t="shared" si="612"/>
        <v>10.674541370887093</v>
      </c>
      <c r="O104" s="48">
        <f t="shared" si="601"/>
        <v>37</v>
      </c>
      <c r="P104" s="49">
        <f>IF(($B$11-$B$12)-(O104*I104)&lt;0,0,($B$11-$B$12)-(O104*I104))</f>
        <v>0.21999999999997044</v>
      </c>
      <c r="Q104" s="30">
        <f>0.08333*12</f>
        <v>0.99995999999999996</v>
      </c>
      <c r="R104" s="49">
        <f t="shared" si="242"/>
        <v>0.33398800887063651</v>
      </c>
      <c r="S104" s="49">
        <f t="shared" si="603"/>
        <v>121.98912023999999</v>
      </c>
      <c r="T104" s="49">
        <f t="shared" si="399"/>
        <v>10.165760019999999</v>
      </c>
      <c r="U104" s="49" t="s">
        <v>56</v>
      </c>
      <c r="V104" s="50">
        <f t="shared" si="604"/>
        <v>0.1153356401384083</v>
      </c>
      <c r="W104" s="50">
        <f t="shared" si="575"/>
        <v>9.3677092556614411E-2</v>
      </c>
      <c r="X104" s="49">
        <f>12*((E104*Q104)/12-T104)</f>
        <v>36.998520000000013</v>
      </c>
      <c r="Y104" s="49">
        <f t="shared" si="654"/>
        <v>10.165760019999999</v>
      </c>
      <c r="Z104" s="860">
        <f t="shared" si="605"/>
        <v>1</v>
      </c>
      <c r="AA104" s="860" t="str">
        <f t="shared" si="606"/>
        <v/>
      </c>
      <c r="AB104" s="49" t="str">
        <f t="shared" si="607"/>
        <v/>
      </c>
      <c r="AC104" s="48">
        <v>1</v>
      </c>
      <c r="AD104" s="47" t="str">
        <f t="shared" si="608"/>
        <v>PSEC</v>
      </c>
      <c r="AE104" s="49">
        <f t="shared" si="609"/>
        <v>1057.6879799999999</v>
      </c>
      <c r="AF104" s="50" t="e">
        <f t="shared" si="692"/>
        <v>#REF!</v>
      </c>
      <c r="AG104" s="890" t="e">
        <f t="shared" si="599"/>
        <v>#REF!</v>
      </c>
      <c r="AH104" s="207" t="s">
        <v>94</v>
      </c>
      <c r="AI104" s="240">
        <f t="shared" si="693"/>
        <v>2.5395891916480662</v>
      </c>
      <c r="AJ104" s="11">
        <f t="shared" si="595"/>
        <v>4</v>
      </c>
      <c r="AK104" s="11"/>
      <c r="AL104" s="11"/>
      <c r="AM104" s="11"/>
      <c r="AN104" s="11"/>
      <c r="AO104" s="11"/>
      <c r="AP104" s="11"/>
      <c r="AQ104" s="11" t="str">
        <f>'Update Stock Prices'!Q104</f>
        <v>mid</v>
      </c>
      <c r="AR104" s="11"/>
      <c r="AS104" s="11"/>
      <c r="AT104" s="10"/>
      <c r="AU104" s="224" t="s">
        <v>855</v>
      </c>
      <c r="AV104" s="30">
        <v>584.03000000000009</v>
      </c>
      <c r="AW104" s="420" t="e">
        <f t="shared" si="667"/>
        <v>#REF!</v>
      </c>
      <c r="AX104" s="30">
        <v>763.15</v>
      </c>
      <c r="AY104" s="236" t="e">
        <f t="shared" si="668"/>
        <v>#REF!</v>
      </c>
      <c r="AZ104" s="19">
        <f t="shared" ref="AZ104:AZ109" si="906">AX104-AV104</f>
        <v>179.11999999999989</v>
      </c>
      <c r="BA104" s="15" t="e">
        <f t="shared" si="670"/>
        <v>#REF!</v>
      </c>
      <c r="BB104" s="730" t="e">
        <f t="shared" si="671"/>
        <v>#REF!</v>
      </c>
      <c r="BC104" s="800" t="e">
        <f t="shared" si="694"/>
        <v>#REF!</v>
      </c>
      <c r="BD104" s="800"/>
      <c r="BE104" s="1424"/>
      <c r="BF104" s="74"/>
      <c r="BS104" s="420" t="str">
        <f t="shared" si="715"/>
        <v>PSEC</v>
      </c>
      <c r="BT104" s="425">
        <f t="shared" si="716"/>
        <v>121.994</v>
      </c>
      <c r="BU104" s="19">
        <f t="shared" si="717"/>
        <v>8.67</v>
      </c>
      <c r="BV104" s="19">
        <f t="shared" si="718"/>
        <v>1057.6879799999999</v>
      </c>
      <c r="BW104" s="539">
        <f t="shared" si="719"/>
        <v>0.99995999999999996</v>
      </c>
      <c r="BX104" s="19">
        <f t="shared" si="720"/>
        <v>121.98912023999999</v>
      </c>
      <c r="BY104" s="10">
        <f t="shared" si="721"/>
        <v>14.070256083044981</v>
      </c>
      <c r="BZ104" s="10">
        <f t="shared" si="722"/>
        <v>136.064256083045</v>
      </c>
      <c r="CA104" s="539">
        <f t="shared" si="723"/>
        <v>1179.6771002400001</v>
      </c>
      <c r="CB104" s="19">
        <f t="shared" si="724"/>
        <v>136.05881351280166</v>
      </c>
      <c r="CC104" s="10">
        <f t="shared" si="725"/>
        <v>15.69305807529431</v>
      </c>
      <c r="CD104" s="10">
        <f t="shared" si="726"/>
        <v>151.75731415833931</v>
      </c>
      <c r="CE104" s="539">
        <f t="shared" si="727"/>
        <v>1315.7359137528019</v>
      </c>
      <c r="CF104" s="19">
        <f t="shared" si="728"/>
        <v>151.75124386577298</v>
      </c>
      <c r="CG104" s="10">
        <f t="shared" si="729"/>
        <v>17.503026974137597</v>
      </c>
      <c r="CH104" s="10">
        <f t="shared" si="730"/>
        <v>169.26034113247692</v>
      </c>
      <c r="CI104" s="539">
        <f t="shared" si="731"/>
        <v>1467.4871576185749</v>
      </c>
      <c r="CJ104" s="19">
        <f t="shared" si="732"/>
        <v>169.25357071883161</v>
      </c>
      <c r="CK104" s="10">
        <f t="shared" si="733"/>
        <v>19.521749794559586</v>
      </c>
      <c r="CL104" s="10">
        <f t="shared" si="734"/>
        <v>188.78209092703651</v>
      </c>
      <c r="CM104" s="539">
        <f t="shared" si="735"/>
        <v>1636.7407283374066</v>
      </c>
      <c r="CN104" s="19">
        <f t="shared" si="736"/>
        <v>188.77453964339941</v>
      </c>
      <c r="CO104" s="10">
        <f t="shared" si="737"/>
        <v>21.773303303736956</v>
      </c>
      <c r="CP104" s="10">
        <f t="shared" si="738"/>
        <v>210.55539423077346</v>
      </c>
      <c r="CQ104" s="539">
        <f t="shared" si="739"/>
        <v>1825.5152679808059</v>
      </c>
      <c r="CR104" s="19">
        <f t="shared" si="740"/>
        <v>210.54697201500423</v>
      </c>
      <c r="CS104" s="10">
        <f t="shared" si="741"/>
        <v>24.284541178201181</v>
      </c>
      <c r="CT104" s="10">
        <f t="shared" si="742"/>
        <v>234.83993540897464</v>
      </c>
      <c r="CU104" s="539">
        <f t="shared" si="743"/>
        <v>2036.0622399958102</v>
      </c>
      <c r="CV104" s="19">
        <f t="shared" si="744"/>
        <v>234.83054181155828</v>
      </c>
      <c r="CW104" s="10">
        <f t="shared" si="745"/>
        <v>27.085414280456551</v>
      </c>
      <c r="CX104" s="10">
        <f t="shared" si="746"/>
        <v>261.92534968943119</v>
      </c>
      <c r="CY104" s="539">
        <f t="shared" si="747"/>
        <v>2270.8927818073685</v>
      </c>
      <c r="CZ104" s="19">
        <f t="shared" si="748"/>
        <v>261.91487267544358</v>
      </c>
      <c r="DA104" s="10">
        <f t="shared" si="749"/>
        <v>30.209327874906986</v>
      </c>
      <c r="DB104" s="10">
        <f t="shared" si="750"/>
        <v>292.13467756433818</v>
      </c>
      <c r="DC104" s="539">
        <f t="shared" si="751"/>
        <v>2532.8076544828118</v>
      </c>
      <c r="DD104" s="19">
        <f t="shared" si="752"/>
        <v>292.12299217723557</v>
      </c>
      <c r="DE104" s="10">
        <f t="shared" si="753"/>
        <v>33.693540043510446</v>
      </c>
      <c r="DF104" s="10">
        <f t="shared" si="754"/>
        <v>325.82821760784861</v>
      </c>
      <c r="DG104" s="539">
        <f t="shared" si="755"/>
        <v>2824.9306466600474</v>
      </c>
      <c r="DH104" s="19">
        <f t="shared" si="756"/>
        <v>325.81518447914431</v>
      </c>
      <c r="DI104" s="10">
        <f t="shared" si="757"/>
        <v>37.579606052957821</v>
      </c>
      <c r="DJ104" s="10">
        <f t="shared" si="758"/>
        <v>363.40782366080646</v>
      </c>
      <c r="DK104" s="539">
        <f t="shared" si="759"/>
        <v>3150.745831139192</v>
      </c>
      <c r="DL104" s="19">
        <f t="shared" si="760"/>
        <v>363.39328734786</v>
      </c>
      <c r="DM104" s="10">
        <f t="shared" si="761"/>
        <v>41.913873973224916</v>
      </c>
      <c r="DN104" s="10">
        <f t="shared" si="762"/>
        <v>405.32169763403135</v>
      </c>
      <c r="DO104" s="539">
        <f t="shared" si="763"/>
        <v>3514.1391184870517</v>
      </c>
      <c r="DP104" s="19">
        <f t="shared" si="764"/>
        <v>405.30548476612597</v>
      </c>
      <c r="DQ104" s="10">
        <f t="shared" si="765"/>
        <v>46.748037458607378</v>
      </c>
      <c r="DR104" s="10">
        <f t="shared" si="766"/>
        <v>452.06973509263872</v>
      </c>
      <c r="DS104" s="539">
        <f t="shared" si="767"/>
        <v>3919.4446032531778</v>
      </c>
      <c r="DT104" s="19">
        <f t="shared" si="768"/>
        <v>452.05165230323502</v>
      </c>
      <c r="DU104" s="10">
        <f t="shared" si="769"/>
        <v>52.139752284110152</v>
      </c>
      <c r="DV104" s="10">
        <f t="shared" si="770"/>
        <v>504.20948737674888</v>
      </c>
      <c r="DW104" s="539">
        <f t="shared" si="771"/>
        <v>4371.4962555564125</v>
      </c>
      <c r="DX104" s="19">
        <f t="shared" si="772"/>
        <v>504.18931899725379</v>
      </c>
      <c r="DY104" s="10">
        <f t="shared" si="773"/>
        <v>58.15332399045603</v>
      </c>
      <c r="DZ104" s="10">
        <f t="shared" si="774"/>
        <v>562.36281136720493</v>
      </c>
      <c r="EA104" s="539">
        <f t="shared" si="775"/>
        <v>4875.6855745536668</v>
      </c>
      <c r="EB104" s="19">
        <f t="shared" si="776"/>
        <v>562.3403168547502</v>
      </c>
      <c r="EC104" s="10">
        <f t="shared" si="777"/>
        <v>64.860474839071529</v>
      </c>
      <c r="ED104" s="10">
        <f t="shared" si="778"/>
        <v>627.2232862062765</v>
      </c>
      <c r="EE104" s="539">
        <f t="shared" si="779"/>
        <v>5438.025891408417</v>
      </c>
      <c r="EF104" s="19">
        <f t="shared" si="780"/>
        <v>627.1981972748282</v>
      </c>
      <c r="EG104" s="10">
        <f t="shared" si="781"/>
        <v>72.341199224316981</v>
      </c>
      <c r="EH104" s="10">
        <f t="shared" si="782"/>
        <v>699.56448543059344</v>
      </c>
      <c r="EI104" s="539">
        <f t="shared" si="783"/>
        <v>6065.2240886832451</v>
      </c>
      <c r="EJ104" s="19">
        <f t="shared" si="784"/>
        <v>699.53650285117624</v>
      </c>
      <c r="EK104" s="10">
        <f t="shared" si="785"/>
        <v>80.684717745233712</v>
      </c>
      <c r="EL104" s="10">
        <f t="shared" si="786"/>
        <v>780.24920317582712</v>
      </c>
      <c r="EM104" s="539">
        <f t="shared" si="787"/>
        <v>6764.7605915344211</v>
      </c>
      <c r="EN104" s="19">
        <f t="shared" si="788"/>
        <v>780.21799320770003</v>
      </c>
      <c r="EO104" s="10">
        <f t="shared" si="789"/>
        <v>89.990541315767018</v>
      </c>
      <c r="EP104" s="10">
        <f t="shared" si="790"/>
        <v>870.23974449159414</v>
      </c>
      <c r="EQ104" s="539">
        <f t="shared" si="791"/>
        <v>7544.9785847421208</v>
      </c>
      <c r="ER104" s="19">
        <f t="shared" si="792"/>
        <v>870.20493490181445</v>
      </c>
      <c r="ES104" s="10">
        <f t="shared" si="793"/>
        <v>100.3696580048229</v>
      </c>
      <c r="ET104" s="10">
        <f t="shared" si="794"/>
        <v>970.60940249641703</v>
      </c>
      <c r="EU104" s="539">
        <f t="shared" si="795"/>
        <v>8415.1835196439351</v>
      </c>
      <c r="EV104" s="19">
        <f t="shared" si="796"/>
        <v>970.57057812031712</v>
      </c>
      <c r="EW104" s="10">
        <f t="shared" si="797"/>
        <v>111.94585676128226</v>
      </c>
      <c r="EX104" s="10">
        <f t="shared" si="798"/>
        <v>1082.5552592576994</v>
      </c>
      <c r="EY104" s="539">
        <f t="shared" si="799"/>
        <v>9385.7540977642529</v>
      </c>
      <c r="EZ104" s="19">
        <f t="shared" si="800"/>
        <v>1082.5119570473291</v>
      </c>
      <c r="FA104" s="10">
        <f t="shared" si="801"/>
        <v>124.85720381168733</v>
      </c>
      <c r="FB104" s="10">
        <f t="shared" si="802"/>
        <v>1207.4124630693868</v>
      </c>
      <c r="FC104" s="539">
        <f t="shared" si="803"/>
        <v>10468.266054811584</v>
      </c>
      <c r="FD104" s="19">
        <f t="shared" si="804"/>
        <v>1207.364166570864</v>
      </c>
      <c r="FE104" s="10">
        <f t="shared" si="805"/>
        <v>139.2576893392</v>
      </c>
      <c r="FF104" s="10">
        <f t="shared" si="806"/>
        <v>1346.6701524085868</v>
      </c>
      <c r="FG104" s="539">
        <f t="shared" si="807"/>
        <v>11675.630221382447</v>
      </c>
      <c r="FH104" s="19">
        <f t="shared" si="808"/>
        <v>1346.6162856024903</v>
      </c>
      <c r="FI104" s="10">
        <f t="shared" si="809"/>
        <v>155.31906408333222</v>
      </c>
      <c r="FJ104" s="10">
        <f t="shared" si="810"/>
        <v>1501.989216491919</v>
      </c>
      <c r="FK104" s="539">
        <f t="shared" si="811"/>
        <v>13022.246506984939</v>
      </c>
      <c r="FL104" s="19">
        <f t="shared" si="812"/>
        <v>1501.9291369232592</v>
      </c>
      <c r="FM104" s="10">
        <f t="shared" si="813"/>
        <v>173.23288776508181</v>
      </c>
      <c r="FN104" s="10">
        <f t="shared" si="814"/>
        <v>1675.2221042570009</v>
      </c>
      <c r="FO104" s="539">
        <f t="shared" si="815"/>
        <v>14524.175643908198</v>
      </c>
      <c r="FP104" s="19">
        <f t="shared" si="816"/>
        <v>1675.1550953728306</v>
      </c>
      <c r="FQ104" s="10">
        <f t="shared" si="817"/>
        <v>193.21281376849257</v>
      </c>
      <c r="FR104" s="10">
        <f t="shared" si="818"/>
        <v>1868.4349180254935</v>
      </c>
      <c r="FS104" s="539">
        <f t="shared" si="819"/>
        <v>16199.330739281029</v>
      </c>
      <c r="FT104" s="19">
        <f t="shared" si="820"/>
        <v>1868.3601806287725</v>
      </c>
      <c r="FU104" s="10">
        <f t="shared" si="821"/>
        <v>215.49713732742475</v>
      </c>
      <c r="FV104" s="10">
        <f t="shared" si="822"/>
        <v>2083.9320553529183</v>
      </c>
      <c r="FW104" s="539">
        <f t="shared" si="823"/>
        <v>18067.690919909801</v>
      </c>
      <c r="FX104" s="19">
        <f t="shared" si="824"/>
        <v>2083.8486980707039</v>
      </c>
      <c r="FY104" s="10">
        <f t="shared" si="825"/>
        <v>240.35163760907773</v>
      </c>
      <c r="FZ104" s="10">
        <f t="shared" si="826"/>
        <v>2324.2836929619962</v>
      </c>
      <c r="GA104" s="539">
        <f t="shared" si="827"/>
        <v>20151.539617980507</v>
      </c>
      <c r="GB104" s="19">
        <f t="shared" si="828"/>
        <v>2324.1907216142777</v>
      </c>
      <c r="GC104" s="10">
        <f t="shared" si="829"/>
        <v>268.07274759103547</v>
      </c>
      <c r="GD104" s="10">
        <f t="shared" si="830"/>
        <v>2592.3564405530315</v>
      </c>
      <c r="GE104" s="539">
        <f t="shared" si="831"/>
        <v>22475.730339594782</v>
      </c>
      <c r="GF104" s="19">
        <f t="shared" si="832"/>
        <v>2592.2527462954095</v>
      </c>
      <c r="GG104" s="10">
        <f t="shared" si="833"/>
        <v>298.99108953810952</v>
      </c>
      <c r="GH104" s="10">
        <f t="shared" si="834"/>
        <v>2891.3475300911409</v>
      </c>
      <c r="GI104" s="539">
        <f t="shared" si="835"/>
        <v>25067.983085890191</v>
      </c>
      <c r="GJ104" s="19">
        <f t="shared" si="836"/>
        <v>2891.2318761899373</v>
      </c>
      <c r="GK104" s="10">
        <f t="shared" si="837"/>
        <v>333.47541824566753</v>
      </c>
      <c r="GL104" s="10">
        <f t="shared" si="838"/>
        <v>3224.8229483368086</v>
      </c>
      <c r="GM104" s="539">
        <f t="shared" si="839"/>
        <v>27959.214962080132</v>
      </c>
      <c r="GN104" s="19">
        <f t="shared" si="840"/>
        <v>3224.6939554188748</v>
      </c>
      <c r="GO104" s="10">
        <f t="shared" si="841"/>
        <v>371.93701907945501</v>
      </c>
      <c r="GP104" s="10">
        <f t="shared" si="842"/>
        <v>3596.7599674162639</v>
      </c>
      <c r="GQ104" s="539">
        <f t="shared" si="843"/>
        <v>31183.908917499008</v>
      </c>
      <c r="GR104" s="19">
        <f t="shared" si="844"/>
        <v>3596.616097017567</v>
      </c>
      <c r="GS104" s="10">
        <f t="shared" si="845"/>
        <v>414.83461326615537</v>
      </c>
      <c r="GT104" s="10">
        <f t="shared" si="846"/>
        <v>4011.5945806824193</v>
      </c>
      <c r="GU104" s="539">
        <f t="shared" si="847"/>
        <v>34780.525014516577</v>
      </c>
      <c r="GV104" s="19">
        <f t="shared" si="848"/>
        <v>4011.4341168991918</v>
      </c>
      <c r="GW104" s="10">
        <f t="shared" si="849"/>
        <v>462.67982893877644</v>
      </c>
      <c r="GX104" s="10">
        <f t="shared" si="850"/>
        <v>4474.2744096211954</v>
      </c>
      <c r="GY104" s="539">
        <f t="shared" si="851"/>
        <v>38791.959131415766</v>
      </c>
      <c r="GZ104" s="19">
        <f t="shared" si="852"/>
        <v>4474.0954386448102</v>
      </c>
      <c r="HA104" s="10">
        <f t="shared" si="853"/>
        <v>516.04330318855943</v>
      </c>
      <c r="HB104" s="10">
        <f t="shared" si="854"/>
        <v>4990.317712809755</v>
      </c>
      <c r="HC104" s="539">
        <f t="shared" si="855"/>
        <v>43266.054570060573</v>
      </c>
      <c r="HD104" s="19">
        <f t="shared" si="856"/>
        <v>4990.1181001012428</v>
      </c>
      <c r="HE104" s="10">
        <f t="shared" si="857"/>
        <v>575.56148790095074</v>
      </c>
      <c r="HF104" s="10">
        <f t="shared" si="858"/>
        <v>5565.8792007107058</v>
      </c>
      <c r="HG104" s="539">
        <f t="shared" si="859"/>
        <v>48256.172670161817</v>
      </c>
      <c r="HH104" s="19">
        <f t="shared" si="860"/>
        <v>5565.6565655426775</v>
      </c>
      <c r="HI104" s="10">
        <f t="shared" si="861"/>
        <v>641.94424054702165</v>
      </c>
      <c r="HJ104" s="10">
        <f t="shared" si="862"/>
        <v>6207.8234412577276</v>
      </c>
      <c r="HK104" s="539">
        <f t="shared" si="863"/>
        <v>53821.829235704499</v>
      </c>
      <c r="HL104" s="19">
        <f t="shared" si="864"/>
        <v>6207.5751283200771</v>
      </c>
      <c r="HM104" s="10">
        <f t="shared" si="865"/>
        <v>715.98329046367667</v>
      </c>
      <c r="HN104" s="10">
        <f t="shared" si="866"/>
        <v>6923.8067317214045</v>
      </c>
      <c r="HO104" s="539">
        <f t="shared" si="867"/>
        <v>60029.40436402458</v>
      </c>
      <c r="HP104" s="19">
        <f t="shared" si="868"/>
        <v>6923.5297794521357</v>
      </c>
      <c r="HQ104" s="10">
        <f t="shared" si="869"/>
        <v>798.5616815977088</v>
      </c>
      <c r="HR104" s="10">
        <f t="shared" si="870"/>
        <v>7722.3684133191136</v>
      </c>
      <c r="HS104" s="539">
        <f t="shared" si="871"/>
        <v>66952.934143476712</v>
      </c>
      <c r="HT104" s="19">
        <f t="shared" si="872"/>
        <v>7722.0595185825805</v>
      </c>
      <c r="HU104" s="10">
        <f t="shared" si="873"/>
        <v>890.66430433478433</v>
      </c>
      <c r="HV104" s="10">
        <f t="shared" si="874"/>
        <v>8613.0327176538976</v>
      </c>
      <c r="HW104" s="539">
        <f t="shared" si="875"/>
        <v>74674.993662059293</v>
      </c>
      <c r="HX104" s="19">
        <f t="shared" si="876"/>
        <v>8612.6881963451906</v>
      </c>
      <c r="HY104" s="10">
        <f t="shared" si="877"/>
        <v>993.38964202366674</v>
      </c>
      <c r="HZ104" s="10">
        <f t="shared" si="878"/>
        <v>9606.4223596775646</v>
      </c>
      <c r="IA104" s="539">
        <f t="shared" si="879"/>
        <v>83287.681858404481</v>
      </c>
      <c r="IB104" s="19">
        <f t="shared" si="880"/>
        <v>9606.0381027831772</v>
      </c>
      <c r="IM104" s="11"/>
      <c r="IN104" s="19"/>
      <c r="IO104" s="20"/>
      <c r="IP104" s="10"/>
    </row>
    <row r="105" spans="1:261" ht="13.5" thickBot="1">
      <c r="A105" s="11"/>
      <c r="B105" s="570"/>
      <c r="C105" s="826" t="s">
        <v>2347</v>
      </c>
      <c r="D105" s="47" t="s">
        <v>1472</v>
      </c>
      <c r="E105" s="396">
        <f t="shared" si="600"/>
        <v>9</v>
      </c>
      <c r="F105" s="242">
        <v>1</v>
      </c>
      <c r="G105" s="48">
        <f>'Update Stock Prices'!S105</f>
        <v>1206870421.8236928</v>
      </c>
      <c r="H105" s="991">
        <f t="shared" si="610"/>
        <v>8.2858936793637505E-10</v>
      </c>
      <c r="I105" s="49">
        <f>'Update Stock Prices'!D105</f>
        <v>39.590000000000003</v>
      </c>
      <c r="J105" s="49">
        <f t="shared" si="404"/>
        <v>39.590000000000003</v>
      </c>
      <c r="K105" s="30">
        <v>41</v>
      </c>
      <c r="L105" s="49">
        <f t="shared" si="611"/>
        <v>-1.4099999999999966</v>
      </c>
      <c r="M105" s="50">
        <f t="shared" si="613"/>
        <v>-3.4390243902438944E-2</v>
      </c>
      <c r="N105" s="49">
        <f t="shared" si="612"/>
        <v>41</v>
      </c>
      <c r="O105" s="48">
        <f t="shared" si="601"/>
        <v>8</v>
      </c>
      <c r="P105" s="49">
        <f t="shared" si="602"/>
        <v>4.2899999999999636</v>
      </c>
      <c r="Q105" s="30">
        <v>0</v>
      </c>
      <c r="R105" s="49">
        <f t="shared" ref="R105" si="907">S105/365.25</f>
        <v>0</v>
      </c>
      <c r="S105" s="49">
        <f t="shared" si="603"/>
        <v>0</v>
      </c>
      <c r="T105" s="49">
        <f t="shared" ref="T105" si="908">S105/12</f>
        <v>0</v>
      </c>
      <c r="U105" s="49"/>
      <c r="V105" s="50">
        <f t="shared" si="604"/>
        <v>0</v>
      </c>
      <c r="W105" s="50">
        <f t="shared" si="575"/>
        <v>0</v>
      </c>
      <c r="X105" s="49">
        <f t="shared" si="618"/>
        <v>0</v>
      </c>
      <c r="Y105" s="49">
        <f t="shared" ref="Y105" si="909">IF(U105="Q",3*T105,IF(U105="Y",12*T105,IF(U105="B",6*T105,IF(U105="M",T105,0))))</f>
        <v>0</v>
      </c>
      <c r="Z105" s="860">
        <f t="shared" si="605"/>
        <v>0</v>
      </c>
      <c r="AA105" s="860" t="str">
        <f t="shared" si="606"/>
        <v/>
      </c>
      <c r="AB105" s="49" t="str">
        <f t="shared" si="607"/>
        <v/>
      </c>
      <c r="AC105" s="48">
        <v>1</v>
      </c>
      <c r="AD105" s="47" t="str">
        <f t="shared" si="608"/>
        <v>PYPL</v>
      </c>
      <c r="AE105" s="49">
        <f t="shared" si="609"/>
        <v>39.590000000000003</v>
      </c>
      <c r="AF105" s="50" t="e">
        <f t="shared" si="692"/>
        <v>#REF!</v>
      </c>
      <c r="AG105" s="890" t="e">
        <f t="shared" ref="AG105:AG140" si="910">(100*AF105)^2</f>
        <v>#REF!</v>
      </c>
      <c r="AH105" s="207" t="s">
        <v>1471</v>
      </c>
      <c r="AI105" s="240">
        <f t="shared" si="693"/>
        <v>3.5581097175170517E-3</v>
      </c>
      <c r="AJ105" s="11">
        <f t="shared" si="595"/>
        <v>4</v>
      </c>
      <c r="AK105" s="11"/>
      <c r="AL105" s="11"/>
      <c r="AM105" s="11"/>
      <c r="AN105" s="11"/>
      <c r="AO105" s="11"/>
      <c r="AP105" s="11"/>
      <c r="AQ105" s="11" t="str">
        <f>'Update Stock Prices'!Q105</f>
        <v>big</v>
      </c>
      <c r="AR105" s="11"/>
      <c r="AS105" s="11"/>
      <c r="AU105" s="445" t="s">
        <v>8</v>
      </c>
      <c r="AV105" s="30">
        <v>208911.11820974163</v>
      </c>
      <c r="AW105" s="420" t="e">
        <f t="shared" si="667"/>
        <v>#REF!</v>
      </c>
      <c r="AX105" s="30">
        <v>280752.13987200003</v>
      </c>
      <c r="AY105" s="236" t="e">
        <f t="shared" si="668"/>
        <v>#REF!</v>
      </c>
      <c r="AZ105" s="19">
        <f t="shared" si="906"/>
        <v>71841.021662258398</v>
      </c>
      <c r="BA105" s="15" t="e">
        <f t="shared" si="670"/>
        <v>#REF!</v>
      </c>
      <c r="BB105" s="730" t="e">
        <f t="shared" si="671"/>
        <v>#REF!</v>
      </c>
      <c r="BC105" s="800" t="e">
        <f>IF(AND(BA105&gt;0,BB105&gt;0),"Between",IF(BA105&lt;0.001,"At high","At low"))</f>
        <v>#REF!</v>
      </c>
      <c r="BD105" s="749"/>
      <c r="BE105" s="1418"/>
      <c r="BG105" s="531" t="s">
        <v>2816</v>
      </c>
      <c r="BS105" s="420" t="str">
        <f t="shared" si="715"/>
        <v>PYPL</v>
      </c>
      <c r="BT105" s="425">
        <f t="shared" si="716"/>
        <v>1</v>
      </c>
      <c r="BU105" s="19">
        <f t="shared" si="717"/>
        <v>39.590000000000003</v>
      </c>
      <c r="BV105" s="19">
        <f t="shared" si="718"/>
        <v>39.590000000000003</v>
      </c>
      <c r="BW105" s="539">
        <f t="shared" si="719"/>
        <v>0</v>
      </c>
      <c r="BX105" s="19">
        <f t="shared" si="720"/>
        <v>0</v>
      </c>
      <c r="BY105" s="10">
        <f t="shared" si="721"/>
        <v>0</v>
      </c>
      <c r="BZ105" s="10">
        <f t="shared" si="722"/>
        <v>1</v>
      </c>
      <c r="CA105" s="539">
        <f t="shared" si="723"/>
        <v>39.590000000000003</v>
      </c>
      <c r="CB105" s="19">
        <f t="shared" si="724"/>
        <v>0</v>
      </c>
      <c r="CC105" s="10">
        <f t="shared" si="725"/>
        <v>0</v>
      </c>
      <c r="CD105" s="10">
        <f t="shared" si="726"/>
        <v>1</v>
      </c>
      <c r="CE105" s="539">
        <f t="shared" si="727"/>
        <v>39.590000000000003</v>
      </c>
      <c r="CF105" s="19">
        <f t="shared" si="728"/>
        <v>0</v>
      </c>
      <c r="CG105" s="10">
        <f t="shared" si="729"/>
        <v>0</v>
      </c>
      <c r="CH105" s="10">
        <f t="shared" si="730"/>
        <v>1</v>
      </c>
      <c r="CI105" s="539">
        <f t="shared" si="731"/>
        <v>39.590000000000003</v>
      </c>
      <c r="CJ105" s="19">
        <f t="shared" si="732"/>
        <v>0</v>
      </c>
      <c r="CK105" s="10">
        <f t="shared" si="733"/>
        <v>0</v>
      </c>
      <c r="CL105" s="10">
        <f t="shared" si="734"/>
        <v>1</v>
      </c>
      <c r="CM105" s="539">
        <f t="shared" si="735"/>
        <v>39.590000000000003</v>
      </c>
      <c r="CN105" s="19">
        <f t="shared" si="736"/>
        <v>0</v>
      </c>
      <c r="CO105" s="10">
        <f t="shared" si="737"/>
        <v>0</v>
      </c>
      <c r="CP105" s="10">
        <f t="shared" si="738"/>
        <v>1</v>
      </c>
      <c r="CQ105" s="539">
        <f t="shared" si="739"/>
        <v>39.590000000000003</v>
      </c>
      <c r="CR105" s="19">
        <f t="shared" si="740"/>
        <v>0</v>
      </c>
      <c r="CS105" s="10">
        <f t="shared" si="741"/>
        <v>0</v>
      </c>
      <c r="CT105" s="10">
        <f t="shared" si="742"/>
        <v>1</v>
      </c>
      <c r="CU105" s="539">
        <f t="shared" si="743"/>
        <v>39.590000000000003</v>
      </c>
      <c r="CV105" s="19">
        <f t="shared" si="744"/>
        <v>0</v>
      </c>
      <c r="CW105" s="10">
        <f t="shared" si="745"/>
        <v>0</v>
      </c>
      <c r="CX105" s="10">
        <f t="shared" si="746"/>
        <v>1</v>
      </c>
      <c r="CY105" s="539">
        <f t="shared" si="747"/>
        <v>39.590000000000003</v>
      </c>
      <c r="CZ105" s="19">
        <f t="shared" si="748"/>
        <v>0</v>
      </c>
      <c r="DA105" s="10">
        <f t="shared" si="749"/>
        <v>0</v>
      </c>
      <c r="DB105" s="10">
        <f t="shared" si="750"/>
        <v>1</v>
      </c>
      <c r="DC105" s="539">
        <f t="shared" si="751"/>
        <v>39.590000000000003</v>
      </c>
      <c r="DD105" s="19">
        <f t="shared" si="752"/>
        <v>0</v>
      </c>
      <c r="DE105" s="10">
        <f t="shared" si="753"/>
        <v>0</v>
      </c>
      <c r="DF105" s="10">
        <f t="shared" si="754"/>
        <v>1</v>
      </c>
      <c r="DG105" s="539">
        <f t="shared" si="755"/>
        <v>39.590000000000003</v>
      </c>
      <c r="DH105" s="19">
        <f t="shared" si="756"/>
        <v>0</v>
      </c>
      <c r="DI105" s="10">
        <f t="shared" si="757"/>
        <v>0</v>
      </c>
      <c r="DJ105" s="10">
        <f t="shared" si="758"/>
        <v>1</v>
      </c>
      <c r="DK105" s="539">
        <f t="shared" si="759"/>
        <v>39.590000000000003</v>
      </c>
      <c r="DL105" s="19">
        <f t="shared" si="760"/>
        <v>0</v>
      </c>
      <c r="DM105" s="10">
        <f t="shared" si="761"/>
        <v>0</v>
      </c>
      <c r="DN105" s="10">
        <f t="shared" si="762"/>
        <v>1</v>
      </c>
      <c r="DO105" s="539">
        <f t="shared" si="763"/>
        <v>39.590000000000003</v>
      </c>
      <c r="DP105" s="19">
        <f t="shared" si="764"/>
        <v>0</v>
      </c>
      <c r="DQ105" s="10">
        <f t="shared" si="765"/>
        <v>0</v>
      </c>
      <c r="DR105" s="10">
        <f t="shared" si="766"/>
        <v>1</v>
      </c>
      <c r="DS105" s="539">
        <f t="shared" si="767"/>
        <v>39.590000000000003</v>
      </c>
      <c r="DT105" s="19">
        <f t="shared" si="768"/>
        <v>0</v>
      </c>
      <c r="DU105" s="10">
        <f t="shared" si="769"/>
        <v>0</v>
      </c>
      <c r="DV105" s="10">
        <f t="shared" si="770"/>
        <v>1</v>
      </c>
      <c r="DW105" s="539">
        <f t="shared" si="771"/>
        <v>39.590000000000003</v>
      </c>
      <c r="DX105" s="19">
        <f t="shared" si="772"/>
        <v>0</v>
      </c>
      <c r="DY105" s="10">
        <f t="shared" si="773"/>
        <v>0</v>
      </c>
      <c r="DZ105" s="10">
        <f t="shared" si="774"/>
        <v>1</v>
      </c>
      <c r="EA105" s="539">
        <f t="shared" si="775"/>
        <v>39.590000000000003</v>
      </c>
      <c r="EB105" s="19">
        <f t="shared" si="776"/>
        <v>0</v>
      </c>
      <c r="EC105" s="10">
        <f t="shared" si="777"/>
        <v>0</v>
      </c>
      <c r="ED105" s="10">
        <f t="shared" si="778"/>
        <v>1</v>
      </c>
      <c r="EE105" s="539">
        <f t="shared" si="779"/>
        <v>39.590000000000003</v>
      </c>
      <c r="EF105" s="19">
        <f t="shared" si="780"/>
        <v>0</v>
      </c>
      <c r="EG105" s="10">
        <f t="shared" si="781"/>
        <v>0</v>
      </c>
      <c r="EH105" s="10">
        <f t="shared" si="782"/>
        <v>1</v>
      </c>
      <c r="EI105" s="539">
        <f t="shared" si="783"/>
        <v>39.590000000000003</v>
      </c>
      <c r="EJ105" s="19">
        <f t="shared" si="784"/>
        <v>0</v>
      </c>
      <c r="EK105" s="10">
        <f t="shared" si="785"/>
        <v>0</v>
      </c>
      <c r="EL105" s="10">
        <f t="shared" si="786"/>
        <v>1</v>
      </c>
      <c r="EM105" s="539">
        <f t="shared" si="787"/>
        <v>39.590000000000003</v>
      </c>
      <c r="EN105" s="19">
        <f t="shared" si="788"/>
        <v>0</v>
      </c>
      <c r="EO105" s="10">
        <f t="shared" si="789"/>
        <v>0</v>
      </c>
      <c r="EP105" s="10">
        <f t="shared" si="790"/>
        <v>1</v>
      </c>
      <c r="EQ105" s="539">
        <f t="shared" si="791"/>
        <v>39.590000000000003</v>
      </c>
      <c r="ER105" s="19">
        <f t="shared" si="792"/>
        <v>0</v>
      </c>
      <c r="ES105" s="10">
        <f t="shared" si="793"/>
        <v>0</v>
      </c>
      <c r="ET105" s="10">
        <f t="shared" si="794"/>
        <v>1</v>
      </c>
      <c r="EU105" s="539">
        <f t="shared" si="795"/>
        <v>39.590000000000003</v>
      </c>
      <c r="EV105" s="19">
        <f t="shared" si="796"/>
        <v>0</v>
      </c>
      <c r="EW105" s="10">
        <f t="shared" si="797"/>
        <v>0</v>
      </c>
      <c r="EX105" s="10">
        <f t="shared" si="798"/>
        <v>1</v>
      </c>
      <c r="EY105" s="539">
        <f t="shared" si="799"/>
        <v>39.590000000000003</v>
      </c>
      <c r="EZ105" s="19">
        <f t="shared" si="800"/>
        <v>0</v>
      </c>
      <c r="FA105" s="10">
        <f t="shared" si="801"/>
        <v>0</v>
      </c>
      <c r="FB105" s="10">
        <f t="shared" si="802"/>
        <v>1</v>
      </c>
      <c r="FC105" s="539">
        <f t="shared" si="803"/>
        <v>39.590000000000003</v>
      </c>
      <c r="FD105" s="19">
        <f t="shared" si="804"/>
        <v>0</v>
      </c>
      <c r="FE105" s="10">
        <f t="shared" si="805"/>
        <v>0</v>
      </c>
      <c r="FF105" s="10">
        <f t="shared" si="806"/>
        <v>1</v>
      </c>
      <c r="FG105" s="539">
        <f t="shared" si="807"/>
        <v>39.590000000000003</v>
      </c>
      <c r="FH105" s="19">
        <f t="shared" si="808"/>
        <v>0</v>
      </c>
      <c r="FI105" s="10">
        <f t="shared" si="809"/>
        <v>0</v>
      </c>
      <c r="FJ105" s="10">
        <f t="shared" si="810"/>
        <v>1</v>
      </c>
      <c r="FK105" s="539">
        <f t="shared" si="811"/>
        <v>39.590000000000003</v>
      </c>
      <c r="FL105" s="19">
        <f t="shared" si="812"/>
        <v>0</v>
      </c>
      <c r="FM105" s="10">
        <f t="shared" si="813"/>
        <v>0</v>
      </c>
      <c r="FN105" s="10">
        <f t="shared" si="814"/>
        <v>1</v>
      </c>
      <c r="FO105" s="539">
        <f t="shared" si="815"/>
        <v>39.590000000000003</v>
      </c>
      <c r="FP105" s="19">
        <f t="shared" si="816"/>
        <v>0</v>
      </c>
      <c r="FQ105" s="10">
        <f t="shared" si="817"/>
        <v>0</v>
      </c>
      <c r="FR105" s="10">
        <f t="shared" si="818"/>
        <v>1</v>
      </c>
      <c r="FS105" s="539">
        <f t="shared" si="819"/>
        <v>39.590000000000003</v>
      </c>
      <c r="FT105" s="19">
        <f t="shared" si="820"/>
        <v>0</v>
      </c>
      <c r="FU105" s="10">
        <f t="shared" si="821"/>
        <v>0</v>
      </c>
      <c r="FV105" s="10">
        <f t="shared" si="822"/>
        <v>1</v>
      </c>
      <c r="FW105" s="539">
        <f t="shared" si="823"/>
        <v>39.590000000000003</v>
      </c>
      <c r="FX105" s="19">
        <f t="shared" si="824"/>
        <v>0</v>
      </c>
      <c r="FY105" s="10">
        <f t="shared" si="825"/>
        <v>0</v>
      </c>
      <c r="FZ105" s="10">
        <f t="shared" si="826"/>
        <v>1</v>
      </c>
      <c r="GA105" s="539">
        <f t="shared" si="827"/>
        <v>39.590000000000003</v>
      </c>
      <c r="GB105" s="19">
        <f t="shared" si="828"/>
        <v>0</v>
      </c>
      <c r="GC105" s="10">
        <f t="shared" si="829"/>
        <v>0</v>
      </c>
      <c r="GD105" s="10">
        <f t="shared" si="830"/>
        <v>1</v>
      </c>
      <c r="GE105" s="539">
        <f t="shared" si="831"/>
        <v>39.590000000000003</v>
      </c>
      <c r="GF105" s="19">
        <f t="shared" si="832"/>
        <v>0</v>
      </c>
      <c r="GG105" s="10">
        <f t="shared" si="833"/>
        <v>0</v>
      </c>
      <c r="GH105" s="10">
        <f t="shared" si="834"/>
        <v>1</v>
      </c>
      <c r="GI105" s="539">
        <f t="shared" si="835"/>
        <v>39.590000000000003</v>
      </c>
      <c r="GJ105" s="19">
        <f t="shared" si="836"/>
        <v>0</v>
      </c>
      <c r="GK105" s="10">
        <f t="shared" si="837"/>
        <v>0</v>
      </c>
      <c r="GL105" s="10">
        <f t="shared" si="838"/>
        <v>1</v>
      </c>
      <c r="GM105" s="539">
        <f t="shared" si="839"/>
        <v>39.590000000000003</v>
      </c>
      <c r="GN105" s="19">
        <f t="shared" si="840"/>
        <v>0</v>
      </c>
      <c r="GO105" s="10">
        <f t="shared" si="841"/>
        <v>0</v>
      </c>
      <c r="GP105" s="10">
        <f t="shared" si="842"/>
        <v>1</v>
      </c>
      <c r="GQ105" s="539">
        <f t="shared" si="843"/>
        <v>39.590000000000003</v>
      </c>
      <c r="GR105" s="19">
        <f t="shared" si="844"/>
        <v>0</v>
      </c>
      <c r="GS105" s="10">
        <f t="shared" si="845"/>
        <v>0</v>
      </c>
      <c r="GT105" s="10">
        <f t="shared" si="846"/>
        <v>1</v>
      </c>
      <c r="GU105" s="539">
        <f t="shared" si="847"/>
        <v>39.590000000000003</v>
      </c>
      <c r="GV105" s="19">
        <f t="shared" si="848"/>
        <v>0</v>
      </c>
      <c r="GW105" s="10">
        <f t="shared" si="849"/>
        <v>0</v>
      </c>
      <c r="GX105" s="10">
        <f t="shared" si="850"/>
        <v>1</v>
      </c>
      <c r="GY105" s="539">
        <f t="shared" si="851"/>
        <v>39.590000000000003</v>
      </c>
      <c r="GZ105" s="19">
        <f t="shared" si="852"/>
        <v>0</v>
      </c>
      <c r="HA105" s="10">
        <f t="shared" si="853"/>
        <v>0</v>
      </c>
      <c r="HB105" s="10">
        <f t="shared" si="854"/>
        <v>1</v>
      </c>
      <c r="HC105" s="539">
        <f t="shared" si="855"/>
        <v>39.590000000000003</v>
      </c>
      <c r="HD105" s="19">
        <f t="shared" si="856"/>
        <v>0</v>
      </c>
      <c r="HE105" s="10">
        <f t="shared" si="857"/>
        <v>0</v>
      </c>
      <c r="HF105" s="10">
        <f t="shared" si="858"/>
        <v>1</v>
      </c>
      <c r="HG105" s="539">
        <f t="shared" si="859"/>
        <v>39.590000000000003</v>
      </c>
      <c r="HH105" s="19">
        <f t="shared" si="860"/>
        <v>0</v>
      </c>
      <c r="HI105" s="10">
        <f t="shared" si="861"/>
        <v>0</v>
      </c>
      <c r="HJ105" s="10">
        <f t="shared" si="862"/>
        <v>1</v>
      </c>
      <c r="HK105" s="539">
        <f t="shared" si="863"/>
        <v>39.590000000000003</v>
      </c>
      <c r="HL105" s="19">
        <f t="shared" si="864"/>
        <v>0</v>
      </c>
      <c r="HM105" s="10">
        <f t="shared" si="865"/>
        <v>0</v>
      </c>
      <c r="HN105" s="10">
        <f t="shared" si="866"/>
        <v>1</v>
      </c>
      <c r="HO105" s="539">
        <f t="shared" si="867"/>
        <v>39.590000000000003</v>
      </c>
      <c r="HP105" s="19">
        <f t="shared" si="868"/>
        <v>0</v>
      </c>
      <c r="HQ105" s="10">
        <f t="shared" si="869"/>
        <v>0</v>
      </c>
      <c r="HR105" s="10">
        <f t="shared" si="870"/>
        <v>1</v>
      </c>
      <c r="HS105" s="539">
        <f t="shared" si="871"/>
        <v>39.590000000000003</v>
      </c>
      <c r="HT105" s="19">
        <f t="shared" si="872"/>
        <v>0</v>
      </c>
      <c r="HU105" s="10">
        <f t="shared" si="873"/>
        <v>0</v>
      </c>
      <c r="HV105" s="10">
        <f t="shared" si="874"/>
        <v>1</v>
      </c>
      <c r="HW105" s="539">
        <f t="shared" si="875"/>
        <v>39.590000000000003</v>
      </c>
      <c r="HX105" s="19">
        <f t="shared" si="876"/>
        <v>0</v>
      </c>
      <c r="HY105" s="10">
        <f t="shared" si="877"/>
        <v>0</v>
      </c>
      <c r="HZ105" s="10">
        <f t="shared" si="878"/>
        <v>1</v>
      </c>
      <c r="IA105" s="539">
        <f t="shared" si="879"/>
        <v>39.590000000000003</v>
      </c>
      <c r="IB105" s="19">
        <f t="shared" si="880"/>
        <v>0</v>
      </c>
      <c r="IM105" s="11"/>
      <c r="IN105" s="19"/>
      <c r="IO105" s="20"/>
      <c r="IP105" s="10"/>
    </row>
    <row r="106" spans="1:261">
      <c r="A106" s="11"/>
      <c r="B106" s="20"/>
      <c r="C106" s="826" t="s">
        <v>2348</v>
      </c>
      <c r="D106" s="47" t="s">
        <v>2192</v>
      </c>
      <c r="E106" s="396">
        <f t="shared" ref="E106" si="911">F106+O106</f>
        <v>7.0194999999999999</v>
      </c>
      <c r="F106" s="242">
        <v>2.0194999999999999</v>
      </c>
      <c r="G106" s="48">
        <f>'Update Stock Prices'!S106</f>
        <v>1436992879.6158304</v>
      </c>
      <c r="H106" s="991">
        <f t="shared" ref="H106" si="912">F106/G106</f>
        <v>1.4053653491587923E-9</v>
      </c>
      <c r="I106" s="49">
        <f>'Update Stock Prices'!D106</f>
        <v>60.39</v>
      </c>
      <c r="J106" s="49">
        <f t="shared" si="404"/>
        <v>121.95760499999999</v>
      </c>
      <c r="K106" s="30">
        <v>106.86</v>
      </c>
      <c r="L106" s="49">
        <f t="shared" ref="L106" si="913">J106-K106</f>
        <v>15.097604999999987</v>
      </c>
      <c r="M106" s="50">
        <f t="shared" ref="M106" si="914">L106/K106</f>
        <v>0.14128396967995496</v>
      </c>
      <c r="N106" s="49">
        <f t="shared" ref="N106" si="915">K106/F106</f>
        <v>52.914087645456803</v>
      </c>
      <c r="O106" s="48">
        <f t="shared" ref="O106" si="916">IF(INT(($B$11-$B$12)/I106)&lt;0,0,INT(($B$11-$B$12)/I106))</f>
        <v>5</v>
      </c>
      <c r="P106" s="49">
        <f t="shared" ref="P106" si="917">IF(($B$11-$B$12)-(O106*I106)&lt;0,0,($B$11-$B$12)-(O106*I106))</f>
        <v>19.060000000000002</v>
      </c>
      <c r="Q106" s="30">
        <f>0.46*4</f>
        <v>1.84</v>
      </c>
      <c r="R106" s="49">
        <f t="shared" ref="R106" si="918">S106/365.25</f>
        <v>1.0173524982888432E-2</v>
      </c>
      <c r="S106" s="49">
        <f t="shared" ref="S106" si="919">F106*Q106</f>
        <v>3.7158799999999998</v>
      </c>
      <c r="T106" s="49">
        <f t="shared" ref="T106" si="920">S106/12</f>
        <v>0.30965666666666664</v>
      </c>
      <c r="U106" s="49" t="s">
        <v>54</v>
      </c>
      <c r="V106" s="50">
        <f t="shared" ref="V106" si="921">Q106/I106</f>
        <v>3.0468620632555059E-2</v>
      </c>
      <c r="W106" s="50">
        <f t="shared" ref="W106" si="922">S106/K106</f>
        <v>3.4773348306195023E-2</v>
      </c>
      <c r="X106" s="49">
        <f t="shared" ref="X106" si="923">12*((E106*Q106)/12-T106)</f>
        <v>9.1999999999999993</v>
      </c>
      <c r="Y106" s="49">
        <f t="shared" ref="Y106" si="924">IF(U106="Q",3*T106,IF(U106="Y",12*T106,IF(U106="B",6*T106,IF(U106="M",T106,0))))</f>
        <v>0.92896999999999985</v>
      </c>
      <c r="Z106" s="860">
        <f t="shared" ref="Z106" si="925">IF(Y106/I106&gt;1,1,0)</f>
        <v>0</v>
      </c>
      <c r="AA106" s="860">
        <f t="shared" ref="AA106" si="926">IF(Z106=1,"",IF(AND(U106&lt;&gt;"",Z106=0),I106/(Y106/F106)-F106,""))</f>
        <v>129.26310869565219</v>
      </c>
      <c r="AB106" s="49">
        <f t="shared" ref="AB106" si="927">IF(AA106&lt;&gt;"",AA106*I106,"")</f>
        <v>7806.1991341304356</v>
      </c>
      <c r="AC106" s="48">
        <v>1</v>
      </c>
      <c r="AD106" s="47" t="str">
        <f t="shared" ref="AD106" si="928">D106</f>
        <v>RAI</v>
      </c>
      <c r="AE106" s="49">
        <f t="shared" ref="AE106" si="929">J106</f>
        <v>121.95760499999999</v>
      </c>
      <c r="AF106" s="50" t="e">
        <f t="shared" si="692"/>
        <v>#REF!</v>
      </c>
      <c r="AG106" s="890" t="e">
        <f t="shared" ref="AG106" si="930">(100*AF106)^2</f>
        <v>#REF!</v>
      </c>
      <c r="AH106" s="207" t="s">
        <v>2191</v>
      </c>
      <c r="AI106" s="240">
        <f t="shared" si="693"/>
        <v>3.3764949657736985E-2</v>
      </c>
      <c r="AJ106" s="11">
        <f t="shared" si="595"/>
        <v>3</v>
      </c>
      <c r="AK106" s="11"/>
      <c r="AL106" s="11"/>
      <c r="AM106" s="11"/>
      <c r="AN106" s="11">
        <v>1</v>
      </c>
      <c r="AO106" s="11"/>
      <c r="AP106" s="11"/>
      <c r="AQ106" s="11" t="str">
        <f>'Update Stock Prices'!Q106</f>
        <v>big</v>
      </c>
      <c r="AR106" s="11"/>
      <c r="AS106" s="11"/>
      <c r="AU106" s="376" t="s">
        <v>1767</v>
      </c>
      <c r="AV106" s="911">
        <v>676.24977380611676</v>
      </c>
      <c r="AW106" s="428" t="e">
        <f t="shared" si="667"/>
        <v>#REF!</v>
      </c>
      <c r="AX106" s="911">
        <v>784.71626628079582</v>
      </c>
      <c r="AY106" s="428" t="e">
        <f t="shared" si="668"/>
        <v>#REF!</v>
      </c>
      <c r="AZ106" s="910">
        <f t="shared" si="906"/>
        <v>108.46649247467906</v>
      </c>
      <c r="BA106" s="429" t="e">
        <f t="shared" si="670"/>
        <v>#REF!</v>
      </c>
      <c r="BB106" s="764" t="e">
        <f t="shared" si="671"/>
        <v>#REF!</v>
      </c>
      <c r="BC106" s="428" t="e">
        <f>IF(AND(BA106&gt;0,BB106&gt;0),"Between",IF(BA106&lt;0.001,"At high","At low"))</f>
        <v>#REF!</v>
      </c>
      <c r="BD106" s="856"/>
      <c r="BE106" s="74"/>
      <c r="BS106" s="420" t="str">
        <f t="shared" si="715"/>
        <v>RAI</v>
      </c>
      <c r="BT106" s="425">
        <f t="shared" si="716"/>
        <v>2.0194999999999999</v>
      </c>
      <c r="BU106" s="19">
        <f t="shared" si="717"/>
        <v>60.39</v>
      </c>
      <c r="BV106" s="19">
        <f t="shared" si="718"/>
        <v>121.95760499999999</v>
      </c>
      <c r="BW106" s="539">
        <f t="shared" si="719"/>
        <v>1.84</v>
      </c>
      <c r="BX106" s="19">
        <f t="shared" si="720"/>
        <v>3.7158799999999998</v>
      </c>
      <c r="BY106" s="10">
        <f t="shared" si="721"/>
        <v>6.153137936744494E-2</v>
      </c>
      <c r="BZ106" s="10">
        <f t="shared" si="722"/>
        <v>2.0810313793674449</v>
      </c>
      <c r="CA106" s="539">
        <f t="shared" si="723"/>
        <v>125.673485</v>
      </c>
      <c r="CB106" s="19">
        <f t="shared" si="724"/>
        <v>3.8290977380360989</v>
      </c>
      <c r="CC106" s="10">
        <f t="shared" si="725"/>
        <v>6.3406155622389451E-2</v>
      </c>
      <c r="CD106" s="10">
        <f t="shared" si="726"/>
        <v>2.1444375349898341</v>
      </c>
      <c r="CE106" s="539">
        <f t="shared" si="727"/>
        <v>129.5025827380361</v>
      </c>
      <c r="CF106" s="19">
        <f t="shared" si="728"/>
        <v>3.9457650643812952</v>
      </c>
      <c r="CG106" s="10">
        <f t="shared" si="729"/>
        <v>6.5338053723816777E-2</v>
      </c>
      <c r="CH106" s="10">
        <f t="shared" si="730"/>
        <v>2.2097755887136508</v>
      </c>
      <c r="CI106" s="539">
        <f t="shared" si="731"/>
        <v>133.44834780241737</v>
      </c>
      <c r="CJ106" s="19">
        <f t="shared" si="732"/>
        <v>4.065987083233118</v>
      </c>
      <c r="CK106" s="10">
        <f t="shared" si="733"/>
        <v>6.7328814095597253E-2</v>
      </c>
      <c r="CL106" s="10">
        <f t="shared" si="734"/>
        <v>2.2771044028092482</v>
      </c>
      <c r="CM106" s="539">
        <f t="shared" si="735"/>
        <v>137.5143348856505</v>
      </c>
      <c r="CN106" s="19">
        <f t="shared" si="736"/>
        <v>4.1898721011690165</v>
      </c>
      <c r="CO106" s="10">
        <f t="shared" si="737"/>
        <v>6.938023018991582E-2</v>
      </c>
      <c r="CP106" s="10">
        <f t="shared" si="738"/>
        <v>2.346484632999164</v>
      </c>
      <c r="CQ106" s="539">
        <f t="shared" si="739"/>
        <v>141.70420698681951</v>
      </c>
      <c r="CR106" s="19">
        <f t="shared" si="740"/>
        <v>4.3175317247184619</v>
      </c>
      <c r="CS106" s="10">
        <f t="shared" si="741"/>
        <v>7.1494150102971721E-2</v>
      </c>
      <c r="CT106" s="10">
        <f t="shared" si="742"/>
        <v>2.4179787831021358</v>
      </c>
      <c r="CU106" s="539">
        <f t="shared" si="743"/>
        <v>146.02173871153798</v>
      </c>
      <c r="CV106" s="19">
        <f t="shared" si="744"/>
        <v>4.4490809609079296</v>
      </c>
      <c r="CW106" s="10">
        <f t="shared" si="745"/>
        <v>7.3672478239906108E-2</v>
      </c>
      <c r="CX106" s="10">
        <f t="shared" si="746"/>
        <v>2.4916512613420418</v>
      </c>
      <c r="CY106" s="539">
        <f t="shared" si="747"/>
        <v>150.47081967244591</v>
      </c>
      <c r="CZ106" s="19">
        <f t="shared" si="748"/>
        <v>4.5846383208693569</v>
      </c>
      <c r="DA106" s="10">
        <f t="shared" si="749"/>
        <v>7.5917177030457972E-2</v>
      </c>
      <c r="DB106" s="10">
        <f t="shared" si="750"/>
        <v>2.5675684383724997</v>
      </c>
      <c r="DC106" s="539">
        <f t="shared" si="751"/>
        <v>155.05545799331526</v>
      </c>
      <c r="DD106" s="19">
        <f t="shared" si="752"/>
        <v>4.7243259266053999</v>
      </c>
      <c r="DE106" s="10">
        <f t="shared" si="753"/>
        <v>7.8230268696893521E-2</v>
      </c>
      <c r="DF106" s="10">
        <f t="shared" si="754"/>
        <v>2.6457987070693934</v>
      </c>
      <c r="DG106" s="539">
        <f t="shared" si="755"/>
        <v>159.77978391992067</v>
      </c>
      <c r="DH106" s="19">
        <f t="shared" si="756"/>
        <v>4.8682696210076841</v>
      </c>
      <c r="DI106" s="10">
        <f t="shared" si="757"/>
        <v>8.0613837075802025E-2</v>
      </c>
      <c r="DJ106" s="10">
        <f t="shared" si="758"/>
        <v>2.7264125441451954</v>
      </c>
      <c r="DK106" s="539">
        <f t="shared" si="759"/>
        <v>164.64805354092834</v>
      </c>
      <c r="DL106" s="19">
        <f t="shared" si="760"/>
        <v>5.0165990812271595</v>
      </c>
      <c r="DM106" s="10">
        <f t="shared" si="761"/>
        <v>8.3070029495399225E-2</v>
      </c>
      <c r="DN106" s="10">
        <f t="shared" si="762"/>
        <v>2.8094825736405946</v>
      </c>
      <c r="DO106" s="539">
        <f t="shared" si="763"/>
        <v>169.6646526221555</v>
      </c>
      <c r="DP106" s="19">
        <f t="shared" si="764"/>
        <v>5.1694479354986944</v>
      </c>
      <c r="DQ106" s="10">
        <f t="shared" si="765"/>
        <v>8.5601058710029709E-2</v>
      </c>
      <c r="DR106" s="10">
        <f t="shared" si="766"/>
        <v>2.8950836323506244</v>
      </c>
      <c r="DS106" s="539">
        <f t="shared" si="767"/>
        <v>174.83410055765421</v>
      </c>
      <c r="DT106" s="19">
        <f t="shared" si="768"/>
        <v>5.3269538835251495</v>
      </c>
      <c r="DU106" s="10">
        <f t="shared" si="769"/>
        <v>8.8209204893610685E-2</v>
      </c>
      <c r="DV106" s="10">
        <f t="shared" si="770"/>
        <v>2.9832928372442349</v>
      </c>
      <c r="DW106" s="539">
        <f t="shared" si="771"/>
        <v>180.16105444117935</v>
      </c>
      <c r="DX106" s="19">
        <f t="shared" si="772"/>
        <v>5.4892588205293924</v>
      </c>
      <c r="DY106" s="10">
        <f t="shared" si="773"/>
        <v>9.0896817693813414E-2</v>
      </c>
      <c r="DZ106" s="10">
        <f t="shared" si="774"/>
        <v>3.0741896549380483</v>
      </c>
      <c r="EA106" s="539">
        <f t="shared" si="775"/>
        <v>185.65031326170873</v>
      </c>
      <c r="EB106" s="19">
        <f t="shared" si="776"/>
        <v>5.656508965086009</v>
      </c>
      <c r="EC106" s="10">
        <f t="shared" si="777"/>
        <v>9.3666318348832739E-2</v>
      </c>
      <c r="ED106" s="10">
        <f t="shared" si="778"/>
        <v>3.1678559732868812</v>
      </c>
      <c r="EE106" s="539">
        <f t="shared" si="779"/>
        <v>191.30682222679476</v>
      </c>
      <c r="EF106" s="19">
        <f t="shared" si="780"/>
        <v>5.8288549908478613</v>
      </c>
      <c r="EG106" s="10">
        <f t="shared" si="781"/>
        <v>9.6520201868651456E-2</v>
      </c>
      <c r="EH106" s="10">
        <f t="shared" si="782"/>
        <v>3.2643761751555327</v>
      </c>
      <c r="EI106" s="539">
        <f t="shared" si="783"/>
        <v>197.13567721764261</v>
      </c>
      <c r="EJ106" s="19">
        <f t="shared" si="784"/>
        <v>6.0064521622861804</v>
      </c>
      <c r="EK106" s="10">
        <f t="shared" si="785"/>
        <v>9.9461039282765035E-2</v>
      </c>
      <c r="EL106" s="10">
        <f t="shared" si="786"/>
        <v>3.3638372144382975</v>
      </c>
      <c r="EM106" s="539">
        <f t="shared" si="787"/>
        <v>203.1421293799288</v>
      </c>
      <c r="EN106" s="19">
        <f t="shared" si="788"/>
        <v>6.1894604745664674</v>
      </c>
      <c r="EO106" s="10">
        <f t="shared" si="789"/>
        <v>0.10249147995639124</v>
      </c>
      <c r="EP106" s="10">
        <f t="shared" si="790"/>
        <v>3.4663286943946887</v>
      </c>
      <c r="EQ106" s="539">
        <f t="shared" si="791"/>
        <v>209.33158985449526</v>
      </c>
      <c r="ER106" s="19">
        <f t="shared" si="792"/>
        <v>6.3780447976862273</v>
      </c>
      <c r="ES106" s="10">
        <f t="shared" si="793"/>
        <v>0.10561425397725165</v>
      </c>
      <c r="ET106" s="10">
        <f t="shared" si="794"/>
        <v>3.5719429483719405</v>
      </c>
      <c r="EU106" s="539">
        <f t="shared" si="795"/>
        <v>215.70963465218148</v>
      </c>
      <c r="EV106" s="19">
        <f t="shared" si="796"/>
        <v>6.5723750250043711</v>
      </c>
      <c r="EW106" s="10">
        <f t="shared" si="797"/>
        <v>0.10883217461507487</v>
      </c>
      <c r="EX106" s="10">
        <f t="shared" si="798"/>
        <v>3.6807751229870154</v>
      </c>
      <c r="EY106" s="539">
        <f t="shared" si="799"/>
        <v>222.28200967718587</v>
      </c>
      <c r="EZ106" s="19">
        <f t="shared" si="800"/>
        <v>6.7726262262961088</v>
      </c>
      <c r="FA106" s="10">
        <f t="shared" si="801"/>
        <v>0.11214814085603757</v>
      </c>
      <c r="FB106" s="10">
        <f t="shared" si="802"/>
        <v>3.7929232638430528</v>
      </c>
      <c r="FC106" s="539">
        <f t="shared" si="803"/>
        <v>229.05463590348197</v>
      </c>
      <c r="FD106" s="19">
        <f t="shared" si="804"/>
        <v>6.9789788054712174</v>
      </c>
      <c r="FE106" s="10">
        <f t="shared" si="805"/>
        <v>0.11556514001442651</v>
      </c>
      <c r="FF106" s="10">
        <f t="shared" si="806"/>
        <v>3.9084884038574792</v>
      </c>
      <c r="FG106" s="539">
        <f t="shared" si="807"/>
        <v>236.03361470895317</v>
      </c>
      <c r="FH106" s="19">
        <f t="shared" si="808"/>
        <v>7.1916186630977617</v>
      </c>
      <c r="FI106" s="10">
        <f t="shared" si="809"/>
        <v>0.11908625042387418</v>
      </c>
      <c r="FJ106" s="10">
        <f t="shared" si="810"/>
        <v>4.0275746542813531</v>
      </c>
      <c r="FK106" s="539">
        <f t="shared" si="811"/>
        <v>243.22523337205092</v>
      </c>
      <c r="FL106" s="19">
        <f t="shared" si="812"/>
        <v>7.4107373638776899</v>
      </c>
      <c r="FM106" s="10">
        <f t="shared" si="813"/>
        <v>0.12271464421059264</v>
      </c>
      <c r="FN106" s="10">
        <f t="shared" si="814"/>
        <v>4.1502892984919457</v>
      </c>
      <c r="FO106" s="539">
        <f t="shared" si="815"/>
        <v>250.63597073592859</v>
      </c>
      <c r="FP106" s="19">
        <f t="shared" si="816"/>
        <v>7.6365323092251804</v>
      </c>
      <c r="FQ106" s="10">
        <f t="shared" si="817"/>
        <v>0.12645359015110416</v>
      </c>
      <c r="FR106" s="10">
        <f t="shared" si="818"/>
        <v>4.2767428886430503</v>
      </c>
      <c r="FS106" s="539">
        <f t="shared" si="819"/>
        <v>258.27250304515383</v>
      </c>
      <c r="FT106" s="19">
        <f t="shared" si="820"/>
        <v>7.8692069151032129</v>
      </c>
      <c r="FU106" s="10">
        <f t="shared" si="821"/>
        <v>0.13030645661704277</v>
      </c>
      <c r="FV106" s="10">
        <f t="shared" si="822"/>
        <v>4.4070493452600932</v>
      </c>
      <c r="FW106" s="539">
        <f t="shared" si="823"/>
        <v>266.141709960257</v>
      </c>
      <c r="FX106" s="19">
        <f t="shared" si="824"/>
        <v>8.1089707952785712</v>
      </c>
      <c r="FY106" s="10">
        <f t="shared" si="825"/>
        <v>0.13427671460967994</v>
      </c>
      <c r="FZ106" s="10">
        <f t="shared" si="826"/>
        <v>4.5413260598697729</v>
      </c>
      <c r="GA106" s="539">
        <f t="shared" si="827"/>
        <v>274.2506807555356</v>
      </c>
      <c r="GB106" s="19">
        <f t="shared" si="828"/>
        <v>8.3560399501603833</v>
      </c>
      <c r="GC106" s="10">
        <f t="shared" si="829"/>
        <v>0.13836794088690815</v>
      </c>
      <c r="GD106" s="10">
        <f t="shared" si="830"/>
        <v>4.6796940007566814</v>
      </c>
      <c r="GE106" s="539">
        <f t="shared" si="831"/>
        <v>282.60672070569598</v>
      </c>
      <c r="GF106" s="19">
        <f t="shared" si="832"/>
        <v>8.6106369613922933</v>
      </c>
      <c r="GG106" s="10">
        <f t="shared" si="833"/>
        <v>0.14258382118549914</v>
      </c>
      <c r="GH106" s="10">
        <f t="shared" si="834"/>
        <v>4.8222778219421807</v>
      </c>
      <c r="GI106" s="539">
        <f t="shared" si="835"/>
        <v>291.21735766708832</v>
      </c>
      <c r="GJ106" s="19">
        <f t="shared" si="836"/>
        <v>8.8729911923736129</v>
      </c>
      <c r="GK106" s="10">
        <f t="shared" si="837"/>
        <v>0.14692815354154021</v>
      </c>
      <c r="GL106" s="10">
        <f t="shared" si="838"/>
        <v>4.969205975483721</v>
      </c>
      <c r="GM106" s="539">
        <f t="shared" si="839"/>
        <v>300.09034885946193</v>
      </c>
      <c r="GN106" s="19">
        <f t="shared" si="840"/>
        <v>9.1433389948900476</v>
      </c>
      <c r="GO106" s="10">
        <f t="shared" si="841"/>
        <v>0.15140485171203921</v>
      </c>
      <c r="GP106" s="10">
        <f t="shared" si="842"/>
        <v>5.12061082719576</v>
      </c>
      <c r="GQ106" s="539">
        <f t="shared" si="843"/>
        <v>309.23368785435196</v>
      </c>
      <c r="GR106" s="19">
        <f t="shared" si="844"/>
        <v>9.4219239220401985</v>
      </c>
      <c r="GS106" s="10">
        <f t="shared" si="845"/>
        <v>0.15601794870078156</v>
      </c>
      <c r="GT106" s="10">
        <f t="shared" si="846"/>
        <v>5.2766287758965413</v>
      </c>
      <c r="GU106" s="539">
        <f t="shared" si="847"/>
        <v>318.65561177639211</v>
      </c>
      <c r="GV106" s="19">
        <f t="shared" si="848"/>
        <v>9.7089969476496361</v>
      </c>
      <c r="GW106" s="10">
        <f t="shared" si="849"/>
        <v>0.16077160039161509</v>
      </c>
      <c r="GX106" s="10">
        <f t="shared" si="850"/>
        <v>5.4374003762881564</v>
      </c>
      <c r="GY106" s="539">
        <f t="shared" si="851"/>
        <v>328.36460872404177</v>
      </c>
      <c r="GZ106" s="19">
        <f t="shared" si="852"/>
        <v>10.004816692370209</v>
      </c>
      <c r="HA106" s="10">
        <f t="shared" si="853"/>
        <v>0.16567008929243598</v>
      </c>
      <c r="HB106" s="10">
        <f t="shared" si="854"/>
        <v>5.6030704655805925</v>
      </c>
      <c r="HC106" s="539">
        <f t="shared" si="855"/>
        <v>338.36942541641196</v>
      </c>
      <c r="HD106" s="19">
        <f t="shared" si="856"/>
        <v>10.30964965666829</v>
      </c>
      <c r="HE106" s="10">
        <f t="shared" si="857"/>
        <v>0.1707178283932487</v>
      </c>
      <c r="HF106" s="10">
        <f t="shared" si="858"/>
        <v>5.7737882939738414</v>
      </c>
      <c r="HG106" s="539">
        <f t="shared" si="859"/>
        <v>348.6790750730803</v>
      </c>
      <c r="HH106" s="19">
        <f t="shared" si="860"/>
        <v>10.623770460911869</v>
      </c>
      <c r="HI106" s="10">
        <f t="shared" si="861"/>
        <v>0.17591936514177628</v>
      </c>
      <c r="HJ106" s="10">
        <f t="shared" si="862"/>
        <v>5.9497076591156173</v>
      </c>
      <c r="HK106" s="539">
        <f t="shared" si="863"/>
        <v>359.30284553399213</v>
      </c>
      <c r="HL106" s="19">
        <f t="shared" si="864"/>
        <v>10.947462092772737</v>
      </c>
      <c r="HM106" s="10">
        <f t="shared" si="865"/>
        <v>0.18127938554020098</v>
      </c>
      <c r="HN106" s="10">
        <f t="shared" si="866"/>
        <v>6.1309870446558179</v>
      </c>
      <c r="HO106" s="539">
        <f t="shared" si="867"/>
        <v>370.25030762676482</v>
      </c>
      <c r="HP106" s="19">
        <f t="shared" si="868"/>
        <v>11.281016162166706</v>
      </c>
      <c r="HQ106" s="10">
        <f t="shared" si="869"/>
        <v>0.18680271836672804</v>
      </c>
      <c r="HR106" s="10">
        <f t="shared" si="870"/>
        <v>6.3177897630225459</v>
      </c>
      <c r="HS106" s="539">
        <f t="shared" si="871"/>
        <v>381.53132378893156</v>
      </c>
      <c r="HT106" s="19">
        <f t="shared" si="872"/>
        <v>11.624733163961485</v>
      </c>
      <c r="HU106" s="10">
        <f t="shared" si="873"/>
        <v>0.19249433952577388</v>
      </c>
      <c r="HV106" s="10">
        <f t="shared" si="874"/>
        <v>6.5102841025483196</v>
      </c>
      <c r="HW106" s="539">
        <f t="shared" si="875"/>
        <v>393.15605695289304</v>
      </c>
      <c r="HX106" s="19">
        <f t="shared" si="876"/>
        <v>11.978922748688909</v>
      </c>
      <c r="HY106" s="10">
        <f t="shared" si="877"/>
        <v>0.19835937653069893</v>
      </c>
      <c r="HZ106" s="10">
        <f t="shared" si="878"/>
        <v>6.7086434790790186</v>
      </c>
      <c r="IA106" s="539">
        <f t="shared" si="879"/>
        <v>405.13497970158193</v>
      </c>
      <c r="IB106" s="19">
        <f t="shared" si="880"/>
        <v>12.343904001505395</v>
      </c>
      <c r="IM106" s="11"/>
      <c r="IN106" s="19"/>
      <c r="IO106" s="20"/>
      <c r="IP106" s="10"/>
    </row>
    <row r="107" spans="1:261">
      <c r="A107" s="11"/>
      <c r="B107" s="20"/>
      <c r="C107" s="1224" t="s">
        <v>2341</v>
      </c>
      <c r="D107" s="47" t="s">
        <v>876</v>
      </c>
      <c r="E107" s="396">
        <f t="shared" ref="E107:E141" si="931">F107+O107</f>
        <v>8.0601000000000003</v>
      </c>
      <c r="F107" s="242">
        <v>1.0601</v>
      </c>
      <c r="G107" s="48">
        <f>'Update Stock Prices'!S107</f>
        <v>1778064213.7333021</v>
      </c>
      <c r="H107" s="991">
        <f t="shared" si="610"/>
        <v>5.9621018848029527E-10</v>
      </c>
      <c r="I107" s="49">
        <f>'Update Stock Prices'!D107</f>
        <v>42.67</v>
      </c>
      <c r="J107" s="49">
        <f t="shared" si="404"/>
        <v>45.234467000000002</v>
      </c>
      <c r="K107" s="30">
        <v>47.06</v>
      </c>
      <c r="L107" s="49">
        <f t="shared" si="611"/>
        <v>-1.8255330000000001</v>
      </c>
      <c r="M107" s="50">
        <f t="shared" si="613"/>
        <v>-3.8791606459838507E-2</v>
      </c>
      <c r="N107" s="49">
        <f t="shared" si="612"/>
        <v>44.392038486935192</v>
      </c>
      <c r="O107" s="48">
        <f t="shared" ref="O107:O146" si="932">IF(INT(($B$11-$B$12)/I107)&lt;0,0,INT(($B$11-$B$12)/I107))</f>
        <v>7</v>
      </c>
      <c r="P107" s="49">
        <f t="shared" ref="P107:P141" si="933">IF(($B$11-$B$12)-(O107*I107)&lt;0,0,($B$11-$B$12)-(O107*I107))</f>
        <v>22.319999999999993</v>
      </c>
      <c r="Q107" s="30">
        <f>0.55</f>
        <v>0.55000000000000004</v>
      </c>
      <c r="R107" s="49">
        <f t="shared" ref="R107" si="934">S107/365.25</f>
        <v>1.5963175906913076E-3</v>
      </c>
      <c r="S107" s="49">
        <f t="shared" ref="S107:S146" si="935">F107*Q107</f>
        <v>0.5830550000000001</v>
      </c>
      <c r="T107" s="49">
        <f t="shared" ref="T107" si="936">S107/12</f>
        <v>4.8587916666666675E-2</v>
      </c>
      <c r="U107" s="49" t="s">
        <v>882</v>
      </c>
      <c r="V107" s="50">
        <f t="shared" ref="V107:V146" si="937">Q107/I107</f>
        <v>1.2889617998593861E-2</v>
      </c>
      <c r="W107" s="50">
        <f t="shared" si="575"/>
        <v>1.2389609009774757E-2</v>
      </c>
      <c r="X107" s="49">
        <f t="shared" ref="X107:X143" si="938">12*((E107*Q107)/12-T107)</f>
        <v>3.8500000000000005</v>
      </c>
      <c r="Y107" s="49">
        <f t="shared" si="654"/>
        <v>0.29152750000000005</v>
      </c>
      <c r="Z107" s="860">
        <f t="shared" ref="Z107:Z141" si="939">IF(Y107/I107&gt;1,1,0)</f>
        <v>0</v>
      </c>
      <c r="AA107" s="860">
        <f t="shared" ref="AA107:AA141" si="940">IF(Z107=1,"",IF(AND(U107&lt;&gt;"",Z107=0),I107/(Y107/F107)-F107,""))</f>
        <v>154.10353636363635</v>
      </c>
      <c r="AB107" s="49">
        <f t="shared" ref="AB107:AB141" si="941">IF(AA107&lt;&gt;"",AA107*I107,"")</f>
        <v>6575.5978966363637</v>
      </c>
      <c r="AC107" s="48">
        <v>1</v>
      </c>
      <c r="AD107" s="47" t="str">
        <f t="shared" ref="AD107:AD146" si="942">D107</f>
        <v>RIO</v>
      </c>
      <c r="AE107" s="49">
        <f t="shared" ref="AE107:AE146" si="943">J107</f>
        <v>45.234467000000002</v>
      </c>
      <c r="AF107" s="50" t="e">
        <f t="shared" si="692"/>
        <v>#REF!</v>
      </c>
      <c r="AG107" s="890" t="e">
        <f t="shared" si="910"/>
        <v>#REF!</v>
      </c>
      <c r="AH107" s="207" t="s">
        <v>883</v>
      </c>
      <c r="AI107" s="240">
        <f t="shared" si="693"/>
        <v>4.6450167782872889E-3</v>
      </c>
      <c r="AJ107" s="11">
        <f t="shared" si="595"/>
        <v>3</v>
      </c>
      <c r="AK107" s="11"/>
      <c r="AL107" s="11"/>
      <c r="AM107" s="11"/>
      <c r="AN107" s="11"/>
      <c r="AO107" s="11"/>
      <c r="AP107" s="11"/>
      <c r="AQ107" s="11" t="str">
        <f>'Update Stock Prices'!Q107</f>
        <v>big</v>
      </c>
      <c r="AR107" s="11"/>
      <c r="AS107" s="11">
        <v>1</v>
      </c>
      <c r="AU107" s="224" t="s">
        <v>1768</v>
      </c>
      <c r="AV107" s="1044">
        <v>953.97862910470405</v>
      </c>
      <c r="AW107" s="420" t="str">
        <f t="shared" si="667"/>
        <v/>
      </c>
      <c r="AX107" s="1044">
        <v>1478.8554336851939</v>
      </c>
      <c r="AY107" s="420" t="str">
        <f t="shared" si="668"/>
        <v/>
      </c>
      <c r="AZ107" s="10">
        <f t="shared" si="906"/>
        <v>524.87680458048987</v>
      </c>
      <c r="BA107" s="15">
        <f t="shared" si="670"/>
        <v>0.4928320978823868</v>
      </c>
      <c r="BB107" s="183">
        <f t="shared" si="671"/>
        <v>3.8427333604650782E-2</v>
      </c>
      <c r="BC107" s="420" t="str">
        <f>IF(AND(BA107&gt;0,BB107&gt;0),"Between",IF(BA107&lt;0.001,"At high","At low"))</f>
        <v>Between</v>
      </c>
      <c r="BD107" s="984"/>
      <c r="BE107" s="74"/>
      <c r="BF107" s="176" t="s">
        <v>2813</v>
      </c>
      <c r="BS107" s="420" t="str">
        <f t="shared" si="715"/>
        <v>RIO</v>
      </c>
      <c r="BT107" s="425">
        <f t="shared" si="716"/>
        <v>1.0601</v>
      </c>
      <c r="BU107" s="19">
        <f t="shared" si="717"/>
        <v>42.67</v>
      </c>
      <c r="BV107" s="19">
        <f t="shared" si="718"/>
        <v>45.234467000000002</v>
      </c>
      <c r="BW107" s="539">
        <f t="shared" si="719"/>
        <v>0.55000000000000004</v>
      </c>
      <c r="BX107" s="19">
        <f t="shared" si="720"/>
        <v>0.5830550000000001</v>
      </c>
      <c r="BY107" s="10">
        <f t="shared" si="721"/>
        <v>1.3664284040309352E-2</v>
      </c>
      <c r="BZ107" s="10">
        <f t="shared" si="722"/>
        <v>1.0737642840403094</v>
      </c>
      <c r="CA107" s="539">
        <f t="shared" si="723"/>
        <v>45.817522000000004</v>
      </c>
      <c r="CB107" s="19">
        <f t="shared" si="724"/>
        <v>0.59057035622217025</v>
      </c>
      <c r="CC107" s="10">
        <f t="shared" si="725"/>
        <v>1.3840411441813224E-2</v>
      </c>
      <c r="CD107" s="10">
        <f t="shared" si="726"/>
        <v>1.0876046954821226</v>
      </c>
      <c r="CE107" s="539">
        <f t="shared" si="727"/>
        <v>46.40809235622217</v>
      </c>
      <c r="CF107" s="19">
        <f t="shared" si="728"/>
        <v>0.59818258251516743</v>
      </c>
      <c r="CG107" s="10">
        <f t="shared" si="729"/>
        <v>1.4018809058241561E-2</v>
      </c>
      <c r="CH107" s="10">
        <f t="shared" si="730"/>
        <v>1.1016235045403642</v>
      </c>
      <c r="CI107" s="539">
        <f t="shared" si="731"/>
        <v>47.006274938737342</v>
      </c>
      <c r="CJ107" s="19">
        <f t="shared" si="732"/>
        <v>0.60589292749720036</v>
      </c>
      <c r="CK107" s="10">
        <f t="shared" si="733"/>
        <v>1.4199506151797523E-2</v>
      </c>
      <c r="CL107" s="10">
        <f t="shared" si="734"/>
        <v>1.1158230106921616</v>
      </c>
      <c r="CM107" s="539">
        <f t="shared" si="735"/>
        <v>47.612167866234536</v>
      </c>
      <c r="CN107" s="19">
        <f t="shared" si="736"/>
        <v>0.61370265588068895</v>
      </c>
      <c r="CO107" s="10">
        <f t="shared" si="737"/>
        <v>1.4382532361862876E-2</v>
      </c>
      <c r="CP107" s="10">
        <f t="shared" si="738"/>
        <v>1.1302055430540245</v>
      </c>
      <c r="CQ107" s="539">
        <f t="shared" si="739"/>
        <v>48.22587052211523</v>
      </c>
      <c r="CR107" s="19">
        <f t="shared" si="740"/>
        <v>0.62161304867971356</v>
      </c>
      <c r="CS107" s="10">
        <f t="shared" si="741"/>
        <v>1.4567917709859704E-2</v>
      </c>
      <c r="CT107" s="10">
        <f t="shared" si="742"/>
        <v>1.1447734607638842</v>
      </c>
      <c r="CU107" s="539">
        <f t="shared" si="743"/>
        <v>48.847483570794942</v>
      </c>
      <c r="CV107" s="19">
        <f t="shared" si="744"/>
        <v>0.6296254034201364</v>
      </c>
      <c r="CW107" s="10">
        <f t="shared" si="745"/>
        <v>1.4755692604174746E-2</v>
      </c>
      <c r="CX107" s="10">
        <f t="shared" si="746"/>
        <v>1.159529153368059</v>
      </c>
      <c r="CY107" s="539">
        <f t="shared" si="747"/>
        <v>49.477108974215078</v>
      </c>
      <c r="CZ107" s="19">
        <f t="shared" si="748"/>
        <v>0.63774103435243246</v>
      </c>
      <c r="DA107" s="10">
        <f t="shared" si="749"/>
        <v>1.4945887845147233E-2</v>
      </c>
      <c r="DB107" s="10">
        <f t="shared" si="750"/>
        <v>1.1744750412132061</v>
      </c>
      <c r="DC107" s="539">
        <f t="shared" si="751"/>
        <v>50.114850008567508</v>
      </c>
      <c r="DD107" s="19">
        <f t="shared" si="752"/>
        <v>0.64596127266726344</v>
      </c>
      <c r="DE107" s="10">
        <f t="shared" si="753"/>
        <v>1.5138534630121008E-2</v>
      </c>
      <c r="DF107" s="10">
        <f t="shared" si="754"/>
        <v>1.1896135758433271</v>
      </c>
      <c r="DG107" s="539">
        <f t="shared" si="755"/>
        <v>50.760811281234766</v>
      </c>
      <c r="DH107" s="19">
        <f t="shared" si="756"/>
        <v>0.65428746671382998</v>
      </c>
      <c r="DI107" s="10">
        <f t="shared" si="757"/>
        <v>1.5333664558561753E-2</v>
      </c>
      <c r="DJ107" s="10">
        <f t="shared" si="758"/>
        <v>1.2049472404018888</v>
      </c>
      <c r="DK107" s="539">
        <f t="shared" si="759"/>
        <v>51.415098747948598</v>
      </c>
      <c r="DL107" s="19">
        <f t="shared" si="760"/>
        <v>0.66272098222103892</v>
      </c>
      <c r="DM107" s="10">
        <f t="shared" si="761"/>
        <v>1.553130963724019E-2</v>
      </c>
      <c r="DN107" s="10">
        <f t="shared" si="762"/>
        <v>1.2204785500391291</v>
      </c>
      <c r="DO107" s="539">
        <f t="shared" si="763"/>
        <v>52.077819730169637</v>
      </c>
      <c r="DP107" s="19">
        <f t="shared" si="764"/>
        <v>0.67126320252152105</v>
      </c>
      <c r="DQ107" s="10">
        <f t="shared" si="765"/>
        <v>1.5731502285482094E-2</v>
      </c>
      <c r="DR107" s="10">
        <f t="shared" si="766"/>
        <v>1.2362100523246111</v>
      </c>
      <c r="DS107" s="539">
        <f t="shared" si="767"/>
        <v>52.749082932691159</v>
      </c>
      <c r="DT107" s="19">
        <f t="shared" si="768"/>
        <v>0.67991552877853612</v>
      </c>
      <c r="DU107" s="10">
        <f t="shared" si="769"/>
        <v>1.5934275340485964E-2</v>
      </c>
      <c r="DV107" s="10">
        <f t="shared" si="770"/>
        <v>1.252144327665097</v>
      </c>
      <c r="DW107" s="539">
        <f t="shared" si="771"/>
        <v>53.428998461469689</v>
      </c>
      <c r="DX107" s="19">
        <f t="shared" si="772"/>
        <v>0.68867938021580344</v>
      </c>
      <c r="DY107" s="10">
        <f t="shared" si="773"/>
        <v>1.6139662062709243E-2</v>
      </c>
      <c r="DZ107" s="10">
        <f t="shared" si="774"/>
        <v>1.2682839897278062</v>
      </c>
      <c r="EA107" s="539">
        <f t="shared" si="775"/>
        <v>54.117677841685492</v>
      </c>
      <c r="EB107" s="19">
        <f t="shared" si="776"/>
        <v>0.69755619435029348</v>
      </c>
      <c r="EC107" s="10">
        <f t="shared" si="777"/>
        <v>1.6347696141323961E-2</v>
      </c>
      <c r="ED107" s="10">
        <f t="shared" si="778"/>
        <v>1.2846316858691302</v>
      </c>
      <c r="EE107" s="539">
        <f t="shared" si="779"/>
        <v>54.81523403603579</v>
      </c>
      <c r="EF107" s="19">
        <f t="shared" si="780"/>
        <v>0.70654742722802166</v>
      </c>
      <c r="EG107" s="10">
        <f t="shared" si="781"/>
        <v>1.6558411699742714E-2</v>
      </c>
      <c r="EH107" s="10">
        <f t="shared" si="782"/>
        <v>1.301190097568873</v>
      </c>
      <c r="EI107" s="539">
        <f t="shared" si="783"/>
        <v>55.521781463263814</v>
      </c>
      <c r="EJ107" s="19">
        <f t="shared" si="784"/>
        <v>0.71565455366288022</v>
      </c>
      <c r="EK107" s="10">
        <f t="shared" si="785"/>
        <v>1.6771843301215845E-2</v>
      </c>
      <c r="EL107" s="10">
        <f t="shared" si="786"/>
        <v>1.3179619408700889</v>
      </c>
      <c r="EM107" s="539">
        <f t="shared" si="787"/>
        <v>56.237436016926694</v>
      </c>
      <c r="EN107" s="19">
        <f t="shared" si="788"/>
        <v>0.72487906747854891</v>
      </c>
      <c r="EO107" s="10">
        <f t="shared" si="789"/>
        <v>1.6988025954500795E-2</v>
      </c>
      <c r="EP107" s="10">
        <f t="shared" si="790"/>
        <v>1.3349499668245897</v>
      </c>
      <c r="EQ107" s="539">
        <f t="shared" si="791"/>
        <v>56.96231508440524</v>
      </c>
      <c r="ER107" s="19">
        <f t="shared" si="792"/>
        <v>0.73422248175352434</v>
      </c>
      <c r="ES107" s="10">
        <f t="shared" si="793"/>
        <v>1.7206995119604506E-2</v>
      </c>
      <c r="ET107" s="10">
        <f t="shared" si="794"/>
        <v>1.3521569619441942</v>
      </c>
      <c r="EU107" s="539">
        <f t="shared" si="795"/>
        <v>57.696537566158767</v>
      </c>
      <c r="EV107" s="19">
        <f t="shared" si="796"/>
        <v>0.74368632906930687</v>
      </c>
      <c r="EW107" s="10">
        <f t="shared" si="797"/>
        <v>1.7428786713599879E-2</v>
      </c>
      <c r="EX107" s="10">
        <f t="shared" si="798"/>
        <v>1.369585748657794</v>
      </c>
      <c r="EY107" s="539">
        <f t="shared" si="799"/>
        <v>58.440223895228073</v>
      </c>
      <c r="EZ107" s="19">
        <f t="shared" si="800"/>
        <v>0.7532721617617868</v>
      </c>
      <c r="FA107" s="10">
        <f t="shared" si="801"/>
        <v>1.7653437116517151E-2</v>
      </c>
      <c r="FB107" s="10">
        <f t="shared" si="802"/>
        <v>1.3872391857743112</v>
      </c>
      <c r="FC107" s="539">
        <f t="shared" si="803"/>
        <v>59.193496056989858</v>
      </c>
      <c r="FD107" s="19">
        <f t="shared" si="804"/>
        <v>0.76298155217587116</v>
      </c>
      <c r="FE107" s="10">
        <f t="shared" si="805"/>
        <v>1.7880983177311252E-2</v>
      </c>
      <c r="FF107" s="10">
        <f t="shared" si="806"/>
        <v>1.4051201689516224</v>
      </c>
      <c r="FG107" s="539">
        <f t="shared" si="807"/>
        <v>59.956477609165731</v>
      </c>
      <c r="FH107" s="19">
        <f t="shared" si="808"/>
        <v>0.77281609292339237</v>
      </c>
      <c r="FI107" s="10">
        <f t="shared" si="809"/>
        <v>1.8111462219906078E-2</v>
      </c>
      <c r="FJ107" s="10">
        <f t="shared" si="810"/>
        <v>1.4232316311715285</v>
      </c>
      <c r="FK107" s="539">
        <f t="shared" si="811"/>
        <v>60.729293702089123</v>
      </c>
      <c r="FL107" s="19">
        <f t="shared" si="812"/>
        <v>0.78277739714434069</v>
      </c>
      <c r="FM107" s="10">
        <f t="shared" si="813"/>
        <v>1.8344912049316632E-2</v>
      </c>
      <c r="FN107" s="10">
        <f t="shared" si="814"/>
        <v>1.4415765432208452</v>
      </c>
      <c r="FO107" s="539">
        <f t="shared" si="815"/>
        <v>61.512071099233466</v>
      </c>
      <c r="FP107" s="19">
        <f t="shared" si="816"/>
        <v>0.79286709877146488</v>
      </c>
      <c r="FQ107" s="10">
        <f t="shared" si="817"/>
        <v>1.8581370957850125E-2</v>
      </c>
      <c r="FR107" s="10">
        <f t="shared" si="818"/>
        <v>1.4601579141786953</v>
      </c>
      <c r="FS107" s="539">
        <f t="shared" si="819"/>
        <v>62.304938198004933</v>
      </c>
      <c r="FT107" s="19">
        <f t="shared" si="820"/>
        <v>0.80308685279828251</v>
      </c>
      <c r="FU107" s="10">
        <f t="shared" si="821"/>
        <v>1.8820877731386982E-2</v>
      </c>
      <c r="FV107" s="10">
        <f t="shared" si="822"/>
        <v>1.4789787919100823</v>
      </c>
      <c r="FW107" s="539">
        <f t="shared" si="823"/>
        <v>63.108025050803214</v>
      </c>
      <c r="FX107" s="19">
        <f t="shared" si="824"/>
        <v>0.81343833555054534</v>
      </c>
      <c r="FY107" s="10">
        <f t="shared" si="825"/>
        <v>1.9063471655742802E-2</v>
      </c>
      <c r="FZ107" s="10">
        <f t="shared" si="826"/>
        <v>1.498042263565825</v>
      </c>
      <c r="GA107" s="539">
        <f t="shared" si="827"/>
        <v>63.921463386353757</v>
      </c>
      <c r="GB107" s="19">
        <f t="shared" si="828"/>
        <v>0.82392324496120384</v>
      </c>
      <c r="GC107" s="10">
        <f t="shared" si="829"/>
        <v>1.9309192523112344E-2</v>
      </c>
      <c r="GD107" s="10">
        <f t="shared" si="830"/>
        <v>1.5173514560889374</v>
      </c>
      <c r="GE107" s="539">
        <f t="shared" si="831"/>
        <v>64.745386631314958</v>
      </c>
      <c r="GF107" s="19">
        <f t="shared" si="832"/>
        <v>0.83454330084891559</v>
      </c>
      <c r="GG107" s="10">
        <f t="shared" si="833"/>
        <v>1.9558080638596567E-2</v>
      </c>
      <c r="GH107" s="10">
        <f t="shared" si="834"/>
        <v>1.5369095367275341</v>
      </c>
      <c r="GI107" s="539">
        <f t="shared" si="835"/>
        <v>65.579929932163878</v>
      </c>
      <c r="GJ107" s="19">
        <f t="shared" si="836"/>
        <v>0.8453002452001438</v>
      </c>
      <c r="GK107" s="10">
        <f t="shared" si="837"/>
        <v>1.9810176826813776E-2</v>
      </c>
      <c r="GL107" s="10">
        <f t="shared" si="838"/>
        <v>1.5567197135543478</v>
      </c>
      <c r="GM107" s="539">
        <f t="shared" si="839"/>
        <v>66.425230177364028</v>
      </c>
      <c r="GN107" s="19">
        <f t="shared" si="840"/>
        <v>0.85619584245489133</v>
      </c>
      <c r="GO107" s="10">
        <f t="shared" si="841"/>
        <v>2.0065522438595999E-2</v>
      </c>
      <c r="GP107" s="10">
        <f t="shared" si="842"/>
        <v>1.5767852359929437</v>
      </c>
      <c r="GQ107" s="539">
        <f t="shared" si="843"/>
        <v>67.281426019818909</v>
      </c>
      <c r="GR107" s="19">
        <f t="shared" si="844"/>
        <v>0.86723187979611915</v>
      </c>
      <c r="GS107" s="10">
        <f t="shared" si="845"/>
        <v>2.0324159357771716E-2</v>
      </c>
      <c r="GT107" s="10">
        <f t="shared" si="846"/>
        <v>1.5971093953507154</v>
      </c>
      <c r="GU107" s="539">
        <f t="shared" si="847"/>
        <v>68.148657899615031</v>
      </c>
      <c r="GV107" s="19">
        <f t="shared" si="848"/>
        <v>0.87841016744289357</v>
      </c>
      <c r="GW107" s="10">
        <f t="shared" si="849"/>
        <v>2.0586130008035941E-2</v>
      </c>
      <c r="GX107" s="10">
        <f t="shared" si="850"/>
        <v>1.6176955253587513</v>
      </c>
      <c r="GY107" s="539">
        <f t="shared" si="851"/>
        <v>69.027068067057925</v>
      </c>
      <c r="GZ107" s="19">
        <f t="shared" si="852"/>
        <v>0.8897325389473133</v>
      </c>
      <c r="HA107" s="10">
        <f t="shared" si="853"/>
        <v>2.0851477359908912E-2</v>
      </c>
      <c r="HB107" s="10">
        <f t="shared" si="854"/>
        <v>1.6385470027186602</v>
      </c>
      <c r="HC107" s="539">
        <f t="shared" si="855"/>
        <v>69.916800606005225</v>
      </c>
      <c r="HD107" s="19">
        <f t="shared" si="856"/>
        <v>0.90120085149526319</v>
      </c>
      <c r="HE107" s="10">
        <f t="shared" si="857"/>
        <v>2.1120244937784464E-2</v>
      </c>
      <c r="HF107" s="10">
        <f t="shared" si="858"/>
        <v>1.6596672476564447</v>
      </c>
      <c r="HG107" s="539">
        <f t="shared" si="859"/>
        <v>70.8180014575005</v>
      </c>
      <c r="HH107" s="19">
        <f t="shared" si="860"/>
        <v>0.91281698621104468</v>
      </c>
      <c r="HI107" s="10">
        <f t="shared" si="861"/>
        <v>2.1392476827069244E-2</v>
      </c>
      <c r="HJ107" s="10">
        <f t="shared" si="862"/>
        <v>1.6810597244835139</v>
      </c>
      <c r="HK107" s="539">
        <f t="shared" si="863"/>
        <v>71.730818443711541</v>
      </c>
      <c r="HL107" s="19">
        <f t="shared" si="864"/>
        <v>0.92458284846593275</v>
      </c>
      <c r="HM107" s="10">
        <f t="shared" si="865"/>
        <v>2.1668217681413939E-2</v>
      </c>
      <c r="HN107" s="10">
        <f t="shared" si="866"/>
        <v>1.702727942164928</v>
      </c>
      <c r="HO107" s="539">
        <f t="shared" si="867"/>
        <v>72.655401292177473</v>
      </c>
      <c r="HP107" s="19">
        <f t="shared" si="868"/>
        <v>0.93650036819071047</v>
      </c>
      <c r="HQ107" s="10">
        <f t="shared" si="869"/>
        <v>2.1947512730037741E-2</v>
      </c>
      <c r="HR107" s="10">
        <f t="shared" si="870"/>
        <v>1.7246754548949657</v>
      </c>
      <c r="HS107" s="539">
        <f t="shared" si="871"/>
        <v>73.591901660368194</v>
      </c>
      <c r="HT107" s="19">
        <f t="shared" si="872"/>
        <v>0.94857150019223113</v>
      </c>
      <c r="HU107" s="10">
        <f t="shared" si="873"/>
        <v>2.2230407785147201E-2</v>
      </c>
      <c r="HV107" s="10">
        <f t="shared" si="874"/>
        <v>1.7469058626801128</v>
      </c>
      <c r="HW107" s="539">
        <f t="shared" si="875"/>
        <v>74.540473160560424</v>
      </c>
      <c r="HX107" s="19">
        <f t="shared" si="876"/>
        <v>0.96079822447406216</v>
      </c>
      <c r="HY107" s="10">
        <f t="shared" si="877"/>
        <v>2.2516949249450718E-2</v>
      </c>
      <c r="HZ107" s="10">
        <f t="shared" si="878"/>
        <v>1.7694228119295636</v>
      </c>
      <c r="IA107" s="539">
        <f t="shared" si="879"/>
        <v>75.501271385034485</v>
      </c>
      <c r="IB107" s="19">
        <f t="shared" si="880"/>
        <v>0.97318254656126013</v>
      </c>
      <c r="IC107" s="11"/>
      <c r="IM107" s="11"/>
      <c r="IN107" s="19"/>
      <c r="IO107" s="20"/>
      <c r="IP107" s="10"/>
    </row>
    <row r="108" spans="1:261">
      <c r="A108" s="11"/>
      <c r="B108" s="20"/>
      <c r="C108" s="826" t="s">
        <v>2342</v>
      </c>
      <c r="D108" s="47" t="s">
        <v>83</v>
      </c>
      <c r="E108" s="396">
        <f t="shared" si="931"/>
        <v>230.67070000000001</v>
      </c>
      <c r="F108" s="242">
        <v>174.67070000000001</v>
      </c>
      <c r="G108" s="48">
        <f>'Update Stock Prices'!S108</f>
        <v>14765734265.734266</v>
      </c>
      <c r="H108" s="991">
        <f t="shared" si="610"/>
        <v>1.1829462514799905E-8</v>
      </c>
      <c r="I108" s="49">
        <f>'Update Stock Prices'!D108</f>
        <v>5.72</v>
      </c>
      <c r="J108" s="49">
        <f t="shared" si="404"/>
        <v>999.11640399999999</v>
      </c>
      <c r="K108" s="30">
        <v>1221.7</v>
      </c>
      <c r="L108" s="49">
        <f t="shared" si="611"/>
        <v>-222.58359600000006</v>
      </c>
      <c r="M108" s="50">
        <f t="shared" si="613"/>
        <v>-0.1821916968159123</v>
      </c>
      <c r="N108" s="49">
        <f t="shared" si="612"/>
        <v>6.9943041391601453</v>
      </c>
      <c r="O108" s="48">
        <f t="shared" si="932"/>
        <v>56</v>
      </c>
      <c r="P108" s="49">
        <f>IF(($B$11-$B$12)-(O108*I108)&lt;0,0,($B$11-$B$12)-(O108*I108))</f>
        <v>0.68999999999999773</v>
      </c>
      <c r="Q108" s="30">
        <f>0.05693*4</f>
        <v>0.22772000000000001</v>
      </c>
      <c r="R108" s="49">
        <f t="shared" si="242"/>
        <v>0.10890078522655718</v>
      </c>
      <c r="S108" s="49">
        <f t="shared" si="935"/>
        <v>39.776011804000007</v>
      </c>
      <c r="T108" s="49">
        <f t="shared" si="399"/>
        <v>3.3146676503333339</v>
      </c>
      <c r="U108" s="49" t="s">
        <v>54</v>
      </c>
      <c r="V108" s="50">
        <f t="shared" si="937"/>
        <v>3.9811188811188815E-2</v>
      </c>
      <c r="W108" s="50">
        <f t="shared" si="575"/>
        <v>3.2557920769419664E-2</v>
      </c>
      <c r="X108" s="49">
        <f>12*((E108*Q108)/12-T108)</f>
        <v>12.752319999999994</v>
      </c>
      <c r="Y108" s="49">
        <f t="shared" si="654"/>
        <v>9.9440029510000016</v>
      </c>
      <c r="Z108" s="860">
        <f t="shared" si="939"/>
        <v>1</v>
      </c>
      <c r="AA108" s="860" t="str">
        <f t="shared" si="940"/>
        <v/>
      </c>
      <c r="AB108" s="49" t="str">
        <f t="shared" si="941"/>
        <v/>
      </c>
      <c r="AC108" s="48">
        <v>1</v>
      </c>
      <c r="AD108" s="47" t="str">
        <f t="shared" si="942"/>
        <v>SAN</v>
      </c>
      <c r="AE108" s="49">
        <f t="shared" si="943"/>
        <v>999.11640399999999</v>
      </c>
      <c r="AF108" s="50" t="e">
        <f t="shared" si="692"/>
        <v>#REF!</v>
      </c>
      <c r="AG108" s="890" t="e">
        <f t="shared" si="910"/>
        <v>#REF!</v>
      </c>
      <c r="AH108" s="207" t="s">
        <v>55</v>
      </c>
      <c r="AI108" s="240">
        <f t="shared" si="693"/>
        <v>2.2661075164503104</v>
      </c>
      <c r="AJ108" s="11">
        <f t="shared" si="595"/>
        <v>3</v>
      </c>
      <c r="AK108" s="11">
        <v>1</v>
      </c>
      <c r="AL108" s="11"/>
      <c r="AM108" s="11"/>
      <c r="AN108" s="11"/>
      <c r="AO108" s="11"/>
      <c r="AP108" s="11"/>
      <c r="AQ108" s="11" t="str">
        <f>'Update Stock Prices'!Q108</f>
        <v>big</v>
      </c>
      <c r="AR108" s="11"/>
      <c r="AS108" s="11"/>
      <c r="AU108" s="694" t="s">
        <v>1959</v>
      </c>
      <c r="AV108" s="648">
        <v>7.6988992063576095E-2</v>
      </c>
      <c r="AW108" s="420" t="e">
        <f t="shared" si="667"/>
        <v>#REF!</v>
      </c>
      <c r="AX108" s="648">
        <v>8.7774576054798603E-2</v>
      </c>
      <c r="AY108" s="420" t="e">
        <f t="shared" si="668"/>
        <v>#REF!</v>
      </c>
      <c r="AZ108" s="10">
        <f t="shared" si="906"/>
        <v>1.0785583991222508E-2</v>
      </c>
      <c r="BA108" s="15" t="e">
        <f t="shared" si="670"/>
        <v>#REF!</v>
      </c>
      <c r="BB108" s="183" t="e">
        <f t="shared" si="671"/>
        <v>#REF!</v>
      </c>
      <c r="BC108" s="420" t="e">
        <f>IF(AND(BA108&gt;0,BB108&gt;0),"Between",IF(BA108&lt;0.001,"At high","At low"))</f>
        <v>#REF!</v>
      </c>
      <c r="BD108" s="984"/>
      <c r="BE108" s="74"/>
      <c r="BF108" s="176" t="s">
        <v>2814</v>
      </c>
      <c r="BQ108" s="20"/>
      <c r="BS108" s="420" t="str">
        <f t="shared" si="715"/>
        <v>SAN</v>
      </c>
      <c r="BT108" s="425">
        <f t="shared" si="716"/>
        <v>174.67070000000001</v>
      </c>
      <c r="BU108" s="19">
        <f t="shared" si="717"/>
        <v>5.72</v>
      </c>
      <c r="BV108" s="19">
        <f t="shared" si="718"/>
        <v>999.11640399999999</v>
      </c>
      <c r="BW108" s="539">
        <f t="shared" si="719"/>
        <v>0.22772000000000001</v>
      </c>
      <c r="BX108" s="19">
        <f t="shared" si="720"/>
        <v>39.776011804000007</v>
      </c>
      <c r="BY108" s="10">
        <f t="shared" si="721"/>
        <v>6.9538482174825189</v>
      </c>
      <c r="BZ108" s="10">
        <f t="shared" si="722"/>
        <v>181.62454821748253</v>
      </c>
      <c r="CA108" s="539">
        <f t="shared" si="723"/>
        <v>1038.8924158039999</v>
      </c>
      <c r="CB108" s="19">
        <f t="shared" si="724"/>
        <v>41.359542120085123</v>
      </c>
      <c r="CC108" s="10">
        <f t="shared" si="725"/>
        <v>7.2306891818330641</v>
      </c>
      <c r="CD108" s="10">
        <f t="shared" si="726"/>
        <v>188.8552373993156</v>
      </c>
      <c r="CE108" s="539">
        <f t="shared" si="727"/>
        <v>1080.2519579240852</v>
      </c>
      <c r="CF108" s="19">
        <f t="shared" si="728"/>
        <v>43.006114660572152</v>
      </c>
      <c r="CG108" s="10">
        <f t="shared" si="729"/>
        <v>7.5185515140860408</v>
      </c>
      <c r="CH108" s="10">
        <f t="shared" si="730"/>
        <v>196.37378891340163</v>
      </c>
      <c r="CI108" s="539">
        <f t="shared" si="731"/>
        <v>1123.2580725846572</v>
      </c>
      <c r="CJ108" s="19">
        <f t="shared" si="732"/>
        <v>44.718239211359823</v>
      </c>
      <c r="CK108" s="10">
        <f t="shared" si="733"/>
        <v>7.8178739879999695</v>
      </c>
      <c r="CL108" s="10">
        <f t="shared" si="734"/>
        <v>204.1916629014016</v>
      </c>
      <c r="CM108" s="539">
        <f t="shared" si="735"/>
        <v>1167.9763117960172</v>
      </c>
      <c r="CN108" s="19">
        <f t="shared" si="736"/>
        <v>46.498525475907172</v>
      </c>
      <c r="CO108" s="10">
        <f t="shared" si="737"/>
        <v>8.1291128454383177</v>
      </c>
      <c r="CP108" s="10">
        <f t="shared" si="738"/>
        <v>212.32077574683993</v>
      </c>
      <c r="CQ108" s="539">
        <f t="shared" si="739"/>
        <v>1214.4748372719243</v>
      </c>
      <c r="CR108" s="19">
        <f t="shared" si="740"/>
        <v>48.34968705307039</v>
      </c>
      <c r="CS108" s="10">
        <f t="shared" si="741"/>
        <v>8.4527424917955223</v>
      </c>
      <c r="CT108" s="10">
        <f t="shared" si="742"/>
        <v>220.77351823863546</v>
      </c>
      <c r="CU108" s="539">
        <f t="shared" si="743"/>
        <v>1262.8245243249949</v>
      </c>
      <c r="CV108" s="19">
        <f t="shared" si="744"/>
        <v>50.274545573302071</v>
      </c>
      <c r="CW108" s="10">
        <f t="shared" si="745"/>
        <v>8.7892562191087542</v>
      </c>
      <c r="CX108" s="10">
        <f t="shared" si="746"/>
        <v>229.56277445774421</v>
      </c>
      <c r="CY108" s="539">
        <f t="shared" si="747"/>
        <v>1313.0990698982969</v>
      </c>
      <c r="CZ108" s="19">
        <f t="shared" si="748"/>
        <v>52.276034999517513</v>
      </c>
      <c r="DA108" s="10">
        <f t="shared" si="749"/>
        <v>9.1391669579576078</v>
      </c>
      <c r="DB108" s="10">
        <f t="shared" si="750"/>
        <v>238.70194141570181</v>
      </c>
      <c r="DC108" s="539">
        <f t="shared" si="751"/>
        <v>1365.3751048978143</v>
      </c>
      <c r="DD108" s="19">
        <f t="shared" si="752"/>
        <v>54.357206099183621</v>
      </c>
      <c r="DE108" s="10">
        <f t="shared" si="753"/>
        <v>9.5030080592978354</v>
      </c>
      <c r="DF108" s="10">
        <f t="shared" si="754"/>
        <v>248.20494947499964</v>
      </c>
      <c r="DG108" s="539">
        <f t="shared" si="755"/>
        <v>1419.732310996998</v>
      </c>
      <c r="DH108" s="19">
        <f t="shared" si="756"/>
        <v>56.521231094446918</v>
      </c>
      <c r="DI108" s="10">
        <f t="shared" si="757"/>
        <v>9.8813341074207894</v>
      </c>
      <c r="DJ108" s="10">
        <f t="shared" si="758"/>
        <v>258.08628358242044</v>
      </c>
      <c r="DK108" s="539">
        <f t="shared" si="759"/>
        <v>1476.2535420914448</v>
      </c>
      <c r="DL108" s="19">
        <f t="shared" si="760"/>
        <v>58.771408497388784</v>
      </c>
      <c r="DM108" s="10">
        <f t="shared" si="761"/>
        <v>10.274721765277759</v>
      </c>
      <c r="DN108" s="10">
        <f t="shared" si="762"/>
        <v>268.36100534769821</v>
      </c>
      <c r="DO108" s="539">
        <f t="shared" si="763"/>
        <v>1535.0249505888337</v>
      </c>
      <c r="DP108" s="19">
        <f t="shared" si="764"/>
        <v>61.111168137777838</v>
      </c>
      <c r="DQ108" s="10">
        <f t="shared" si="765"/>
        <v>10.683770653457664</v>
      </c>
      <c r="DR108" s="10">
        <f t="shared" si="766"/>
        <v>279.04477600115587</v>
      </c>
      <c r="DS108" s="539">
        <f t="shared" si="767"/>
        <v>1596.1361187266116</v>
      </c>
      <c r="DT108" s="19">
        <f t="shared" si="768"/>
        <v>63.544076390983214</v>
      </c>
      <c r="DU108" s="10">
        <f t="shared" si="769"/>
        <v>11.109104264157905</v>
      </c>
      <c r="DV108" s="10">
        <f t="shared" si="770"/>
        <v>290.15388026531377</v>
      </c>
      <c r="DW108" s="539">
        <f t="shared" si="771"/>
        <v>1659.6801951175946</v>
      </c>
      <c r="DX108" s="19">
        <f t="shared" si="772"/>
        <v>66.073841614017255</v>
      </c>
      <c r="DY108" s="10">
        <f t="shared" si="773"/>
        <v>11.551370911541479</v>
      </c>
      <c r="DZ108" s="10">
        <f t="shared" si="774"/>
        <v>301.70525117685526</v>
      </c>
      <c r="EA108" s="539">
        <f t="shared" si="775"/>
        <v>1725.7540367316119</v>
      </c>
      <c r="EB108" s="19">
        <f t="shared" si="776"/>
        <v>68.704319797993477</v>
      </c>
      <c r="EC108" s="10">
        <f t="shared" si="777"/>
        <v>12.01124471992893</v>
      </c>
      <c r="ED108" s="10">
        <f t="shared" si="778"/>
        <v>313.71649589678418</v>
      </c>
      <c r="EE108" s="539">
        <f t="shared" si="779"/>
        <v>1794.4583565296055</v>
      </c>
      <c r="EF108" s="19">
        <f t="shared" si="780"/>
        <v>71.439520445615699</v>
      </c>
      <c r="EG108" s="10">
        <f t="shared" si="781"/>
        <v>12.489426651331417</v>
      </c>
      <c r="EH108" s="10">
        <f t="shared" si="782"/>
        <v>326.20592254811561</v>
      </c>
      <c r="EI108" s="539">
        <f t="shared" si="783"/>
        <v>1865.8978769752212</v>
      </c>
      <c r="EJ108" s="19">
        <f t="shared" si="784"/>
        <v>74.283612682656894</v>
      </c>
      <c r="EK108" s="10">
        <f t="shared" si="785"/>
        <v>12.986645573891066</v>
      </c>
      <c r="EL108" s="10">
        <f t="shared" si="786"/>
        <v>339.19256812200666</v>
      </c>
      <c r="EM108" s="539">
        <f t="shared" si="787"/>
        <v>1940.181489657878</v>
      </c>
      <c r="EN108" s="19">
        <f t="shared" si="788"/>
        <v>77.240931612743353</v>
      </c>
      <c r="EO108" s="10">
        <f t="shared" si="789"/>
        <v>13.50365937285723</v>
      </c>
      <c r="EP108" s="10">
        <f t="shared" si="790"/>
        <v>352.69622749486388</v>
      </c>
      <c r="EQ108" s="539">
        <f t="shared" si="791"/>
        <v>2017.4224212706213</v>
      </c>
      <c r="ER108" s="19">
        <f t="shared" si="792"/>
        <v>80.315984925130408</v>
      </c>
      <c r="ES108" s="10">
        <f t="shared" si="793"/>
        <v>14.04125610579203</v>
      </c>
      <c r="ET108" s="10">
        <f t="shared" si="794"/>
        <v>366.73748360065588</v>
      </c>
      <c r="EU108" s="539">
        <f t="shared" si="795"/>
        <v>2097.7384061957514</v>
      </c>
      <c r="EV108" s="19">
        <f t="shared" si="796"/>
        <v>83.513459765541356</v>
      </c>
      <c r="EW108" s="10">
        <f t="shared" si="797"/>
        <v>14.600255203765972</v>
      </c>
      <c r="EX108" s="10">
        <f t="shared" si="798"/>
        <v>381.33773880442186</v>
      </c>
      <c r="EY108" s="539">
        <f t="shared" si="799"/>
        <v>2181.2518659612929</v>
      </c>
      <c r="EZ108" s="19">
        <f t="shared" si="800"/>
        <v>86.838229880542954</v>
      </c>
      <c r="FA108" s="10">
        <f t="shared" si="801"/>
        <v>15.181508720374643</v>
      </c>
      <c r="FB108" s="10">
        <f t="shared" si="802"/>
        <v>396.51924752479653</v>
      </c>
      <c r="FC108" s="539">
        <f t="shared" si="803"/>
        <v>2268.090095841836</v>
      </c>
      <c r="FD108" s="19">
        <f t="shared" si="804"/>
        <v>90.295363046346665</v>
      </c>
      <c r="FE108" s="10">
        <f t="shared" si="805"/>
        <v>15.785902630480187</v>
      </c>
      <c r="FF108" s="10">
        <f t="shared" si="806"/>
        <v>412.30515015527669</v>
      </c>
      <c r="FG108" s="539">
        <f t="shared" si="807"/>
        <v>2358.3854588881827</v>
      </c>
      <c r="FH108" s="19">
        <f t="shared" si="808"/>
        <v>93.890128793359608</v>
      </c>
      <c r="FI108" s="10">
        <f t="shared" si="809"/>
        <v>16.414358180657274</v>
      </c>
      <c r="FJ108" s="10">
        <f t="shared" si="810"/>
        <v>428.71950833593394</v>
      </c>
      <c r="FK108" s="539">
        <f t="shared" si="811"/>
        <v>2452.2755876815422</v>
      </c>
      <c r="FL108" s="19">
        <f t="shared" si="812"/>
        <v>97.628006438258879</v>
      </c>
      <c r="FM108" s="10">
        <f t="shared" si="813"/>
        <v>17.067833293401904</v>
      </c>
      <c r="FN108" s="10">
        <f t="shared" si="814"/>
        <v>445.78734162933586</v>
      </c>
      <c r="FO108" s="539">
        <f t="shared" si="815"/>
        <v>2549.9035941198008</v>
      </c>
      <c r="FP108" s="19">
        <f t="shared" si="816"/>
        <v>101.51469343583237</v>
      </c>
      <c r="FQ108" s="10">
        <f t="shared" si="817"/>
        <v>17.747324027243423</v>
      </c>
      <c r="FR108" s="10">
        <f t="shared" si="818"/>
        <v>463.53466565657925</v>
      </c>
      <c r="FS108" s="539">
        <f t="shared" si="819"/>
        <v>2651.418287555633</v>
      </c>
      <c r="FT108" s="19">
        <f t="shared" si="820"/>
        <v>105.55611406331623</v>
      </c>
      <c r="FU108" s="10">
        <f t="shared" si="821"/>
        <v>18.453866094985354</v>
      </c>
      <c r="FV108" s="10">
        <f t="shared" si="822"/>
        <v>481.98853175156461</v>
      </c>
      <c r="FW108" s="539">
        <f t="shared" si="823"/>
        <v>2756.9744016189493</v>
      </c>
      <c r="FX108" s="19">
        <f t="shared" si="824"/>
        <v>109.7584284504663</v>
      </c>
      <c r="FY108" s="10">
        <f t="shared" si="825"/>
        <v>19.188536442389214</v>
      </c>
      <c r="FZ108" s="10">
        <f t="shared" si="826"/>
        <v>501.1770681939538</v>
      </c>
      <c r="GA108" s="539">
        <f t="shared" si="827"/>
        <v>2866.7328300694157</v>
      </c>
      <c r="GB108" s="19">
        <f t="shared" si="828"/>
        <v>114.12804196912717</v>
      </c>
      <c r="GC108" s="10">
        <f t="shared" si="829"/>
        <v>19.952454889707546</v>
      </c>
      <c r="GD108" s="10">
        <f t="shared" si="830"/>
        <v>521.1295230836613</v>
      </c>
      <c r="GE108" s="539">
        <f t="shared" si="831"/>
        <v>2980.8608720385423</v>
      </c>
      <c r="GF108" s="19">
        <f t="shared" si="832"/>
        <v>118.67161499661135</v>
      </c>
      <c r="GG108" s="10">
        <f t="shared" si="833"/>
        <v>20.746785838568421</v>
      </c>
      <c r="GH108" s="10">
        <f t="shared" si="834"/>
        <v>541.87630892222967</v>
      </c>
      <c r="GI108" s="539">
        <f t="shared" si="835"/>
        <v>3099.5324870351537</v>
      </c>
      <c r="GJ108" s="19">
        <f t="shared" si="836"/>
        <v>123.39607306777015</v>
      </c>
      <c r="GK108" s="10">
        <f t="shared" si="837"/>
        <v>21.572740046812964</v>
      </c>
      <c r="GL108" s="10">
        <f t="shared" si="838"/>
        <v>563.44904896904268</v>
      </c>
      <c r="GM108" s="539">
        <f t="shared" si="839"/>
        <v>3222.9285601029242</v>
      </c>
      <c r="GN108" s="19">
        <f t="shared" si="840"/>
        <v>128.3086174312304</v>
      </c>
      <c r="GO108" s="10">
        <f t="shared" si="841"/>
        <v>22.431576473991331</v>
      </c>
      <c r="GP108" s="10">
        <f t="shared" si="842"/>
        <v>585.88062544303398</v>
      </c>
      <c r="GQ108" s="539">
        <f t="shared" si="843"/>
        <v>3351.2371775341544</v>
      </c>
      <c r="GR108" s="19">
        <f t="shared" si="844"/>
        <v>133.4167360258877</v>
      </c>
      <c r="GS108" s="10">
        <f t="shared" si="845"/>
        <v>23.324604200330018</v>
      </c>
      <c r="GT108" s="10">
        <f t="shared" si="846"/>
        <v>609.20522964336396</v>
      </c>
      <c r="GU108" s="539">
        <f t="shared" si="847"/>
        <v>3484.6539135600419</v>
      </c>
      <c r="GV108" s="19">
        <f t="shared" si="848"/>
        <v>138.72821489438684</v>
      </c>
      <c r="GW108" s="10">
        <f t="shared" si="849"/>
        <v>24.2531844220956</v>
      </c>
      <c r="GX108" s="10">
        <f t="shared" si="850"/>
        <v>633.45841406545958</v>
      </c>
      <c r="GY108" s="539">
        <f t="shared" si="851"/>
        <v>3623.3821284544288</v>
      </c>
      <c r="GZ108" s="19">
        <f t="shared" si="852"/>
        <v>144.25115005098647</v>
      </c>
      <c r="HA108" s="10">
        <f t="shared" si="853"/>
        <v>25.218732526396238</v>
      </c>
      <c r="HB108" s="10">
        <f t="shared" si="854"/>
        <v>658.67714659185583</v>
      </c>
      <c r="HC108" s="539">
        <f t="shared" si="855"/>
        <v>3767.6332785054151</v>
      </c>
      <c r="HD108" s="19">
        <f t="shared" si="856"/>
        <v>149.99395982189742</v>
      </c>
      <c r="HE108" s="10">
        <f t="shared" si="857"/>
        <v>26.222720248583467</v>
      </c>
      <c r="HF108" s="10">
        <f t="shared" si="858"/>
        <v>684.89986684043924</v>
      </c>
      <c r="HG108" s="539">
        <f t="shared" si="859"/>
        <v>3917.6272383273122</v>
      </c>
      <c r="HH108" s="19">
        <f t="shared" si="860"/>
        <v>155.96539767690484</v>
      </c>
      <c r="HI108" s="10">
        <f t="shared" si="861"/>
        <v>27.266677915542807</v>
      </c>
      <c r="HJ108" s="10">
        <f t="shared" si="862"/>
        <v>712.16654475598204</v>
      </c>
      <c r="HK108" s="539">
        <f t="shared" si="863"/>
        <v>4073.5926360042172</v>
      </c>
      <c r="HL108" s="19">
        <f t="shared" si="864"/>
        <v>162.17456557183223</v>
      </c>
      <c r="HM108" s="10">
        <f t="shared" si="865"/>
        <v>28.352196778292349</v>
      </c>
      <c r="HN108" s="10">
        <f t="shared" si="866"/>
        <v>740.51874153427434</v>
      </c>
      <c r="HO108" s="539">
        <f t="shared" si="867"/>
        <v>4235.767201576049</v>
      </c>
      <c r="HP108" s="19">
        <f t="shared" si="868"/>
        <v>168.63092782218496</v>
      </c>
      <c r="HQ108" s="10">
        <f t="shared" si="869"/>
        <v>29.480931437444923</v>
      </c>
      <c r="HR108" s="10">
        <f t="shared" si="870"/>
        <v>769.99967297171929</v>
      </c>
      <c r="HS108" s="539">
        <f t="shared" si="871"/>
        <v>4404.3981293982342</v>
      </c>
      <c r="HT108" s="19">
        <f t="shared" si="872"/>
        <v>175.34432552911991</v>
      </c>
      <c r="HU108" s="10">
        <f t="shared" si="873"/>
        <v>30.654602365230755</v>
      </c>
      <c r="HV108" s="10">
        <f t="shared" si="874"/>
        <v>800.65427533695004</v>
      </c>
      <c r="HW108" s="539">
        <f t="shared" si="875"/>
        <v>4579.7424549273537</v>
      </c>
      <c r="HX108" s="19">
        <f t="shared" si="876"/>
        <v>182.32499157973027</v>
      </c>
      <c r="HY108" s="10">
        <f t="shared" si="877"/>
        <v>31.874998527924873</v>
      </c>
      <c r="HZ108" s="10">
        <f t="shared" si="878"/>
        <v>832.52927386487488</v>
      </c>
      <c r="IA108" s="539">
        <f t="shared" si="879"/>
        <v>4762.0674465070842</v>
      </c>
      <c r="IB108" s="19">
        <f t="shared" si="880"/>
        <v>189.58356624450931</v>
      </c>
      <c r="ID108" s="11"/>
      <c r="IM108" s="11"/>
      <c r="IN108" s="19"/>
      <c r="IO108" s="20"/>
      <c r="IP108" s="10"/>
    </row>
    <row r="109" spans="1:261" s="11" customFormat="1" ht="13.5" thickBot="1">
      <c r="B109" s="20"/>
      <c r="C109" s="826" t="s">
        <v>2341</v>
      </c>
      <c r="D109" s="47" t="s">
        <v>266</v>
      </c>
      <c r="E109" s="396">
        <f t="shared" si="931"/>
        <v>12.083</v>
      </c>
      <c r="F109" s="242">
        <v>4.0830000000000002</v>
      </c>
      <c r="G109" s="48">
        <f>'Update Stock Prices'!S109</f>
        <v>759885535.90010405</v>
      </c>
      <c r="H109" s="991">
        <f t="shared" si="610"/>
        <v>5.3731776788770976E-9</v>
      </c>
      <c r="I109" s="49">
        <f>'Update Stock Prices'!D109</f>
        <v>38.44</v>
      </c>
      <c r="J109" s="49">
        <f t="shared" si="404"/>
        <v>156.95052000000001</v>
      </c>
      <c r="K109" s="30">
        <v>147.21</v>
      </c>
      <c r="L109" s="49">
        <f t="shared" si="611"/>
        <v>9.7405200000000036</v>
      </c>
      <c r="M109" s="50">
        <f t="shared" si="613"/>
        <v>6.6167515793764037E-2</v>
      </c>
      <c r="N109" s="49">
        <f t="shared" si="612"/>
        <v>36.054371785451877</v>
      </c>
      <c r="O109" s="48">
        <f t="shared" si="932"/>
        <v>8</v>
      </c>
      <c r="P109" s="49">
        <f>IF(($B$11-$B$12)-(O109*I109)&lt;0,0,($B$11-$B$12)-(O109*I109))</f>
        <v>13.490000000000009</v>
      </c>
      <c r="Q109" s="30">
        <f>0.12*4</f>
        <v>0.48</v>
      </c>
      <c r="R109" s="49">
        <f t="shared" si="242"/>
        <v>5.3657494866529779E-3</v>
      </c>
      <c r="S109" s="49">
        <f t="shared" si="935"/>
        <v>1.95984</v>
      </c>
      <c r="T109" s="49">
        <f t="shared" si="399"/>
        <v>0.16331999999999999</v>
      </c>
      <c r="U109" s="49" t="s">
        <v>54</v>
      </c>
      <c r="V109" s="50">
        <f t="shared" si="937"/>
        <v>1.2486992715920915E-2</v>
      </c>
      <c r="W109" s="50">
        <f t="shared" si="575"/>
        <v>1.3313226003668228E-2</v>
      </c>
      <c r="X109" s="49">
        <f>12*((E109*Q109)/12-T109)</f>
        <v>3.8399999999999994</v>
      </c>
      <c r="Y109" s="49">
        <f t="shared" si="654"/>
        <v>0.48995999999999995</v>
      </c>
      <c r="Z109" s="860">
        <f t="shared" si="939"/>
        <v>0</v>
      </c>
      <c r="AA109" s="860">
        <f t="shared" si="940"/>
        <v>316.25033333333334</v>
      </c>
      <c r="AB109" s="49">
        <f t="shared" si="941"/>
        <v>12156.662813333332</v>
      </c>
      <c r="AC109" s="48">
        <v>1</v>
      </c>
      <c r="AD109" s="47" t="str">
        <f t="shared" si="942"/>
        <v>SCCO</v>
      </c>
      <c r="AE109" s="49">
        <f t="shared" si="943"/>
        <v>156.95052000000001</v>
      </c>
      <c r="AF109" s="50" t="e">
        <f t="shared" si="692"/>
        <v>#REF!</v>
      </c>
      <c r="AG109" s="890" t="e">
        <f t="shared" si="910"/>
        <v>#REF!</v>
      </c>
      <c r="AH109" s="207" t="s">
        <v>267</v>
      </c>
      <c r="AI109" s="240">
        <f t="shared" si="693"/>
        <v>5.5920861081632425E-2</v>
      </c>
      <c r="AJ109" s="11">
        <f t="shared" si="595"/>
        <v>4</v>
      </c>
      <c r="AQ109" s="11" t="str">
        <f>'Update Stock Prices'!Q109</f>
        <v>big</v>
      </c>
      <c r="AS109" s="11">
        <v>1</v>
      </c>
      <c r="AT109" s="420"/>
      <c r="AU109" s="441" t="s">
        <v>2649</v>
      </c>
      <c r="AV109" s="1353">
        <v>73863.525139838704</v>
      </c>
      <c r="AW109" s="238" t="e">
        <f t="shared" ca="1" si="667"/>
        <v>#REF!</v>
      </c>
      <c r="AX109" s="1353">
        <v>75754.812171287296</v>
      </c>
      <c r="AY109" s="238" t="e">
        <f t="shared" ca="1" si="668"/>
        <v>#REF!</v>
      </c>
      <c r="AZ109" s="739">
        <f t="shared" si="906"/>
        <v>1891.2870314485917</v>
      </c>
      <c r="BA109" s="408" t="e">
        <f ca="1">AX109/AV90-1</f>
        <v>#REF!</v>
      </c>
      <c r="BB109" s="832" t="e">
        <f t="shared" ca="1" si="671"/>
        <v>#REF!</v>
      </c>
      <c r="BC109" s="238" t="e">
        <f ca="1">IF(AND(BA109&gt;0,BB109&gt;0),"Between",IF(BA109&lt;0.001,"At high","At low"))</f>
        <v>#REF!</v>
      </c>
      <c r="BD109" s="902"/>
      <c r="BE109" s="74"/>
      <c r="BF109" s="1440" t="s">
        <v>2815</v>
      </c>
      <c r="BH109" s="420"/>
      <c r="BI109" s="420"/>
      <c r="BJ109" s="420"/>
      <c r="BK109" s="420"/>
      <c r="BL109" s="420"/>
      <c r="BM109" s="420"/>
      <c r="BN109" s="420"/>
      <c r="BO109" s="420"/>
      <c r="BP109" s="420"/>
      <c r="BQ109" s="19"/>
      <c r="BR109" s="16"/>
      <c r="BS109" s="420" t="str">
        <f t="shared" si="715"/>
        <v>SCCO</v>
      </c>
      <c r="BT109" s="425">
        <f t="shared" si="716"/>
        <v>4.0830000000000002</v>
      </c>
      <c r="BU109" s="19">
        <f t="shared" si="717"/>
        <v>38.44</v>
      </c>
      <c r="BV109" s="19">
        <f t="shared" si="718"/>
        <v>156.95052000000001</v>
      </c>
      <c r="BW109" s="539">
        <f t="shared" si="719"/>
        <v>0.48</v>
      </c>
      <c r="BX109" s="19">
        <f t="shared" si="720"/>
        <v>1.95984</v>
      </c>
      <c r="BY109" s="10">
        <f t="shared" si="721"/>
        <v>5.0984391259105102E-2</v>
      </c>
      <c r="BZ109" s="10">
        <f t="shared" si="722"/>
        <v>4.133984391259105</v>
      </c>
      <c r="CA109" s="539">
        <f t="shared" si="723"/>
        <v>158.91036</v>
      </c>
      <c r="CB109" s="19">
        <f t="shared" si="724"/>
        <v>1.9843125078043704</v>
      </c>
      <c r="CC109" s="10">
        <f t="shared" si="725"/>
        <v>5.1621032981383208E-2</v>
      </c>
      <c r="CD109" s="10">
        <f t="shared" si="726"/>
        <v>4.1856054242404879</v>
      </c>
      <c r="CE109" s="539">
        <f t="shared" si="727"/>
        <v>160.89467250780433</v>
      </c>
      <c r="CF109" s="19">
        <f t="shared" si="728"/>
        <v>2.0090906036354341</v>
      </c>
      <c r="CG109" s="10">
        <f t="shared" si="729"/>
        <v>5.2265624444210047E-2</v>
      </c>
      <c r="CH109" s="10">
        <f t="shared" si="730"/>
        <v>4.2378710486846982</v>
      </c>
      <c r="CI109" s="539">
        <f t="shared" si="731"/>
        <v>162.90376311143979</v>
      </c>
      <c r="CJ109" s="19">
        <f t="shared" si="732"/>
        <v>2.0341781033686552</v>
      </c>
      <c r="CK109" s="10">
        <f t="shared" si="733"/>
        <v>5.2918264915937964E-2</v>
      </c>
      <c r="CL109" s="10">
        <f t="shared" si="734"/>
        <v>4.2907893136006363</v>
      </c>
      <c r="CM109" s="539">
        <f t="shared" si="735"/>
        <v>164.93794121480846</v>
      </c>
      <c r="CN109" s="19">
        <f t="shared" si="736"/>
        <v>2.0595788705283056</v>
      </c>
      <c r="CO109" s="10">
        <f t="shared" si="737"/>
        <v>5.3579054904482455E-2</v>
      </c>
      <c r="CP109" s="10">
        <f t="shared" si="738"/>
        <v>4.3443683685051191</v>
      </c>
      <c r="CQ109" s="539">
        <f t="shared" si="739"/>
        <v>166.99752008533676</v>
      </c>
      <c r="CR109" s="19">
        <f t="shared" si="740"/>
        <v>2.0852968168824573</v>
      </c>
      <c r="CS109" s="10">
        <f t="shared" si="741"/>
        <v>5.4248096172800658E-2</v>
      </c>
      <c r="CT109" s="10">
        <f t="shared" si="742"/>
        <v>4.3986164646779198</v>
      </c>
      <c r="CU109" s="539">
        <f t="shared" si="743"/>
        <v>169.08281690221924</v>
      </c>
      <c r="CV109" s="19">
        <f t="shared" si="744"/>
        <v>2.1113359030454015</v>
      </c>
      <c r="CW109" s="10">
        <f t="shared" si="745"/>
        <v>5.4925491754562995E-2</v>
      </c>
      <c r="CX109" s="10">
        <f t="shared" si="746"/>
        <v>4.453541956432483</v>
      </c>
      <c r="CY109" s="539">
        <f t="shared" si="747"/>
        <v>171.19415280526462</v>
      </c>
      <c r="CZ109" s="19">
        <f t="shared" si="748"/>
        <v>2.1377001390875918</v>
      </c>
      <c r="DA109" s="10">
        <f t="shared" si="749"/>
        <v>5.5611345970020605E-2</v>
      </c>
      <c r="DB109" s="10">
        <f t="shared" si="750"/>
        <v>4.5091533024025034</v>
      </c>
      <c r="DC109" s="539">
        <f t="shared" si="751"/>
        <v>173.33185294435222</v>
      </c>
      <c r="DD109" s="19">
        <f t="shared" si="752"/>
        <v>2.1643935851532015</v>
      </c>
      <c r="DE109" s="10">
        <f t="shared" si="753"/>
        <v>5.6305764442070798E-2</v>
      </c>
      <c r="DF109" s="10">
        <f t="shared" si="754"/>
        <v>4.565459066844574</v>
      </c>
      <c r="DG109" s="539">
        <f t="shared" si="755"/>
        <v>175.49624652950541</v>
      </c>
      <c r="DH109" s="19">
        <f t="shared" si="756"/>
        <v>2.1914203520853954</v>
      </c>
      <c r="DI109" s="10">
        <f t="shared" si="757"/>
        <v>5.7008854112523301E-2</v>
      </c>
      <c r="DJ109" s="10">
        <f t="shared" si="758"/>
        <v>4.6224679209570976</v>
      </c>
      <c r="DK109" s="539">
        <f t="shared" si="759"/>
        <v>177.68766688159081</v>
      </c>
      <c r="DL109" s="19">
        <f t="shared" si="760"/>
        <v>2.2187846020594066</v>
      </c>
      <c r="DM109" s="10">
        <f t="shared" si="761"/>
        <v>5.7720723258569376E-2</v>
      </c>
      <c r="DN109" s="10">
        <f t="shared" si="762"/>
        <v>4.6801886442156668</v>
      </c>
      <c r="DO109" s="539">
        <f t="shared" si="763"/>
        <v>179.90645148365022</v>
      </c>
      <c r="DP109" s="19">
        <f t="shared" si="764"/>
        <v>2.2464905492235201</v>
      </c>
      <c r="DQ109" s="10">
        <f t="shared" si="765"/>
        <v>5.844148150945682E-2</v>
      </c>
      <c r="DR109" s="10">
        <f t="shared" si="766"/>
        <v>4.7386301257251233</v>
      </c>
      <c r="DS109" s="539">
        <f t="shared" si="767"/>
        <v>182.15294203287374</v>
      </c>
      <c r="DT109" s="19">
        <f t="shared" si="768"/>
        <v>2.2745424603480591</v>
      </c>
      <c r="DU109" s="10">
        <f t="shared" si="769"/>
        <v>5.9171239863373026E-2</v>
      </c>
      <c r="DV109" s="10">
        <f t="shared" si="770"/>
        <v>4.7978013655884961</v>
      </c>
      <c r="DW109" s="539">
        <f t="shared" si="771"/>
        <v>184.42748449322178</v>
      </c>
      <c r="DX109" s="19">
        <f t="shared" si="772"/>
        <v>2.3029446554824782</v>
      </c>
      <c r="DY109" s="10">
        <f t="shared" si="773"/>
        <v>5.9910110704538978E-2</v>
      </c>
      <c r="DZ109" s="10">
        <f t="shared" si="774"/>
        <v>4.8577114762930353</v>
      </c>
      <c r="EA109" s="539">
        <f t="shared" si="775"/>
        <v>186.73042914870427</v>
      </c>
      <c r="EB109" s="19">
        <f t="shared" si="776"/>
        <v>2.3317015086206569</v>
      </c>
      <c r="EC109" s="10">
        <f t="shared" si="777"/>
        <v>6.065820782051657E-2</v>
      </c>
      <c r="ED109" s="10">
        <f t="shared" si="778"/>
        <v>4.9183696841135518</v>
      </c>
      <c r="EE109" s="539">
        <f t="shared" si="779"/>
        <v>189.06213065732493</v>
      </c>
      <c r="EF109" s="19">
        <f t="shared" si="780"/>
        <v>2.3608174483745046</v>
      </c>
      <c r="EG109" s="10">
        <f t="shared" si="781"/>
        <v>6.141564641973217E-2</v>
      </c>
      <c r="EH109" s="10">
        <f t="shared" si="782"/>
        <v>4.979785330533284</v>
      </c>
      <c r="EI109" s="539">
        <f t="shared" si="783"/>
        <v>191.42294810569942</v>
      </c>
      <c r="EJ109" s="19">
        <f t="shared" si="784"/>
        <v>2.3902969586559761</v>
      </c>
      <c r="EK109" s="10">
        <f t="shared" si="785"/>
        <v>6.2182543149218943E-2</v>
      </c>
      <c r="EL109" s="10">
        <f t="shared" si="786"/>
        <v>5.0419678736825029</v>
      </c>
      <c r="EM109" s="539">
        <f t="shared" si="787"/>
        <v>193.81324506435539</v>
      </c>
      <c r="EN109" s="19">
        <f t="shared" si="788"/>
        <v>2.4201445793676011</v>
      </c>
      <c r="EO109" s="10">
        <f t="shared" si="789"/>
        <v>6.2959016112580674E-2</v>
      </c>
      <c r="EP109" s="10">
        <f t="shared" si="790"/>
        <v>5.1049268897950837</v>
      </c>
      <c r="EQ109" s="539">
        <f t="shared" si="791"/>
        <v>196.233389643723</v>
      </c>
      <c r="ER109" s="19">
        <f t="shared" si="792"/>
        <v>2.45036490710164</v>
      </c>
      <c r="ES109" s="10">
        <f t="shared" si="793"/>
        <v>6.3745184888180026E-2</v>
      </c>
      <c r="ET109" s="10">
        <f t="shared" si="794"/>
        <v>5.168672074683264</v>
      </c>
      <c r="EU109" s="539">
        <f t="shared" si="795"/>
        <v>198.68375455082466</v>
      </c>
      <c r="EV109" s="19">
        <f t="shared" si="796"/>
        <v>2.4809625958479664</v>
      </c>
      <c r="EW109" s="10">
        <f t="shared" si="797"/>
        <v>6.4541170547553761E-2</v>
      </c>
      <c r="EX109" s="10">
        <f t="shared" si="798"/>
        <v>5.233213245230818</v>
      </c>
      <c r="EY109" s="539">
        <f t="shared" si="799"/>
        <v>201.16471714667264</v>
      </c>
      <c r="EZ109" s="19">
        <f t="shared" si="800"/>
        <v>2.5119423577107924</v>
      </c>
      <c r="FA109" s="10">
        <f t="shared" si="801"/>
        <v>6.5347095674058081E-2</v>
      </c>
      <c r="FB109" s="10">
        <f t="shared" si="802"/>
        <v>5.298560340904876</v>
      </c>
      <c r="FC109" s="539">
        <f t="shared" si="803"/>
        <v>203.67665950438342</v>
      </c>
      <c r="FD109" s="19">
        <f t="shared" si="804"/>
        <v>2.5433089636343404</v>
      </c>
      <c r="FE109" s="10">
        <f t="shared" si="805"/>
        <v>6.6163084381746631E-2</v>
      </c>
      <c r="FF109" s="10">
        <f t="shared" si="806"/>
        <v>5.3647234252866225</v>
      </c>
      <c r="FG109" s="539">
        <f t="shared" si="807"/>
        <v>206.21996846801775</v>
      </c>
      <c r="FH109" s="19">
        <f t="shared" si="808"/>
        <v>2.5750672441375788</v>
      </c>
      <c r="FI109" s="10">
        <f t="shared" si="809"/>
        <v>6.6989262334484365E-2</v>
      </c>
      <c r="FJ109" s="10">
        <f t="shared" si="810"/>
        <v>5.4317126876211068</v>
      </c>
      <c r="FK109" s="539">
        <f t="shared" si="811"/>
        <v>208.79503571215534</v>
      </c>
      <c r="FL109" s="19">
        <f t="shared" si="812"/>
        <v>2.6072220900581313</v>
      </c>
      <c r="FM109" s="10">
        <f t="shared" si="813"/>
        <v>6.7825756765299991E-2</v>
      </c>
      <c r="FN109" s="10">
        <f t="shared" si="814"/>
        <v>5.499538444386407</v>
      </c>
      <c r="FO109" s="539">
        <f t="shared" si="815"/>
        <v>211.40225780221348</v>
      </c>
      <c r="FP109" s="19">
        <f t="shared" si="816"/>
        <v>2.6397784533054751</v>
      </c>
      <c r="FQ109" s="10">
        <f t="shared" si="817"/>
        <v>6.8672696495980109E-2</v>
      </c>
      <c r="FR109" s="10">
        <f t="shared" si="818"/>
        <v>5.5682111408823873</v>
      </c>
      <c r="FS109" s="539">
        <f t="shared" si="819"/>
        <v>214.04203625551895</v>
      </c>
      <c r="FT109" s="19">
        <f t="shared" si="820"/>
        <v>2.6727413476235458</v>
      </c>
      <c r="FU109" s="10">
        <f t="shared" si="821"/>
        <v>6.9530211956908061E-2</v>
      </c>
      <c r="FV109" s="10">
        <f t="shared" si="822"/>
        <v>5.6377413528392957</v>
      </c>
      <c r="FW109" s="539">
        <f t="shared" si="823"/>
        <v>216.71477760314252</v>
      </c>
      <c r="FX109" s="19">
        <f t="shared" si="824"/>
        <v>2.7061158493628619</v>
      </c>
      <c r="FY109" s="10">
        <f t="shared" si="825"/>
        <v>7.0398435207150417E-2</v>
      </c>
      <c r="FZ109" s="10">
        <f t="shared" si="826"/>
        <v>5.708139788046446</v>
      </c>
      <c r="GA109" s="539">
        <f t="shared" si="827"/>
        <v>219.42089345250537</v>
      </c>
      <c r="GB109" s="19">
        <f t="shared" si="828"/>
        <v>2.7399070982622939</v>
      </c>
      <c r="GC109" s="10">
        <f t="shared" si="829"/>
        <v>7.1277499954794335E-2</v>
      </c>
      <c r="GD109" s="10">
        <f t="shared" si="830"/>
        <v>5.7794172880012402</v>
      </c>
      <c r="GE109" s="539">
        <f t="shared" si="831"/>
        <v>222.16080055076765</v>
      </c>
      <c r="GF109" s="19">
        <f t="shared" si="832"/>
        <v>2.7741202982405953</v>
      </c>
      <c r="GG109" s="10">
        <f t="shared" si="833"/>
        <v>7.2167541577538907E-2</v>
      </c>
      <c r="GH109" s="10">
        <f t="shared" si="834"/>
        <v>5.8515848295787789</v>
      </c>
      <c r="GI109" s="539">
        <f t="shared" si="835"/>
        <v>224.93492084900825</v>
      </c>
      <c r="GJ109" s="19">
        <f t="shared" si="836"/>
        <v>2.8087607181978136</v>
      </c>
      <c r="GK109" s="10">
        <f t="shared" si="837"/>
        <v>7.306869714354354E-2</v>
      </c>
      <c r="GL109" s="10">
        <f t="shared" si="838"/>
        <v>5.9246535267223228</v>
      </c>
      <c r="GM109" s="539">
        <f t="shared" si="839"/>
        <v>227.74368156720607</v>
      </c>
      <c r="GN109" s="19">
        <f t="shared" si="840"/>
        <v>2.8438336928267147</v>
      </c>
      <c r="GO109" s="10">
        <f t="shared" si="841"/>
        <v>7.3981105432536803E-2</v>
      </c>
      <c r="GP109" s="10">
        <f t="shared" si="842"/>
        <v>5.99863463215486</v>
      </c>
      <c r="GQ109" s="539">
        <f t="shared" si="843"/>
        <v>230.5875152600328</v>
      </c>
      <c r="GR109" s="19">
        <f t="shared" si="844"/>
        <v>2.8793446234343327</v>
      </c>
      <c r="GS109" s="10">
        <f t="shared" si="845"/>
        <v>7.4904906957188683E-2</v>
      </c>
      <c r="GT109" s="10">
        <f t="shared" si="846"/>
        <v>6.0735395391120486</v>
      </c>
      <c r="GU109" s="539">
        <f t="shared" si="847"/>
        <v>233.46685988346712</v>
      </c>
      <c r="GV109" s="19">
        <f t="shared" si="848"/>
        <v>2.9152989787737833</v>
      </c>
      <c r="GW109" s="10">
        <f t="shared" si="849"/>
        <v>7.5840243984749825E-2</v>
      </c>
      <c r="GX109" s="10">
        <f t="shared" si="850"/>
        <v>6.1493797830967987</v>
      </c>
      <c r="GY109" s="539">
        <f t="shared" si="851"/>
        <v>236.38215886224091</v>
      </c>
      <c r="GZ109" s="19">
        <f t="shared" si="852"/>
        <v>2.9517022958864634</v>
      </c>
      <c r="HA109" s="10">
        <f t="shared" si="853"/>
        <v>7.6787260558961068E-2</v>
      </c>
      <c r="HB109" s="10">
        <f t="shared" si="854"/>
        <v>6.2261670436557601</v>
      </c>
      <c r="HC109" s="539">
        <f t="shared" si="855"/>
        <v>239.33386115812741</v>
      </c>
      <c r="HD109" s="19">
        <f t="shared" si="856"/>
        <v>2.9885601809547646</v>
      </c>
      <c r="HE109" s="10">
        <f t="shared" si="857"/>
        <v>7.7746102522236335E-2</v>
      </c>
      <c r="HF109" s="10">
        <f t="shared" si="858"/>
        <v>6.3039131461779965</v>
      </c>
      <c r="HG109" s="539">
        <f t="shared" si="859"/>
        <v>242.32242133908218</v>
      </c>
      <c r="HH109" s="19">
        <f t="shared" si="860"/>
        <v>3.0258783101654383</v>
      </c>
      <c r="HI109" s="10">
        <f t="shared" si="861"/>
        <v>7.8716917538122752E-2</v>
      </c>
      <c r="HJ109" s="10">
        <f t="shared" si="862"/>
        <v>6.3826300637161193</v>
      </c>
      <c r="HK109" s="539">
        <f t="shared" si="863"/>
        <v>245.34829964924762</v>
      </c>
      <c r="HL109" s="19">
        <f t="shared" si="864"/>
        <v>3.063662430583737</v>
      </c>
      <c r="HM109" s="10">
        <f t="shared" si="865"/>
        <v>7.9699855114041027E-2</v>
      </c>
      <c r="HN109" s="10">
        <f t="shared" si="866"/>
        <v>6.4623299188301599</v>
      </c>
      <c r="HO109" s="539">
        <f t="shared" si="867"/>
        <v>248.41196207983134</v>
      </c>
      <c r="HP109" s="19">
        <f t="shared" si="868"/>
        <v>3.1019183610384768</v>
      </c>
      <c r="HQ109" s="10">
        <f t="shared" si="869"/>
        <v>8.0695066624310016E-2</v>
      </c>
      <c r="HR109" s="10">
        <f t="shared" si="870"/>
        <v>6.54302498545447</v>
      </c>
      <c r="HS109" s="539">
        <f t="shared" si="871"/>
        <v>251.5138804408698</v>
      </c>
      <c r="HT109" s="19">
        <f t="shared" si="872"/>
        <v>3.1406519930181456</v>
      </c>
      <c r="HU109" s="10">
        <f t="shared" si="873"/>
        <v>8.1702705333458525E-2</v>
      </c>
      <c r="HV109" s="10">
        <f t="shared" si="874"/>
        <v>6.6247276907879282</v>
      </c>
      <c r="HW109" s="539">
        <f t="shared" si="875"/>
        <v>254.65453243388794</v>
      </c>
      <c r="HX109" s="19">
        <f t="shared" si="876"/>
        <v>3.1798692915782056</v>
      </c>
      <c r="HY109" s="10">
        <f t="shared" si="877"/>
        <v>8.2722926419828452E-2</v>
      </c>
      <c r="HZ109" s="10">
        <f t="shared" si="878"/>
        <v>6.7074506172077566</v>
      </c>
      <c r="IA109" s="539">
        <f t="shared" si="879"/>
        <v>257.83440172546614</v>
      </c>
      <c r="IB109" s="19">
        <f t="shared" si="880"/>
        <v>3.219576296259723</v>
      </c>
      <c r="IC109" s="420"/>
      <c r="ID109" s="420"/>
      <c r="IF109" s="420"/>
      <c r="IG109" s="420"/>
      <c r="IH109" s="420"/>
      <c r="II109" s="420"/>
      <c r="IJ109" s="420"/>
      <c r="IK109" s="420"/>
      <c r="IL109" s="420"/>
      <c r="IN109" s="19"/>
      <c r="IO109" s="20"/>
      <c r="IP109" s="10"/>
      <c r="IX109" s="420"/>
      <c r="IZ109" s="420"/>
      <c r="JA109" s="420"/>
    </row>
    <row r="110" spans="1:261" ht="13.5" thickBot="1">
      <c r="A110" s="11"/>
      <c r="B110" s="20"/>
      <c r="C110" s="826" t="s">
        <v>2345</v>
      </c>
      <c r="D110" s="47" t="s">
        <v>606</v>
      </c>
      <c r="E110" s="396">
        <f t="shared" si="931"/>
        <v>174</v>
      </c>
      <c r="F110" s="242">
        <v>1</v>
      </c>
      <c r="G110" s="48">
        <f>'Update Stock Prices'!S110</f>
        <v>531735135.13513511</v>
      </c>
      <c r="H110" s="991">
        <f t="shared" si="610"/>
        <v>1.8806355531609926E-9</v>
      </c>
      <c r="I110" s="49">
        <f>'Update Stock Prices'!D110</f>
        <v>1.85</v>
      </c>
      <c r="J110" s="49">
        <f t="shared" si="404"/>
        <v>1.85</v>
      </c>
      <c r="K110" s="30">
        <v>39.93</v>
      </c>
      <c r="L110" s="49">
        <f t="shared" si="611"/>
        <v>-38.08</v>
      </c>
      <c r="M110" s="50">
        <f t="shared" si="613"/>
        <v>-0.95366892061106934</v>
      </c>
      <c r="N110" s="49">
        <f t="shared" si="612"/>
        <v>39.93</v>
      </c>
      <c r="O110" s="48">
        <f t="shared" si="932"/>
        <v>173</v>
      </c>
      <c r="P110" s="49">
        <f t="shared" si="933"/>
        <v>0.95999999999997954</v>
      </c>
      <c r="Q110" s="30">
        <v>0</v>
      </c>
      <c r="R110" s="49">
        <f>S110/365.25</f>
        <v>0</v>
      </c>
      <c r="S110" s="49">
        <f t="shared" si="935"/>
        <v>0</v>
      </c>
      <c r="T110" s="49">
        <f>S110/12</f>
        <v>0</v>
      </c>
      <c r="U110" s="49"/>
      <c r="V110" s="50">
        <f t="shared" si="937"/>
        <v>0</v>
      </c>
      <c r="W110" s="50">
        <f t="shared" si="575"/>
        <v>0</v>
      </c>
      <c r="X110" s="49">
        <f t="shared" si="938"/>
        <v>0</v>
      </c>
      <c r="Y110" s="49">
        <f t="shared" si="654"/>
        <v>0</v>
      </c>
      <c r="Z110" s="860">
        <f t="shared" si="939"/>
        <v>0</v>
      </c>
      <c r="AA110" s="860" t="str">
        <f t="shared" si="940"/>
        <v/>
      </c>
      <c r="AB110" s="49" t="str">
        <f t="shared" si="941"/>
        <v/>
      </c>
      <c r="AC110" s="48">
        <v>1</v>
      </c>
      <c r="AD110" s="47" t="str">
        <f t="shared" si="942"/>
        <v>SDRL</v>
      </c>
      <c r="AE110" s="49">
        <f t="shared" si="943"/>
        <v>1.85</v>
      </c>
      <c r="AF110" s="50" t="e">
        <f t="shared" si="692"/>
        <v>#REF!</v>
      </c>
      <c r="AG110" s="890" t="e">
        <f t="shared" si="910"/>
        <v>#REF!</v>
      </c>
      <c r="AH110" s="207" t="s">
        <v>608</v>
      </c>
      <c r="AI110" s="240">
        <f t="shared" si="693"/>
        <v>7.7694770668116222E-6</v>
      </c>
      <c r="AJ110" s="11">
        <f t="shared" si="595"/>
        <v>4</v>
      </c>
      <c r="AK110" s="11"/>
      <c r="AL110" s="11"/>
      <c r="AM110" s="11"/>
      <c r="AN110" s="11"/>
      <c r="AO110" s="11"/>
      <c r="AP110" s="11"/>
      <c r="AQ110" s="11" t="str">
        <f>'Update Stock Prices'!Q110</f>
        <v>small</v>
      </c>
      <c r="AR110" s="11"/>
      <c r="AS110" s="11"/>
      <c r="AU110" s="7"/>
      <c r="AV110" s="21"/>
      <c r="AW110" s="18"/>
      <c r="AX110" s="21"/>
      <c r="AY110" s="18"/>
      <c r="AZ110" s="21"/>
      <c r="BA110" s="18"/>
      <c r="BB110" s="233"/>
      <c r="BC110" s="420"/>
      <c r="BD110" s="74"/>
      <c r="BE110" s="74"/>
      <c r="BF110" s="1439"/>
      <c r="BG110" s="19"/>
      <c r="BH110" s="19"/>
      <c r="BS110" s="420" t="str">
        <f t="shared" si="715"/>
        <v>SDRL</v>
      </c>
      <c r="BT110" s="425">
        <f t="shared" si="716"/>
        <v>1</v>
      </c>
      <c r="BU110" s="19">
        <f t="shared" si="717"/>
        <v>1.85</v>
      </c>
      <c r="BV110" s="19">
        <f t="shared" si="718"/>
        <v>1.85</v>
      </c>
      <c r="BW110" s="539">
        <f t="shared" si="719"/>
        <v>0</v>
      </c>
      <c r="BX110" s="19">
        <f t="shared" si="720"/>
        <v>0</v>
      </c>
      <c r="BY110" s="10">
        <f t="shared" si="721"/>
        <v>0</v>
      </c>
      <c r="BZ110" s="10">
        <f t="shared" si="722"/>
        <v>1</v>
      </c>
      <c r="CA110" s="539">
        <f t="shared" si="723"/>
        <v>1.85</v>
      </c>
      <c r="CB110" s="19">
        <f t="shared" si="724"/>
        <v>0</v>
      </c>
      <c r="CC110" s="10">
        <f t="shared" si="725"/>
        <v>0</v>
      </c>
      <c r="CD110" s="10">
        <f t="shared" si="726"/>
        <v>1</v>
      </c>
      <c r="CE110" s="539">
        <f t="shared" si="727"/>
        <v>1.85</v>
      </c>
      <c r="CF110" s="19">
        <f t="shared" si="728"/>
        <v>0</v>
      </c>
      <c r="CG110" s="10">
        <f t="shared" si="729"/>
        <v>0</v>
      </c>
      <c r="CH110" s="10">
        <f t="shared" si="730"/>
        <v>1</v>
      </c>
      <c r="CI110" s="539">
        <f t="shared" si="731"/>
        <v>1.85</v>
      </c>
      <c r="CJ110" s="19">
        <f t="shared" si="732"/>
        <v>0</v>
      </c>
      <c r="CK110" s="10">
        <f t="shared" si="733"/>
        <v>0</v>
      </c>
      <c r="CL110" s="10">
        <f t="shared" si="734"/>
        <v>1</v>
      </c>
      <c r="CM110" s="539">
        <f t="shared" si="735"/>
        <v>1.85</v>
      </c>
      <c r="CN110" s="19">
        <f t="shared" si="736"/>
        <v>0</v>
      </c>
      <c r="CO110" s="10">
        <f t="shared" si="737"/>
        <v>0</v>
      </c>
      <c r="CP110" s="10">
        <f t="shared" si="738"/>
        <v>1</v>
      </c>
      <c r="CQ110" s="539">
        <f t="shared" si="739"/>
        <v>1.85</v>
      </c>
      <c r="CR110" s="19">
        <f t="shared" si="740"/>
        <v>0</v>
      </c>
      <c r="CS110" s="10">
        <f t="shared" si="741"/>
        <v>0</v>
      </c>
      <c r="CT110" s="10">
        <f t="shared" si="742"/>
        <v>1</v>
      </c>
      <c r="CU110" s="539">
        <f t="shared" si="743"/>
        <v>1.85</v>
      </c>
      <c r="CV110" s="19">
        <f t="shared" si="744"/>
        <v>0</v>
      </c>
      <c r="CW110" s="10">
        <f t="shared" si="745"/>
        <v>0</v>
      </c>
      <c r="CX110" s="10">
        <f t="shared" si="746"/>
        <v>1</v>
      </c>
      <c r="CY110" s="539">
        <f t="shared" si="747"/>
        <v>1.85</v>
      </c>
      <c r="CZ110" s="19">
        <f t="shared" si="748"/>
        <v>0</v>
      </c>
      <c r="DA110" s="10">
        <f t="shared" si="749"/>
        <v>0</v>
      </c>
      <c r="DB110" s="10">
        <f t="shared" si="750"/>
        <v>1</v>
      </c>
      <c r="DC110" s="539">
        <f t="shared" si="751"/>
        <v>1.85</v>
      </c>
      <c r="DD110" s="19">
        <f t="shared" si="752"/>
        <v>0</v>
      </c>
      <c r="DE110" s="10">
        <f t="shared" si="753"/>
        <v>0</v>
      </c>
      <c r="DF110" s="10">
        <f t="shared" si="754"/>
        <v>1</v>
      </c>
      <c r="DG110" s="539">
        <f t="shared" si="755"/>
        <v>1.85</v>
      </c>
      <c r="DH110" s="19">
        <f t="shared" si="756"/>
        <v>0</v>
      </c>
      <c r="DI110" s="10">
        <f t="shared" si="757"/>
        <v>0</v>
      </c>
      <c r="DJ110" s="10">
        <f t="shared" si="758"/>
        <v>1</v>
      </c>
      <c r="DK110" s="539">
        <f t="shared" si="759"/>
        <v>1.85</v>
      </c>
      <c r="DL110" s="19">
        <f t="shared" si="760"/>
        <v>0</v>
      </c>
      <c r="DM110" s="10">
        <f t="shared" si="761"/>
        <v>0</v>
      </c>
      <c r="DN110" s="10">
        <f t="shared" si="762"/>
        <v>1</v>
      </c>
      <c r="DO110" s="539">
        <f t="shared" si="763"/>
        <v>1.85</v>
      </c>
      <c r="DP110" s="19">
        <f t="shared" si="764"/>
        <v>0</v>
      </c>
      <c r="DQ110" s="10">
        <f t="shared" si="765"/>
        <v>0</v>
      </c>
      <c r="DR110" s="10">
        <f t="shared" si="766"/>
        <v>1</v>
      </c>
      <c r="DS110" s="539">
        <f t="shared" si="767"/>
        <v>1.85</v>
      </c>
      <c r="DT110" s="19">
        <f t="shared" si="768"/>
        <v>0</v>
      </c>
      <c r="DU110" s="10">
        <f t="shared" si="769"/>
        <v>0</v>
      </c>
      <c r="DV110" s="10">
        <f t="shared" si="770"/>
        <v>1</v>
      </c>
      <c r="DW110" s="539">
        <f t="shared" si="771"/>
        <v>1.85</v>
      </c>
      <c r="DX110" s="19">
        <f t="shared" si="772"/>
        <v>0</v>
      </c>
      <c r="DY110" s="10">
        <f t="shared" si="773"/>
        <v>0</v>
      </c>
      <c r="DZ110" s="10">
        <f t="shared" si="774"/>
        <v>1</v>
      </c>
      <c r="EA110" s="539">
        <f t="shared" si="775"/>
        <v>1.85</v>
      </c>
      <c r="EB110" s="19">
        <f t="shared" si="776"/>
        <v>0</v>
      </c>
      <c r="EC110" s="10">
        <f t="shared" si="777"/>
        <v>0</v>
      </c>
      <c r="ED110" s="10">
        <f t="shared" si="778"/>
        <v>1</v>
      </c>
      <c r="EE110" s="539">
        <f t="shared" si="779"/>
        <v>1.85</v>
      </c>
      <c r="EF110" s="19">
        <f t="shared" si="780"/>
        <v>0</v>
      </c>
      <c r="EG110" s="10">
        <f t="shared" si="781"/>
        <v>0</v>
      </c>
      <c r="EH110" s="10">
        <f t="shared" si="782"/>
        <v>1</v>
      </c>
      <c r="EI110" s="539">
        <f t="shared" si="783"/>
        <v>1.85</v>
      </c>
      <c r="EJ110" s="19">
        <f t="shared" si="784"/>
        <v>0</v>
      </c>
      <c r="EK110" s="10">
        <f t="shared" si="785"/>
        <v>0</v>
      </c>
      <c r="EL110" s="10">
        <f t="shared" si="786"/>
        <v>1</v>
      </c>
      <c r="EM110" s="539">
        <f t="shared" si="787"/>
        <v>1.85</v>
      </c>
      <c r="EN110" s="19">
        <f t="shared" si="788"/>
        <v>0</v>
      </c>
      <c r="EO110" s="10">
        <f t="shared" si="789"/>
        <v>0</v>
      </c>
      <c r="EP110" s="10">
        <f t="shared" si="790"/>
        <v>1</v>
      </c>
      <c r="EQ110" s="539">
        <f t="shared" si="791"/>
        <v>1.85</v>
      </c>
      <c r="ER110" s="19">
        <f t="shared" si="792"/>
        <v>0</v>
      </c>
      <c r="ES110" s="10">
        <f t="shared" si="793"/>
        <v>0</v>
      </c>
      <c r="ET110" s="10">
        <f t="shared" si="794"/>
        <v>1</v>
      </c>
      <c r="EU110" s="539">
        <f t="shared" si="795"/>
        <v>1.85</v>
      </c>
      <c r="EV110" s="19">
        <f t="shared" si="796"/>
        <v>0</v>
      </c>
      <c r="EW110" s="10">
        <f t="shared" si="797"/>
        <v>0</v>
      </c>
      <c r="EX110" s="10">
        <f t="shared" si="798"/>
        <v>1</v>
      </c>
      <c r="EY110" s="539">
        <f t="shared" si="799"/>
        <v>1.85</v>
      </c>
      <c r="EZ110" s="19">
        <f t="shared" si="800"/>
        <v>0</v>
      </c>
      <c r="FA110" s="10">
        <f t="shared" si="801"/>
        <v>0</v>
      </c>
      <c r="FB110" s="10">
        <f t="shared" si="802"/>
        <v>1</v>
      </c>
      <c r="FC110" s="539">
        <f t="shared" si="803"/>
        <v>1.85</v>
      </c>
      <c r="FD110" s="19">
        <f t="shared" si="804"/>
        <v>0</v>
      </c>
      <c r="FE110" s="10">
        <f t="shared" si="805"/>
        <v>0</v>
      </c>
      <c r="FF110" s="10">
        <f t="shared" si="806"/>
        <v>1</v>
      </c>
      <c r="FG110" s="539">
        <f t="shared" si="807"/>
        <v>1.85</v>
      </c>
      <c r="FH110" s="19">
        <f t="shared" si="808"/>
        <v>0</v>
      </c>
      <c r="FI110" s="10">
        <f t="shared" si="809"/>
        <v>0</v>
      </c>
      <c r="FJ110" s="10">
        <f t="shared" si="810"/>
        <v>1</v>
      </c>
      <c r="FK110" s="539">
        <f t="shared" si="811"/>
        <v>1.85</v>
      </c>
      <c r="FL110" s="19">
        <f t="shared" si="812"/>
        <v>0</v>
      </c>
      <c r="FM110" s="10">
        <f t="shared" si="813"/>
        <v>0</v>
      </c>
      <c r="FN110" s="10">
        <f t="shared" si="814"/>
        <v>1</v>
      </c>
      <c r="FO110" s="539">
        <f t="shared" si="815"/>
        <v>1.85</v>
      </c>
      <c r="FP110" s="19">
        <f t="shared" si="816"/>
        <v>0</v>
      </c>
      <c r="FQ110" s="10">
        <f t="shared" si="817"/>
        <v>0</v>
      </c>
      <c r="FR110" s="10">
        <f t="shared" si="818"/>
        <v>1</v>
      </c>
      <c r="FS110" s="539">
        <f t="shared" si="819"/>
        <v>1.85</v>
      </c>
      <c r="FT110" s="19">
        <f t="shared" si="820"/>
        <v>0</v>
      </c>
      <c r="FU110" s="10">
        <f t="shared" si="821"/>
        <v>0</v>
      </c>
      <c r="FV110" s="10">
        <f t="shared" si="822"/>
        <v>1</v>
      </c>
      <c r="FW110" s="539">
        <f t="shared" si="823"/>
        <v>1.85</v>
      </c>
      <c r="FX110" s="19">
        <f t="shared" si="824"/>
        <v>0</v>
      </c>
      <c r="FY110" s="10">
        <f t="shared" si="825"/>
        <v>0</v>
      </c>
      <c r="FZ110" s="10">
        <f t="shared" si="826"/>
        <v>1</v>
      </c>
      <c r="GA110" s="539">
        <f t="shared" si="827"/>
        <v>1.85</v>
      </c>
      <c r="GB110" s="19">
        <f t="shared" si="828"/>
        <v>0</v>
      </c>
      <c r="GC110" s="10">
        <f t="shared" si="829"/>
        <v>0</v>
      </c>
      <c r="GD110" s="10">
        <f t="shared" si="830"/>
        <v>1</v>
      </c>
      <c r="GE110" s="539">
        <f t="shared" si="831"/>
        <v>1.85</v>
      </c>
      <c r="GF110" s="19">
        <f t="shared" si="832"/>
        <v>0</v>
      </c>
      <c r="GG110" s="10">
        <f t="shared" si="833"/>
        <v>0</v>
      </c>
      <c r="GH110" s="10">
        <f t="shared" si="834"/>
        <v>1</v>
      </c>
      <c r="GI110" s="539">
        <f t="shared" si="835"/>
        <v>1.85</v>
      </c>
      <c r="GJ110" s="19">
        <f t="shared" si="836"/>
        <v>0</v>
      </c>
      <c r="GK110" s="10">
        <f t="shared" si="837"/>
        <v>0</v>
      </c>
      <c r="GL110" s="10">
        <f t="shared" si="838"/>
        <v>1</v>
      </c>
      <c r="GM110" s="539">
        <f t="shared" si="839"/>
        <v>1.85</v>
      </c>
      <c r="GN110" s="19">
        <f t="shared" si="840"/>
        <v>0</v>
      </c>
      <c r="GO110" s="10">
        <f t="shared" si="841"/>
        <v>0</v>
      </c>
      <c r="GP110" s="10">
        <f t="shared" si="842"/>
        <v>1</v>
      </c>
      <c r="GQ110" s="539">
        <f t="shared" si="843"/>
        <v>1.85</v>
      </c>
      <c r="GR110" s="19">
        <f t="shared" si="844"/>
        <v>0</v>
      </c>
      <c r="GS110" s="10">
        <f t="shared" si="845"/>
        <v>0</v>
      </c>
      <c r="GT110" s="10">
        <f t="shared" si="846"/>
        <v>1</v>
      </c>
      <c r="GU110" s="539">
        <f t="shared" si="847"/>
        <v>1.85</v>
      </c>
      <c r="GV110" s="19">
        <f t="shared" si="848"/>
        <v>0</v>
      </c>
      <c r="GW110" s="10">
        <f t="shared" si="849"/>
        <v>0</v>
      </c>
      <c r="GX110" s="10">
        <f t="shared" si="850"/>
        <v>1</v>
      </c>
      <c r="GY110" s="539">
        <f t="shared" si="851"/>
        <v>1.85</v>
      </c>
      <c r="GZ110" s="19">
        <f t="shared" si="852"/>
        <v>0</v>
      </c>
      <c r="HA110" s="10">
        <f t="shared" si="853"/>
        <v>0</v>
      </c>
      <c r="HB110" s="10">
        <f t="shared" si="854"/>
        <v>1</v>
      </c>
      <c r="HC110" s="539">
        <f t="shared" si="855"/>
        <v>1.85</v>
      </c>
      <c r="HD110" s="19">
        <f t="shared" si="856"/>
        <v>0</v>
      </c>
      <c r="HE110" s="10">
        <f t="shared" si="857"/>
        <v>0</v>
      </c>
      <c r="HF110" s="10">
        <f t="shared" si="858"/>
        <v>1</v>
      </c>
      <c r="HG110" s="539">
        <f t="shared" si="859"/>
        <v>1.85</v>
      </c>
      <c r="HH110" s="19">
        <f t="shared" si="860"/>
        <v>0</v>
      </c>
      <c r="HI110" s="10">
        <f t="shared" si="861"/>
        <v>0</v>
      </c>
      <c r="HJ110" s="10">
        <f t="shared" si="862"/>
        <v>1</v>
      </c>
      <c r="HK110" s="539">
        <f t="shared" si="863"/>
        <v>1.85</v>
      </c>
      <c r="HL110" s="19">
        <f t="shared" si="864"/>
        <v>0</v>
      </c>
      <c r="HM110" s="10">
        <f t="shared" si="865"/>
        <v>0</v>
      </c>
      <c r="HN110" s="10">
        <f t="shared" si="866"/>
        <v>1</v>
      </c>
      <c r="HO110" s="539">
        <f t="shared" si="867"/>
        <v>1.85</v>
      </c>
      <c r="HP110" s="19">
        <f t="shared" si="868"/>
        <v>0</v>
      </c>
      <c r="HQ110" s="10">
        <f t="shared" si="869"/>
        <v>0</v>
      </c>
      <c r="HR110" s="10">
        <f t="shared" si="870"/>
        <v>1</v>
      </c>
      <c r="HS110" s="539">
        <f t="shared" si="871"/>
        <v>1.85</v>
      </c>
      <c r="HT110" s="19">
        <f t="shared" si="872"/>
        <v>0</v>
      </c>
      <c r="HU110" s="10">
        <f t="shared" si="873"/>
        <v>0</v>
      </c>
      <c r="HV110" s="10">
        <f t="shared" si="874"/>
        <v>1</v>
      </c>
      <c r="HW110" s="539">
        <f t="shared" si="875"/>
        <v>1.85</v>
      </c>
      <c r="HX110" s="19">
        <f t="shared" si="876"/>
        <v>0</v>
      </c>
      <c r="HY110" s="10">
        <f t="shared" si="877"/>
        <v>0</v>
      </c>
      <c r="HZ110" s="10">
        <f t="shared" si="878"/>
        <v>1</v>
      </c>
      <c r="IA110" s="539">
        <f t="shared" si="879"/>
        <v>1.85</v>
      </c>
      <c r="IB110" s="19">
        <f t="shared" si="880"/>
        <v>0</v>
      </c>
      <c r="IM110" s="11"/>
      <c r="IN110" s="19"/>
      <c r="IO110" s="20"/>
      <c r="IP110" s="10"/>
    </row>
    <row r="111" spans="1:261" ht="13.5" thickBot="1">
      <c r="A111" s="11"/>
      <c r="B111" s="20"/>
      <c r="C111" s="826" t="s">
        <v>2349</v>
      </c>
      <c r="D111" s="47" t="s">
        <v>92</v>
      </c>
      <c r="E111" s="396">
        <f t="shared" si="931"/>
        <v>33.446299999999994</v>
      </c>
      <c r="F111" s="242">
        <f>19.4458+0.0005</f>
        <v>19.446299999999997</v>
      </c>
      <c r="G111" s="48">
        <f>'Update Stock Prices'!S111</f>
        <v>494912118.40888065</v>
      </c>
      <c r="H111" s="991">
        <f t="shared" si="610"/>
        <v>3.9292430467289717E-8</v>
      </c>
      <c r="I111" s="49">
        <f>'Update Stock Prices'!D111</f>
        <v>21.62</v>
      </c>
      <c r="J111" s="49">
        <f t="shared" si="404"/>
        <v>420.42900599999996</v>
      </c>
      <c r="K111" s="30">
        <v>377.68</v>
      </c>
      <c r="L111" s="49">
        <f t="shared" si="611"/>
        <v>42.749005999999952</v>
      </c>
      <c r="M111" s="50">
        <f t="shared" si="613"/>
        <v>0.1131884293581867</v>
      </c>
      <c r="N111" s="49">
        <f t="shared" si="612"/>
        <v>19.421689473061715</v>
      </c>
      <c r="O111" s="48">
        <f t="shared" si="932"/>
        <v>14</v>
      </c>
      <c r="P111" s="49">
        <f>IF(($B$11-$B$12)-(O111*I111)&lt;0,0,($B$11-$B$12)-(O111*I111))</f>
        <v>18.329999999999984</v>
      </c>
      <c r="Q111" s="30">
        <f>0.09875*12</f>
        <v>1.1850000000000001</v>
      </c>
      <c r="R111" s="49">
        <f t="shared" si="242"/>
        <v>6.3090665297741266E-2</v>
      </c>
      <c r="S111" s="49">
        <f t="shared" si="935"/>
        <v>23.043865499999999</v>
      </c>
      <c r="T111" s="49">
        <f t="shared" si="399"/>
        <v>1.920322125</v>
      </c>
      <c r="U111" s="49" t="s">
        <v>56</v>
      </c>
      <c r="V111" s="50">
        <f t="shared" si="937"/>
        <v>5.4810360777058281E-2</v>
      </c>
      <c r="W111" s="50">
        <f t="shared" si="575"/>
        <v>6.1014259425969074E-2</v>
      </c>
      <c r="X111" s="49">
        <f>12*((E111*Q111)/12-T111)</f>
        <v>16.589999999999989</v>
      </c>
      <c r="Y111" s="49">
        <f t="shared" si="654"/>
        <v>1.920322125</v>
      </c>
      <c r="Z111" s="860">
        <f t="shared" si="939"/>
        <v>0</v>
      </c>
      <c r="AA111" s="860">
        <f t="shared" si="940"/>
        <v>199.49040886075946</v>
      </c>
      <c r="AB111" s="49">
        <f>IF(AA111&lt;&gt;"",AA111*I111,"")</f>
        <v>4312.98263956962</v>
      </c>
      <c r="AC111" s="48">
        <v>1</v>
      </c>
      <c r="AD111" s="47" t="str">
        <f t="shared" si="942"/>
        <v>SJR</v>
      </c>
      <c r="AE111" s="49">
        <f t="shared" si="943"/>
        <v>420.42900599999996</v>
      </c>
      <c r="AF111" s="50" t="e">
        <f t="shared" si="692"/>
        <v>#REF!</v>
      </c>
      <c r="AG111" s="890" t="e">
        <f t="shared" si="910"/>
        <v>#REF!</v>
      </c>
      <c r="AH111" s="207" t="s">
        <v>91</v>
      </c>
      <c r="AI111" s="240">
        <f t="shared" si="693"/>
        <v>0.40126721181646652</v>
      </c>
      <c r="AJ111" s="11">
        <f t="shared" si="595"/>
        <v>3</v>
      </c>
      <c r="AK111" s="11"/>
      <c r="AL111" s="11"/>
      <c r="AM111" s="11"/>
      <c r="AN111" s="11"/>
      <c r="AO111" s="11"/>
      <c r="AP111" s="11"/>
      <c r="AQ111" s="11" t="str">
        <f>'Update Stock Prices'!Q111</f>
        <v>mid</v>
      </c>
      <c r="AR111" s="11"/>
      <c r="AS111" s="11"/>
      <c r="AT111" s="7" t="s">
        <v>1599</v>
      </c>
      <c r="AU111" s="1445" t="s">
        <v>645</v>
      </c>
      <c r="AV111" s="1446" t="s">
        <v>1425</v>
      </c>
      <c r="AW111" s="1447" t="s">
        <v>470</v>
      </c>
      <c r="AX111" s="1446" t="s">
        <v>589</v>
      </c>
      <c r="AY111" s="1448" t="s">
        <v>471</v>
      </c>
      <c r="AZ111" s="962"/>
      <c r="BA111" s="216" t="s">
        <v>1498</v>
      </c>
      <c r="BB111" s="231" t="s">
        <v>845</v>
      </c>
      <c r="BC111" s="592" t="s">
        <v>514</v>
      </c>
      <c r="BD111" s="216" t="s">
        <v>2818</v>
      </c>
      <c r="BE111" s="855" t="s">
        <v>2819</v>
      </c>
      <c r="BF111" s="651" t="s">
        <v>2817</v>
      </c>
      <c r="BG111" s="766" t="s">
        <v>2809</v>
      </c>
      <c r="BH111" s="765"/>
      <c r="BI111" s="376" t="s">
        <v>1724</v>
      </c>
      <c r="BJ111" s="428"/>
      <c r="BK111" s="428" t="s">
        <v>1723</v>
      </c>
      <c r="BL111" s="428" t="s">
        <v>1725</v>
      </c>
      <c r="BM111" s="708" t="s">
        <v>1730</v>
      </c>
      <c r="BN111" s="428" t="s">
        <v>1734</v>
      </c>
      <c r="BO111" s="235"/>
      <c r="BS111" s="420" t="str">
        <f t="shared" si="715"/>
        <v>SJR</v>
      </c>
      <c r="BT111" s="425">
        <f t="shared" si="716"/>
        <v>19.446299999999997</v>
      </c>
      <c r="BU111" s="19">
        <f t="shared" si="717"/>
        <v>21.62</v>
      </c>
      <c r="BV111" s="19">
        <f t="shared" si="718"/>
        <v>420.42900599999996</v>
      </c>
      <c r="BW111" s="539">
        <f t="shared" si="719"/>
        <v>1.1850000000000001</v>
      </c>
      <c r="BX111" s="19">
        <f t="shared" si="720"/>
        <v>23.043865499999999</v>
      </c>
      <c r="BY111" s="10">
        <f t="shared" si="721"/>
        <v>1.0658587187789084</v>
      </c>
      <c r="BZ111" s="10">
        <f t="shared" si="722"/>
        <v>20.512158718778906</v>
      </c>
      <c r="CA111" s="539">
        <f t="shared" si="723"/>
        <v>443.4728715</v>
      </c>
      <c r="CB111" s="19">
        <f t="shared" si="724"/>
        <v>24.306908081753004</v>
      </c>
      <c r="CC111" s="10">
        <f t="shared" si="725"/>
        <v>1.1242788196925533</v>
      </c>
      <c r="CD111" s="10">
        <f t="shared" si="726"/>
        <v>21.636437538471458</v>
      </c>
      <c r="CE111" s="539">
        <f t="shared" si="727"/>
        <v>467.77977958175296</v>
      </c>
      <c r="CF111" s="19">
        <f t="shared" si="728"/>
        <v>25.639178483088678</v>
      </c>
      <c r="CG111" s="10">
        <f t="shared" si="729"/>
        <v>1.1859009474139073</v>
      </c>
      <c r="CH111" s="10">
        <f t="shared" si="730"/>
        <v>22.822338485885364</v>
      </c>
      <c r="CI111" s="539">
        <f t="shared" si="731"/>
        <v>493.4189580648416</v>
      </c>
      <c r="CJ111" s="19">
        <f t="shared" si="732"/>
        <v>27.044471105774157</v>
      </c>
      <c r="CK111" s="10">
        <f t="shared" si="733"/>
        <v>1.2509006061875187</v>
      </c>
      <c r="CL111" s="10">
        <f t="shared" si="734"/>
        <v>24.073239092072882</v>
      </c>
      <c r="CM111" s="539">
        <f t="shared" si="735"/>
        <v>520.46342917061577</v>
      </c>
      <c r="CN111" s="19">
        <f t="shared" si="736"/>
        <v>28.526788324106366</v>
      </c>
      <c r="CO111" s="10">
        <f t="shared" si="737"/>
        <v>1.3194629197088976</v>
      </c>
      <c r="CP111" s="10">
        <f t="shared" si="738"/>
        <v>25.392702011781779</v>
      </c>
      <c r="CQ111" s="539">
        <f t="shared" si="739"/>
        <v>548.99021749472206</v>
      </c>
      <c r="CR111" s="19">
        <f t="shared" si="740"/>
        <v>30.090351883961411</v>
      </c>
      <c r="CS111" s="10">
        <f t="shared" si="741"/>
        <v>1.391783158370093</v>
      </c>
      <c r="CT111" s="10">
        <f t="shared" si="742"/>
        <v>26.784485170151871</v>
      </c>
      <c r="CU111" s="539">
        <f t="shared" si="743"/>
        <v>579.08056937868344</v>
      </c>
      <c r="CV111" s="19">
        <f t="shared" si="744"/>
        <v>31.739614926629969</v>
      </c>
      <c r="CW111" s="10">
        <f t="shared" si="745"/>
        <v>1.4680672954037912</v>
      </c>
      <c r="CX111" s="10">
        <f t="shared" si="746"/>
        <v>28.252552465555663</v>
      </c>
      <c r="CY111" s="539">
        <f t="shared" si="747"/>
        <v>610.82018430531343</v>
      </c>
      <c r="CZ111" s="19">
        <f t="shared" si="748"/>
        <v>33.479274671683463</v>
      </c>
      <c r="DA111" s="10">
        <f t="shared" si="749"/>
        <v>1.5485325935098733</v>
      </c>
      <c r="DB111" s="10">
        <f t="shared" si="750"/>
        <v>29.801085059065535</v>
      </c>
      <c r="DC111" s="539">
        <f t="shared" si="751"/>
        <v>644.2994589769969</v>
      </c>
      <c r="DD111" s="19">
        <f t="shared" si="752"/>
        <v>35.314285794992664</v>
      </c>
      <c r="DE111" s="10">
        <f t="shared" si="753"/>
        <v>1.6334082236351832</v>
      </c>
      <c r="DF111" s="10">
        <f t="shared" si="754"/>
        <v>31.434493282700718</v>
      </c>
      <c r="DG111" s="539">
        <f t="shared" si="755"/>
        <v>679.61374477198956</v>
      </c>
      <c r="DH111" s="19">
        <f t="shared" si="756"/>
        <v>37.249874540000356</v>
      </c>
      <c r="DI111" s="10">
        <f t="shared" si="757"/>
        <v>1.7229359176688415</v>
      </c>
      <c r="DJ111" s="10">
        <f t="shared" si="758"/>
        <v>33.157429200369556</v>
      </c>
      <c r="DK111" s="539">
        <f t="shared" si="759"/>
        <v>716.86361931198985</v>
      </c>
      <c r="DL111" s="19">
        <f t="shared" si="760"/>
        <v>39.291553602437929</v>
      </c>
      <c r="DM111" s="10">
        <f t="shared" si="761"/>
        <v>1.8173706569120225</v>
      </c>
      <c r="DN111" s="10">
        <f t="shared" si="762"/>
        <v>34.974799857281582</v>
      </c>
      <c r="DO111" s="539">
        <f t="shared" si="763"/>
        <v>756.15517291442779</v>
      </c>
      <c r="DP111" s="19">
        <f t="shared" si="764"/>
        <v>41.445137830878679</v>
      </c>
      <c r="DQ111" s="10">
        <f t="shared" si="765"/>
        <v>1.91698139828301</v>
      </c>
      <c r="DR111" s="10">
        <f t="shared" si="766"/>
        <v>36.891781255564595</v>
      </c>
      <c r="DS111" s="539">
        <f t="shared" si="767"/>
        <v>797.60031074530661</v>
      </c>
      <c r="DT111" s="19">
        <f t="shared" si="768"/>
        <v>43.716760787844045</v>
      </c>
      <c r="DU111" s="10">
        <f t="shared" si="769"/>
        <v>2.0220518403258114</v>
      </c>
      <c r="DV111" s="10">
        <f t="shared" si="770"/>
        <v>38.913833095890404</v>
      </c>
      <c r="DW111" s="539">
        <f t="shared" si="771"/>
        <v>841.31707153315051</v>
      </c>
      <c r="DX111" s="19">
        <f t="shared" si="772"/>
        <v>46.11289221863013</v>
      </c>
      <c r="DY111" s="10">
        <f t="shared" si="773"/>
        <v>2.1328812312039838</v>
      </c>
      <c r="DZ111" s="10">
        <f t="shared" si="774"/>
        <v>41.046714327094385</v>
      </c>
      <c r="EA111" s="539">
        <f t="shared" si="775"/>
        <v>887.42996375178063</v>
      </c>
      <c r="EB111" s="19">
        <f t="shared" si="776"/>
        <v>48.640356477606851</v>
      </c>
      <c r="EC111" s="10">
        <f t="shared" si="777"/>
        <v>2.2497852209808902</v>
      </c>
      <c r="ED111" s="10">
        <f t="shared" si="778"/>
        <v>43.296499548075275</v>
      </c>
      <c r="EE111" s="539">
        <f t="shared" si="779"/>
        <v>936.07032022938745</v>
      </c>
      <c r="EF111" s="19">
        <f t="shared" si="780"/>
        <v>51.306351964469201</v>
      </c>
      <c r="EG111" s="10">
        <f t="shared" si="781"/>
        <v>2.3730967606137465</v>
      </c>
      <c r="EH111" s="10">
        <f t="shared" si="782"/>
        <v>45.669596308689023</v>
      </c>
      <c r="EI111" s="539">
        <f t="shared" si="783"/>
        <v>987.37667219385673</v>
      </c>
      <c r="EJ111" s="19">
        <f t="shared" si="784"/>
        <v>54.118471625796495</v>
      </c>
      <c r="EK111" s="10">
        <f t="shared" si="785"/>
        <v>2.5031670502218546</v>
      </c>
      <c r="EL111" s="10">
        <f t="shared" si="786"/>
        <v>48.172763358910878</v>
      </c>
      <c r="EM111" s="539">
        <f t="shared" si="787"/>
        <v>1041.4951438196533</v>
      </c>
      <c r="EN111" s="19">
        <f t="shared" si="788"/>
        <v>57.084724580309391</v>
      </c>
      <c r="EO111" s="10">
        <f t="shared" si="789"/>
        <v>2.6403665393297588</v>
      </c>
      <c r="EP111" s="10">
        <f t="shared" si="790"/>
        <v>50.813129898240639</v>
      </c>
      <c r="EQ111" s="539">
        <f t="shared" si="791"/>
        <v>1098.5798683999626</v>
      </c>
      <c r="ER111" s="19">
        <f t="shared" si="792"/>
        <v>60.213558929415157</v>
      </c>
      <c r="ES111" s="10">
        <f t="shared" si="793"/>
        <v>2.7850859819340958</v>
      </c>
      <c r="ET111" s="10">
        <f t="shared" si="794"/>
        <v>53.598215880174735</v>
      </c>
      <c r="EU111" s="539">
        <f t="shared" si="795"/>
        <v>1158.7934273293779</v>
      </c>
      <c r="EV111" s="19">
        <f t="shared" si="796"/>
        <v>63.513885818007061</v>
      </c>
      <c r="EW111" s="10">
        <f t="shared" si="797"/>
        <v>2.9377375493990314</v>
      </c>
      <c r="EX111" s="10">
        <f t="shared" si="798"/>
        <v>56.535953429573766</v>
      </c>
      <c r="EY111" s="539">
        <f t="shared" si="799"/>
        <v>1222.3073131473848</v>
      </c>
      <c r="EZ111" s="19">
        <f t="shared" si="800"/>
        <v>66.995104814044922</v>
      </c>
      <c r="FA111" s="10">
        <f t="shared" si="801"/>
        <v>3.0987560043499038</v>
      </c>
      <c r="FB111" s="10">
        <f t="shared" si="802"/>
        <v>59.634709433923668</v>
      </c>
      <c r="FC111" s="539">
        <f t="shared" si="803"/>
        <v>1289.3024179614297</v>
      </c>
      <c r="FD111" s="19">
        <f t="shared" si="804"/>
        <v>70.667130679199545</v>
      </c>
      <c r="FE111" s="10">
        <f t="shared" si="805"/>
        <v>3.2685999389083968</v>
      </c>
      <c r="FF111" s="10">
        <f t="shared" si="806"/>
        <v>62.903309372832062</v>
      </c>
      <c r="FG111" s="539">
        <f t="shared" si="807"/>
        <v>1359.9695486406292</v>
      </c>
      <c r="FH111" s="19">
        <f t="shared" si="808"/>
        <v>74.540421606805992</v>
      </c>
      <c r="FI111" s="10">
        <f t="shared" si="809"/>
        <v>3.4477530807958368</v>
      </c>
      <c r="FJ111" s="10">
        <f t="shared" si="810"/>
        <v>66.351062453627904</v>
      </c>
      <c r="FK111" s="539">
        <f t="shared" si="811"/>
        <v>1434.5099702474354</v>
      </c>
      <c r="FL111" s="19">
        <f t="shared" si="812"/>
        <v>78.626009007549072</v>
      </c>
      <c r="FM111" s="10">
        <f t="shared" si="813"/>
        <v>3.6367256710244713</v>
      </c>
      <c r="FN111" s="10">
        <f t="shared" si="814"/>
        <v>69.987788124652369</v>
      </c>
      <c r="FO111" s="539">
        <f t="shared" si="815"/>
        <v>1513.1359792549842</v>
      </c>
      <c r="FP111" s="19">
        <f t="shared" si="816"/>
        <v>82.935528927713065</v>
      </c>
      <c r="FQ111" s="10">
        <f t="shared" si="817"/>
        <v>3.8360559171005115</v>
      </c>
      <c r="FR111" s="10">
        <f t="shared" si="818"/>
        <v>73.823844041752878</v>
      </c>
      <c r="FS111" s="539">
        <f t="shared" si="819"/>
        <v>1596.0715081826972</v>
      </c>
      <c r="FT111" s="19">
        <f t="shared" si="820"/>
        <v>87.481255189477167</v>
      </c>
      <c r="FU111" s="10">
        <f t="shared" si="821"/>
        <v>4.0463115258777593</v>
      </c>
      <c r="FV111" s="10">
        <f t="shared" si="822"/>
        <v>77.870155567630633</v>
      </c>
      <c r="FW111" s="539">
        <f t="shared" si="823"/>
        <v>1683.5527633721745</v>
      </c>
      <c r="FX111" s="19">
        <f t="shared" si="824"/>
        <v>92.276134347642298</v>
      </c>
      <c r="FY111" s="10">
        <f t="shared" si="825"/>
        <v>4.2680913204274882</v>
      </c>
      <c r="FZ111" s="10">
        <f t="shared" si="826"/>
        <v>82.13824688805812</v>
      </c>
      <c r="GA111" s="539">
        <f t="shared" si="827"/>
        <v>1775.8288977198167</v>
      </c>
      <c r="GB111" s="19">
        <f t="shared" si="828"/>
        <v>97.333822562348871</v>
      </c>
      <c r="GC111" s="10">
        <f t="shared" si="829"/>
        <v>4.5020269455295496</v>
      </c>
      <c r="GD111" s="10">
        <f t="shared" si="830"/>
        <v>86.640273833587671</v>
      </c>
      <c r="GE111" s="539">
        <f t="shared" si="831"/>
        <v>1873.1627202821655</v>
      </c>
      <c r="GF111" s="19">
        <f t="shared" si="832"/>
        <v>102.66872449280139</v>
      </c>
      <c r="GG111" s="10">
        <f t="shared" si="833"/>
        <v>4.7487846666420621</v>
      </c>
      <c r="GH111" s="10">
        <f t="shared" si="834"/>
        <v>91.389058500229737</v>
      </c>
      <c r="GI111" s="539">
        <f t="shared" si="835"/>
        <v>1975.8314447749669</v>
      </c>
      <c r="GJ111" s="19">
        <f t="shared" si="836"/>
        <v>108.29603432277224</v>
      </c>
      <c r="GK111" s="10">
        <f t="shared" si="837"/>
        <v>5.0090672674732764</v>
      </c>
      <c r="GL111" s="10">
        <f t="shared" si="838"/>
        <v>96.398125767703007</v>
      </c>
      <c r="GM111" s="539">
        <f t="shared" si="839"/>
        <v>2084.1274790977391</v>
      </c>
      <c r="GN111" s="19">
        <f t="shared" si="840"/>
        <v>114.23177903472806</v>
      </c>
      <c r="GO111" s="10">
        <f t="shared" si="841"/>
        <v>5.2836160515600401</v>
      </c>
      <c r="GP111" s="10">
        <f t="shared" si="842"/>
        <v>101.68174181926305</v>
      </c>
      <c r="GQ111" s="539">
        <f t="shared" si="843"/>
        <v>2198.3592581324674</v>
      </c>
      <c r="GR111" s="19">
        <f t="shared" si="844"/>
        <v>120.49286405582673</v>
      </c>
      <c r="GS111" s="10">
        <f t="shared" si="845"/>
        <v>5.5732129535535027</v>
      </c>
      <c r="GT111" s="10">
        <f t="shared" si="846"/>
        <v>107.25495477281656</v>
      </c>
      <c r="GU111" s="539">
        <f t="shared" si="847"/>
        <v>2318.8521221882943</v>
      </c>
      <c r="GV111" s="19">
        <f t="shared" si="848"/>
        <v>127.09712140578763</v>
      </c>
      <c r="GW111" s="10">
        <f t="shared" si="849"/>
        <v>5.8786827662251442</v>
      </c>
      <c r="GX111" s="10">
        <f t="shared" si="850"/>
        <v>113.1336375390417</v>
      </c>
      <c r="GY111" s="539">
        <f t="shared" si="851"/>
        <v>2445.9492435940815</v>
      </c>
      <c r="GZ111" s="19">
        <f t="shared" si="852"/>
        <v>134.06336048376443</v>
      </c>
      <c r="HA111" s="10">
        <f t="shared" si="853"/>
        <v>6.2008954895358199</v>
      </c>
      <c r="HB111" s="10">
        <f t="shared" si="854"/>
        <v>119.33453302857752</v>
      </c>
      <c r="HC111" s="539">
        <f t="shared" si="855"/>
        <v>2580.0126040778464</v>
      </c>
      <c r="HD111" s="19">
        <f t="shared" si="856"/>
        <v>141.41142163886437</v>
      </c>
      <c r="HE111" s="10">
        <f t="shared" si="857"/>
        <v>6.540768808458111</v>
      </c>
      <c r="HF111" s="10">
        <f t="shared" si="858"/>
        <v>125.87530183703564</v>
      </c>
      <c r="HG111" s="539">
        <f t="shared" si="859"/>
        <v>2721.4240257167107</v>
      </c>
      <c r="HH111" s="19">
        <f t="shared" si="860"/>
        <v>149.16223267688724</v>
      </c>
      <c r="HI111" s="10">
        <f t="shared" si="861"/>
        <v>6.8992707066090304</v>
      </c>
      <c r="HJ111" s="10">
        <f t="shared" si="862"/>
        <v>132.77457254364467</v>
      </c>
      <c r="HK111" s="539">
        <f t="shared" si="863"/>
        <v>2870.5862583935977</v>
      </c>
      <c r="HL111" s="19">
        <f t="shared" si="864"/>
        <v>157.33786846421893</v>
      </c>
      <c r="HM111" s="10">
        <f t="shared" si="865"/>
        <v>7.2774222231368606</v>
      </c>
      <c r="HN111" s="10">
        <f t="shared" si="866"/>
        <v>140.05199476678152</v>
      </c>
      <c r="HO111" s="539">
        <f t="shared" si="867"/>
        <v>3027.9241268578166</v>
      </c>
      <c r="HP111" s="19">
        <f t="shared" si="868"/>
        <v>165.96161379863611</v>
      </c>
      <c r="HQ111" s="10">
        <f t="shared" si="869"/>
        <v>7.6763003607139728</v>
      </c>
      <c r="HR111" s="10">
        <f t="shared" si="870"/>
        <v>147.7282951274955</v>
      </c>
      <c r="HS111" s="539">
        <f t="shared" si="871"/>
        <v>3193.885740656453</v>
      </c>
      <c r="HT111" s="19">
        <f t="shared" si="872"/>
        <v>175.05802972608217</v>
      </c>
      <c r="HU111" s="10">
        <f t="shared" si="873"/>
        <v>8.0970411529177682</v>
      </c>
      <c r="HV111" s="10">
        <f t="shared" si="874"/>
        <v>155.82533628041327</v>
      </c>
      <c r="HW111" s="539">
        <f t="shared" si="875"/>
        <v>3368.9437703825351</v>
      </c>
      <c r="HX111" s="19">
        <f t="shared" si="876"/>
        <v>184.65302349228972</v>
      </c>
      <c r="HY111" s="10">
        <f t="shared" si="877"/>
        <v>8.5408428997358801</v>
      </c>
      <c r="HZ111" s="10">
        <f t="shared" si="878"/>
        <v>164.36617918014915</v>
      </c>
      <c r="IA111" s="539">
        <f t="shared" si="879"/>
        <v>3553.5967938748249</v>
      </c>
      <c r="IB111" s="19">
        <f t="shared" si="880"/>
        <v>194.77392232847674</v>
      </c>
      <c r="IM111" s="11"/>
      <c r="IN111" s="19"/>
      <c r="IO111" s="20"/>
      <c r="IP111" s="10"/>
    </row>
    <row r="112" spans="1:261" ht="13.5" thickBot="1">
      <c r="A112" s="11"/>
      <c r="B112" s="20"/>
      <c r="C112" s="826" t="s">
        <v>2343</v>
      </c>
      <c r="D112" s="47" t="s">
        <v>1203</v>
      </c>
      <c r="E112" s="396">
        <f t="shared" si="931"/>
        <v>7.0336999999999996</v>
      </c>
      <c r="F112" s="242">
        <v>1.0337000000000001</v>
      </c>
      <c r="G112" s="48">
        <f>'Update Stock Prices'!S112</f>
        <v>20927936.821322802</v>
      </c>
      <c r="H112" s="991">
        <f t="shared" si="610"/>
        <v>4.9393306603773591E-8</v>
      </c>
      <c r="I112" s="49">
        <f>'Update Stock Prices'!D112</f>
        <v>50.65</v>
      </c>
      <c r="J112" s="49">
        <f t="shared" si="404"/>
        <v>52.356905000000005</v>
      </c>
      <c r="K112" s="30">
        <v>34.799999999999997</v>
      </c>
      <c r="L112" s="49">
        <f t="shared" si="611"/>
        <v>17.556905000000008</v>
      </c>
      <c r="M112" s="50">
        <f t="shared" si="613"/>
        <v>0.50450876436781633</v>
      </c>
      <c r="N112" s="49">
        <f t="shared" si="612"/>
        <v>33.665473541646506</v>
      </c>
      <c r="O112" s="48">
        <f t="shared" si="932"/>
        <v>6</v>
      </c>
      <c r="P112" s="49">
        <f t="shared" si="933"/>
        <v>17.110000000000014</v>
      </c>
      <c r="Q112" s="30">
        <f>0.2025*4</f>
        <v>0.81</v>
      </c>
      <c r="R112" s="49">
        <f t="shared" ref="R112" si="944">S112/365.25</f>
        <v>2.2923942505133472E-3</v>
      </c>
      <c r="S112" s="49">
        <f t="shared" si="935"/>
        <v>0.83729700000000007</v>
      </c>
      <c r="T112" s="49">
        <f t="shared" ref="T112" si="945">S112/12</f>
        <v>6.977475000000001E-2</v>
      </c>
      <c r="U112" s="49" t="s">
        <v>54</v>
      </c>
      <c r="V112" s="50">
        <f t="shared" si="937"/>
        <v>1.5992102665350446E-2</v>
      </c>
      <c r="W112" s="50">
        <f t="shared" si="575"/>
        <v>2.406025862068966E-2</v>
      </c>
      <c r="X112" s="49">
        <f t="shared" si="938"/>
        <v>4.8599999999999994</v>
      </c>
      <c r="Y112" s="49">
        <f t="shared" ref="Y112" si="946">IF(U112="Q",3*T112,IF(U112="Y",12*T112,IF(U112="B",6*T112,IF(U112="M",T112,0))))</f>
        <v>0.20932425000000005</v>
      </c>
      <c r="Z112" s="860">
        <f t="shared" si="939"/>
        <v>0</v>
      </c>
      <c r="AA112" s="860">
        <f t="shared" si="940"/>
        <v>249.0897567901234</v>
      </c>
      <c r="AB112" s="49">
        <f t="shared" si="941"/>
        <v>12616.39618141975</v>
      </c>
      <c r="AC112" s="48">
        <v>1</v>
      </c>
      <c r="AD112" s="47" t="str">
        <f t="shared" si="942"/>
        <v>SJW</v>
      </c>
      <c r="AE112" s="49">
        <f t="shared" si="943"/>
        <v>52.356905000000005</v>
      </c>
      <c r="AF112" s="50" t="e">
        <f t="shared" si="692"/>
        <v>#REF!</v>
      </c>
      <c r="AG112" s="890" t="e">
        <f t="shared" si="910"/>
        <v>#REF!</v>
      </c>
      <c r="AH112" s="207" t="s">
        <v>1204</v>
      </c>
      <c r="AI112" s="240">
        <f t="shared" si="693"/>
        <v>6.2229493223991163E-3</v>
      </c>
      <c r="AJ112" s="11">
        <f t="shared" si="595"/>
        <v>3</v>
      </c>
      <c r="AK112" s="11"/>
      <c r="AL112" s="11">
        <v>1</v>
      </c>
      <c r="AM112" s="11"/>
      <c r="AN112" s="11"/>
      <c r="AO112" s="11"/>
      <c r="AP112" s="11"/>
      <c r="AQ112" s="11" t="str">
        <f>'Update Stock Prices'!Q112</f>
        <v>small</v>
      </c>
      <c r="AR112" s="11"/>
      <c r="AS112" s="11"/>
      <c r="AU112" s="224" t="s">
        <v>833</v>
      </c>
      <c r="AV112" s="20">
        <f>BB119*26</f>
        <v>71507.28</v>
      </c>
      <c r="AW112" s="15" t="e">
        <f t="shared" ref="AW112:AW118" ca="1" si="947">AV112/$AV$128</f>
        <v>#REF!</v>
      </c>
      <c r="AX112" s="19">
        <f t="shared" ref="AX112:AX115" si="948">AV112/12</f>
        <v>5958.94</v>
      </c>
      <c r="AY112" s="186" t="e">
        <f t="shared" ref="AY112:AY118" ca="1" si="949">AW112*$AU$131</f>
        <v>#REF!</v>
      </c>
      <c r="AZ112" s="1435" t="s">
        <v>2029</v>
      </c>
      <c r="BA112" s="221">
        <v>38418</v>
      </c>
      <c r="BB112" s="12">
        <f ca="1">DATEDIF(BA112,A4,"D")</f>
        <v>4354</v>
      </c>
      <c r="BC112" s="553">
        <f ca="1">BB112/365.25</f>
        <v>11.920602327173169</v>
      </c>
      <c r="BD112" s="857">
        <v>0.01</v>
      </c>
      <c r="BE112" s="858">
        <v>0.27100000000000002</v>
      </c>
      <c r="BF112" s="732">
        <f>(1+(BD112+BE112+(BD112*BE112)))/100</f>
        <v>1.2837100000000001E-2</v>
      </c>
      <c r="BG112" s="234">
        <f ca="1">(BF116-BF115)/BC112</f>
        <v>4809.4885163068438</v>
      </c>
      <c r="BH112" s="19"/>
      <c r="BI112" s="221">
        <v>38418</v>
      </c>
      <c r="BJ112" s="46"/>
      <c r="BK112" s="19">
        <v>50103</v>
      </c>
      <c r="BL112" s="183"/>
      <c r="BM112" s="16">
        <v>1</v>
      </c>
      <c r="BN112" s="19">
        <f>BK112/365.25</f>
        <v>137.17453798767968</v>
      </c>
      <c r="BO112" s="591"/>
      <c r="BS112" s="420" t="str">
        <f t="shared" si="715"/>
        <v>SJW</v>
      </c>
      <c r="BT112" s="425">
        <f t="shared" si="716"/>
        <v>1.0337000000000001</v>
      </c>
      <c r="BU112" s="19">
        <f t="shared" si="717"/>
        <v>50.65</v>
      </c>
      <c r="BV112" s="19">
        <f t="shared" si="718"/>
        <v>52.356905000000005</v>
      </c>
      <c r="BW112" s="539">
        <f t="shared" si="719"/>
        <v>0.81</v>
      </c>
      <c r="BX112" s="19">
        <f t="shared" si="720"/>
        <v>0.83729700000000007</v>
      </c>
      <c r="BY112" s="10">
        <f t="shared" si="721"/>
        <v>1.6531036525172755E-2</v>
      </c>
      <c r="BZ112" s="10">
        <f t="shared" si="722"/>
        <v>1.0502310365251728</v>
      </c>
      <c r="CA112" s="539">
        <f t="shared" si="723"/>
        <v>53.194202000000004</v>
      </c>
      <c r="CB112" s="19">
        <f t="shared" si="724"/>
        <v>0.85068713958539</v>
      </c>
      <c r="CC112" s="10">
        <f t="shared" si="725"/>
        <v>1.6795402558447976E-2</v>
      </c>
      <c r="CD112" s="10">
        <f t="shared" si="726"/>
        <v>1.0670264390836208</v>
      </c>
      <c r="CE112" s="539">
        <f t="shared" si="727"/>
        <v>54.044889139585393</v>
      </c>
      <c r="CF112" s="19">
        <f t="shared" si="728"/>
        <v>0.86429141565773293</v>
      </c>
      <c r="CG112" s="10">
        <f t="shared" si="729"/>
        <v>1.7063996360468566E-2</v>
      </c>
      <c r="CH112" s="10">
        <f t="shared" si="730"/>
        <v>1.0840904354440895</v>
      </c>
      <c r="CI112" s="539">
        <f t="shared" si="731"/>
        <v>54.909180555243132</v>
      </c>
      <c r="CJ112" s="19">
        <f t="shared" si="732"/>
        <v>0.87811325270971252</v>
      </c>
      <c r="CK112" s="10">
        <f t="shared" si="733"/>
        <v>1.7336885542146348E-2</v>
      </c>
      <c r="CL112" s="10">
        <f t="shared" si="734"/>
        <v>1.1014273209862357</v>
      </c>
      <c r="CM112" s="539">
        <f t="shared" si="735"/>
        <v>55.787293807952842</v>
      </c>
      <c r="CN112" s="19">
        <f t="shared" si="736"/>
        <v>0.89215612999885097</v>
      </c>
      <c r="CO112" s="10">
        <f t="shared" si="737"/>
        <v>1.7614138795633779E-2</v>
      </c>
      <c r="CP112" s="10">
        <f t="shared" si="738"/>
        <v>1.1190414597818694</v>
      </c>
      <c r="CQ112" s="539">
        <f t="shared" si="739"/>
        <v>56.679449937951688</v>
      </c>
      <c r="CR112" s="19">
        <f t="shared" si="740"/>
        <v>0.90642358242331433</v>
      </c>
      <c r="CS112" s="10">
        <f t="shared" si="741"/>
        <v>1.7895825911615287E-2</v>
      </c>
      <c r="CT112" s="10">
        <f t="shared" si="742"/>
        <v>1.1369372856934847</v>
      </c>
      <c r="CU112" s="539">
        <f t="shared" si="743"/>
        <v>57.585873520375003</v>
      </c>
      <c r="CV112" s="19">
        <f t="shared" si="744"/>
        <v>0.92091920141172268</v>
      </c>
      <c r="CW112" s="10">
        <f t="shared" si="745"/>
        <v>1.8182017796875078E-2</v>
      </c>
      <c r="CX112" s="10">
        <f t="shared" si="746"/>
        <v>1.1551193034903597</v>
      </c>
      <c r="CY112" s="539">
        <f t="shared" si="747"/>
        <v>58.506792721786717</v>
      </c>
      <c r="CZ112" s="19">
        <f t="shared" si="748"/>
        <v>0.93564663582719143</v>
      </c>
      <c r="DA112" s="10">
        <f t="shared" si="749"/>
        <v>1.8472786492145933E-2</v>
      </c>
      <c r="DB112" s="10">
        <f t="shared" si="750"/>
        <v>1.1735920899825056</v>
      </c>
      <c r="DC112" s="539">
        <f t="shared" si="751"/>
        <v>59.442439357613907</v>
      </c>
      <c r="DD112" s="19">
        <f t="shared" si="752"/>
        <v>0.95060959288582958</v>
      </c>
      <c r="DE112" s="10">
        <f t="shared" si="753"/>
        <v>1.8768205190243428E-2</v>
      </c>
      <c r="DF112" s="10">
        <f t="shared" si="754"/>
        <v>1.192360295172749</v>
      </c>
      <c r="DG112" s="539">
        <f t="shared" si="755"/>
        <v>60.393048950499733</v>
      </c>
      <c r="DH112" s="19">
        <f t="shared" si="756"/>
        <v>0.96581183908992674</v>
      </c>
      <c r="DI112" s="10">
        <f t="shared" si="757"/>
        <v>1.9068348254490164E-2</v>
      </c>
      <c r="DJ112" s="10">
        <f t="shared" si="758"/>
        <v>1.2114286434272392</v>
      </c>
      <c r="DK112" s="539">
        <f t="shared" si="759"/>
        <v>61.358860789589663</v>
      </c>
      <c r="DL112" s="19">
        <f t="shared" si="760"/>
        <v>0.98125720117606385</v>
      </c>
      <c r="DM112" s="10">
        <f t="shared" si="761"/>
        <v>1.9373291237434628E-2</v>
      </c>
      <c r="DN112" s="10">
        <f t="shared" si="762"/>
        <v>1.2308019346646739</v>
      </c>
      <c r="DO112" s="539">
        <f t="shared" si="763"/>
        <v>62.340117990765734</v>
      </c>
      <c r="DP112" s="19">
        <f t="shared" si="764"/>
        <v>0.99694956707838589</v>
      </c>
      <c r="DQ112" s="10">
        <f t="shared" si="765"/>
        <v>1.9683110899869415E-2</v>
      </c>
      <c r="DR112" s="10">
        <f t="shared" si="766"/>
        <v>1.2504850455645433</v>
      </c>
      <c r="DS112" s="539">
        <f t="shared" si="767"/>
        <v>63.337067557844115</v>
      </c>
      <c r="DT112" s="19">
        <f t="shared" si="768"/>
        <v>1.0128928869072802</v>
      </c>
      <c r="DU112" s="10">
        <f t="shared" si="769"/>
        <v>1.9997885230153608E-2</v>
      </c>
      <c r="DV112" s="10">
        <f t="shared" si="770"/>
        <v>1.270482930794697</v>
      </c>
      <c r="DW112" s="539">
        <f t="shared" si="771"/>
        <v>64.349960444751403</v>
      </c>
      <c r="DX112" s="19">
        <f t="shared" si="772"/>
        <v>1.0290911739437045</v>
      </c>
      <c r="DY112" s="10">
        <f t="shared" si="773"/>
        <v>2.0317693463844117E-2</v>
      </c>
      <c r="DZ112" s="10">
        <f t="shared" si="774"/>
        <v>1.290800624258541</v>
      </c>
      <c r="EA112" s="539">
        <f t="shared" si="775"/>
        <v>65.379051618695101</v>
      </c>
      <c r="EB112" s="19">
        <f t="shared" si="776"/>
        <v>1.0455485056494183</v>
      </c>
      <c r="EC112" s="10">
        <f t="shared" si="777"/>
        <v>2.0642616103641032E-2</v>
      </c>
      <c r="ED112" s="10">
        <f t="shared" si="778"/>
        <v>1.3114432403621821</v>
      </c>
      <c r="EE112" s="539">
        <f t="shared" si="779"/>
        <v>66.424600124344522</v>
      </c>
      <c r="EF112" s="19">
        <f t="shared" si="780"/>
        <v>1.0622690246933675</v>
      </c>
      <c r="EG112" s="10">
        <f t="shared" si="781"/>
        <v>2.0972734939651877E-2</v>
      </c>
      <c r="EH112" s="10">
        <f t="shared" si="782"/>
        <v>1.3324159753018339</v>
      </c>
      <c r="EI112" s="539">
        <f t="shared" si="783"/>
        <v>67.486869149037886</v>
      </c>
      <c r="EJ112" s="19">
        <f t="shared" si="784"/>
        <v>1.0792569399944856</v>
      </c>
      <c r="EK112" s="10">
        <f t="shared" si="785"/>
        <v>2.1308133069979973E-2</v>
      </c>
      <c r="EL112" s="10">
        <f t="shared" si="786"/>
        <v>1.3537241083718139</v>
      </c>
      <c r="EM112" s="539">
        <f t="shared" si="787"/>
        <v>68.566126089032366</v>
      </c>
      <c r="EN112" s="19">
        <f t="shared" si="788"/>
        <v>1.0965165277811693</v>
      </c>
      <c r="EO112" s="10">
        <f t="shared" si="789"/>
        <v>2.1648894921642039E-2</v>
      </c>
      <c r="EP112" s="10">
        <f t="shared" si="790"/>
        <v>1.3753730032934559</v>
      </c>
      <c r="EQ112" s="539">
        <f t="shared" si="791"/>
        <v>69.662642616813542</v>
      </c>
      <c r="ER112" s="19">
        <f t="shared" si="792"/>
        <v>1.1140521326676993</v>
      </c>
      <c r="ES112" s="10">
        <f t="shared" si="793"/>
        <v>2.1995106271820324E-2</v>
      </c>
      <c r="ET112" s="10">
        <f t="shared" si="794"/>
        <v>1.3973681095652761</v>
      </c>
      <c r="EU112" s="539">
        <f t="shared" si="795"/>
        <v>70.776694749481237</v>
      </c>
      <c r="EV112" s="19">
        <f t="shared" si="796"/>
        <v>1.1318681687478738</v>
      </c>
      <c r="EW112" s="10">
        <f t="shared" si="797"/>
        <v>2.2346854269454566E-2</v>
      </c>
      <c r="EX112" s="10">
        <f t="shared" si="798"/>
        <v>1.4197149638347306</v>
      </c>
      <c r="EY112" s="539">
        <f t="shared" si="799"/>
        <v>71.908562918229109</v>
      </c>
      <c r="EZ112" s="19">
        <f t="shared" si="800"/>
        <v>1.1499691207061318</v>
      </c>
      <c r="FA112" s="10">
        <f t="shared" si="801"/>
        <v>2.2704227457179305E-2</v>
      </c>
      <c r="FB112" s="10">
        <f t="shared" si="802"/>
        <v>1.44241919129191</v>
      </c>
      <c r="FC112" s="539">
        <f t="shared" si="803"/>
        <v>73.05853203893524</v>
      </c>
      <c r="FD112" s="19">
        <f t="shared" si="804"/>
        <v>1.1683595449464472</v>
      </c>
      <c r="FE112" s="10">
        <f t="shared" si="805"/>
        <v>2.306731579361199E-2</v>
      </c>
      <c r="FF112" s="10">
        <f t="shared" si="806"/>
        <v>1.4654865070855221</v>
      </c>
      <c r="FG112" s="539">
        <f t="shared" si="807"/>
        <v>74.226891583881695</v>
      </c>
      <c r="FH112" s="19">
        <f t="shared" si="808"/>
        <v>1.1870440707392729</v>
      </c>
      <c r="FI112" s="10">
        <f t="shared" si="809"/>
        <v>2.343621067599749E-2</v>
      </c>
      <c r="FJ112" s="10">
        <f t="shared" si="810"/>
        <v>1.4889227177615196</v>
      </c>
      <c r="FK112" s="539">
        <f t="shared" si="811"/>
        <v>75.413935654620971</v>
      </c>
      <c r="FL112" s="19">
        <f t="shared" si="812"/>
        <v>1.2060274013868311</v>
      </c>
      <c r="FM112" s="10">
        <f t="shared" si="813"/>
        <v>2.3811004963214828E-2</v>
      </c>
      <c r="FN112" s="10">
        <f t="shared" si="814"/>
        <v>1.5127337227247344</v>
      </c>
      <c r="FO112" s="539">
        <f t="shared" si="815"/>
        <v>76.619963056007791</v>
      </c>
      <c r="FP112" s="19">
        <f t="shared" si="816"/>
        <v>1.2253143154070349</v>
      </c>
      <c r="FQ112" s="10">
        <f t="shared" si="817"/>
        <v>2.4191792999151727E-2</v>
      </c>
      <c r="FR112" s="10">
        <f t="shared" si="818"/>
        <v>1.5369255157238861</v>
      </c>
      <c r="FS112" s="539">
        <f t="shared" si="819"/>
        <v>77.845277371414824</v>
      </c>
      <c r="FT112" s="19">
        <f t="shared" si="820"/>
        <v>1.2449096677363478</v>
      </c>
      <c r="FU112" s="10">
        <f t="shared" si="821"/>
        <v>2.4578670636453068E-2</v>
      </c>
      <c r="FV112" s="10">
        <f t="shared" si="822"/>
        <v>1.5615041863603392</v>
      </c>
      <c r="FW112" s="539">
        <f t="shared" si="823"/>
        <v>79.090187039151175</v>
      </c>
      <c r="FX112" s="19">
        <f t="shared" si="824"/>
        <v>1.2648183909518749</v>
      </c>
      <c r="FY112" s="10">
        <f t="shared" si="825"/>
        <v>2.497173526064906E-2</v>
      </c>
      <c r="FZ112" s="10">
        <f t="shared" si="826"/>
        <v>1.5864759216209883</v>
      </c>
      <c r="GA112" s="539">
        <f t="shared" si="827"/>
        <v>80.355005430103049</v>
      </c>
      <c r="GB112" s="19">
        <f t="shared" si="828"/>
        <v>1.2850454965130005</v>
      </c>
      <c r="GC112" s="10">
        <f t="shared" si="829"/>
        <v>2.5371085814669309E-2</v>
      </c>
      <c r="GD112" s="10">
        <f t="shared" si="830"/>
        <v>1.6118470074356577</v>
      </c>
      <c r="GE112" s="539">
        <f t="shared" si="831"/>
        <v>81.640050926616055</v>
      </c>
      <c r="GF112" s="19">
        <f t="shared" si="832"/>
        <v>1.3055960760228829</v>
      </c>
      <c r="GG112" s="10">
        <f t="shared" si="833"/>
        <v>2.5776822823748921E-2</v>
      </c>
      <c r="GH112" s="10">
        <f t="shared" si="834"/>
        <v>1.6376238302594066</v>
      </c>
      <c r="GI112" s="539">
        <f t="shared" si="835"/>
        <v>82.945647002638935</v>
      </c>
      <c r="GJ112" s="19">
        <f t="shared" si="836"/>
        <v>1.3264753025101195</v>
      </c>
      <c r="GK112" s="10">
        <f t="shared" si="837"/>
        <v>2.6189048420732861E-2</v>
      </c>
      <c r="GL112" s="10">
        <f t="shared" si="838"/>
        <v>1.6638128786801394</v>
      </c>
      <c r="GM112" s="539">
        <f t="shared" si="839"/>
        <v>84.272122305149054</v>
      </c>
      <c r="GN112" s="19">
        <f t="shared" si="840"/>
        <v>1.347688431730913</v>
      </c>
      <c r="GO112" s="10">
        <f t="shared" si="841"/>
        <v>2.6607866371785055E-2</v>
      </c>
      <c r="GP112" s="10">
        <f t="shared" si="842"/>
        <v>1.6904207450519244</v>
      </c>
      <c r="GQ112" s="539">
        <f t="shared" si="843"/>
        <v>85.61981073687997</v>
      </c>
      <c r="GR112" s="19">
        <f t="shared" si="844"/>
        <v>1.3692408034920589</v>
      </c>
      <c r="GS112" s="10">
        <f t="shared" si="845"/>
        <v>2.7033382102508566E-2</v>
      </c>
      <c r="GT112" s="10">
        <f t="shared" si="846"/>
        <v>1.717454127154433</v>
      </c>
      <c r="GU112" s="539">
        <f t="shared" si="847"/>
        <v>86.989051540372031</v>
      </c>
      <c r="GV112" s="19">
        <f t="shared" si="848"/>
        <v>1.3911378429950909</v>
      </c>
      <c r="GW112" s="10">
        <f t="shared" si="849"/>
        <v>2.7465702724483534E-2</v>
      </c>
      <c r="GX112" s="10">
        <f t="shared" si="850"/>
        <v>1.7449198298789166</v>
      </c>
      <c r="GY112" s="539">
        <f t="shared" si="851"/>
        <v>88.380189383367124</v>
      </c>
      <c r="GZ112" s="19">
        <f t="shared" si="852"/>
        <v>1.4133850622019226</v>
      </c>
      <c r="HA112" s="10">
        <f t="shared" si="853"/>
        <v>2.7904937062229469E-2</v>
      </c>
      <c r="HB112" s="10">
        <f t="shared" si="854"/>
        <v>1.7728247669411461</v>
      </c>
      <c r="HC112" s="539">
        <f t="shared" si="855"/>
        <v>89.79357444556905</v>
      </c>
      <c r="HD112" s="19">
        <f t="shared" si="856"/>
        <v>1.4359880612223284</v>
      </c>
      <c r="HE112" s="10">
        <f t="shared" si="857"/>
        <v>2.8351195680598785E-2</v>
      </c>
      <c r="HF112" s="10">
        <f t="shared" si="858"/>
        <v>1.801175962621745</v>
      </c>
      <c r="HG112" s="539">
        <f t="shared" si="859"/>
        <v>91.229562506791382</v>
      </c>
      <c r="HH112" s="19">
        <f t="shared" si="860"/>
        <v>1.4589525297236134</v>
      </c>
      <c r="HI112" s="10">
        <f t="shared" si="861"/>
        <v>2.8804590912608362E-2</v>
      </c>
      <c r="HJ112" s="10">
        <f t="shared" si="862"/>
        <v>1.8299805535343534</v>
      </c>
      <c r="HK112" s="539">
        <f t="shared" si="863"/>
        <v>92.688515036515</v>
      </c>
      <c r="HL112" s="19">
        <f t="shared" si="864"/>
        <v>1.4822842483628265</v>
      </c>
      <c r="HM112" s="10">
        <f t="shared" si="865"/>
        <v>2.926523688771622E-2</v>
      </c>
      <c r="HN112" s="10">
        <f t="shared" si="866"/>
        <v>1.8592457904220696</v>
      </c>
      <c r="HO112" s="539">
        <f t="shared" si="867"/>
        <v>94.170799284877816</v>
      </c>
      <c r="HP112" s="19">
        <f t="shared" si="868"/>
        <v>1.5059890902418764</v>
      </c>
      <c r="HQ112" s="10">
        <f t="shared" si="869"/>
        <v>2.9733249560550373E-2</v>
      </c>
      <c r="HR112" s="10">
        <f t="shared" si="870"/>
        <v>1.8889790399826201</v>
      </c>
      <c r="HS112" s="539">
        <f t="shared" si="871"/>
        <v>95.676788375119699</v>
      </c>
      <c r="HT112" s="19">
        <f t="shared" si="872"/>
        <v>1.5300730223859225</v>
      </c>
      <c r="HU112" s="10">
        <f t="shared" si="873"/>
        <v>3.0208746740097187E-2</v>
      </c>
      <c r="HV112" s="10">
        <f t="shared" si="874"/>
        <v>1.9191877867227172</v>
      </c>
      <c r="HW112" s="539">
        <f t="shared" si="875"/>
        <v>97.206861397505619</v>
      </c>
      <c r="HX112" s="19">
        <f t="shared" si="876"/>
        <v>1.5545421072454011</v>
      </c>
      <c r="HY112" s="10">
        <f t="shared" si="877"/>
        <v>3.069184811935639E-2</v>
      </c>
      <c r="HZ112" s="10">
        <f t="shared" si="878"/>
        <v>1.9498796348420735</v>
      </c>
      <c r="IA112" s="539">
        <f t="shared" si="879"/>
        <v>98.761403504751016</v>
      </c>
      <c r="IB112" s="19">
        <f t="shared" si="880"/>
        <v>1.5794025042220796</v>
      </c>
      <c r="IM112" s="11"/>
      <c r="IN112" s="19"/>
      <c r="IO112" s="20"/>
      <c r="IP112" s="10"/>
    </row>
    <row r="113" spans="1:250" ht="13.5" thickBot="1">
      <c r="A113" s="11"/>
      <c r="B113" s="20"/>
      <c r="C113" s="826" t="s">
        <v>2341</v>
      </c>
      <c r="D113" s="47" t="s">
        <v>690</v>
      </c>
      <c r="E113" s="396">
        <f t="shared" si="931"/>
        <v>16.027200000000001</v>
      </c>
      <c r="F113" s="242">
        <v>2.0272000000000001</v>
      </c>
      <c r="G113" s="48">
        <f>'Update Stock Prices'!S113</f>
        <v>441242683.47591174</v>
      </c>
      <c r="H113" s="991">
        <f t="shared" si="610"/>
        <v>4.5942971428571433E-9</v>
      </c>
      <c r="I113" s="49">
        <f>'Update Stock Prices'!D113</f>
        <v>22.21</v>
      </c>
      <c r="J113" s="49">
        <f t="shared" si="404"/>
        <v>45.024112000000002</v>
      </c>
      <c r="K113" s="30">
        <v>54.86</v>
      </c>
      <c r="L113" s="49">
        <f t="shared" si="611"/>
        <v>-9.8358879999999971</v>
      </c>
      <c r="M113" s="50">
        <f t="shared" si="613"/>
        <v>-0.17929070360918697</v>
      </c>
      <c r="N113" s="49">
        <f t="shared" si="612"/>
        <v>27.061957379636937</v>
      </c>
      <c r="O113" s="48">
        <f t="shared" si="932"/>
        <v>14</v>
      </c>
      <c r="P113" s="49">
        <f t="shared" si="933"/>
        <v>10.069999999999993</v>
      </c>
      <c r="Q113" s="30">
        <f>0.05*4</f>
        <v>0.2</v>
      </c>
      <c r="R113" s="49">
        <f t="shared" ref="R113" si="950">S113/365.25</f>
        <v>1.1100342231348391E-3</v>
      </c>
      <c r="S113" s="49">
        <f t="shared" si="935"/>
        <v>0.40544000000000002</v>
      </c>
      <c r="T113" s="49">
        <f t="shared" ref="T113" si="951">S113/12</f>
        <v>3.3786666666666666E-2</v>
      </c>
      <c r="U113" s="49" t="s">
        <v>54</v>
      </c>
      <c r="V113" s="50">
        <f t="shared" si="937"/>
        <v>9.0049527239982E-3</v>
      </c>
      <c r="W113" s="50">
        <f t="shared" si="575"/>
        <v>7.3904484141450967E-3</v>
      </c>
      <c r="X113" s="49">
        <f t="shared" ref="X113:X118" si="952">12*((E113*Q113)/12-T113)</f>
        <v>2.8000000000000003</v>
      </c>
      <c r="Y113" s="49">
        <f t="shared" si="654"/>
        <v>0.10136000000000001</v>
      </c>
      <c r="Z113" s="860">
        <f t="shared" si="939"/>
        <v>0</v>
      </c>
      <c r="AA113" s="860">
        <f t="shared" si="940"/>
        <v>442.1728</v>
      </c>
      <c r="AB113" s="49">
        <f t="shared" si="941"/>
        <v>9820.6578879999997</v>
      </c>
      <c r="AC113" s="48">
        <v>1</v>
      </c>
      <c r="AD113" s="47" t="str">
        <f t="shared" si="942"/>
        <v>SLW</v>
      </c>
      <c r="AE113" s="49">
        <f t="shared" si="943"/>
        <v>45.024112000000002</v>
      </c>
      <c r="AF113" s="50" t="e">
        <f t="shared" si="692"/>
        <v>#REF!</v>
      </c>
      <c r="AG113" s="890" t="e">
        <f t="shared" si="910"/>
        <v>#REF!</v>
      </c>
      <c r="AH113" s="207" t="s">
        <v>2188</v>
      </c>
      <c r="AI113" s="240">
        <f t="shared" si="693"/>
        <v>4.6019155483335693E-3</v>
      </c>
      <c r="AJ113" s="11">
        <f t="shared" si="595"/>
        <v>3</v>
      </c>
      <c r="AK113" s="11"/>
      <c r="AL113" s="11"/>
      <c r="AM113" s="11"/>
      <c r="AN113" s="11"/>
      <c r="AO113" s="11"/>
      <c r="AP113" s="11"/>
      <c r="AQ113" s="11" t="str">
        <f>'Update Stock Prices'!Q113</f>
        <v>mid</v>
      </c>
      <c r="AR113" s="11"/>
      <c r="AS113" s="11">
        <v>1</v>
      </c>
      <c r="AT113" s="183">
        <f>AV113/AV77</f>
        <v>3.8966020576959304E-2</v>
      </c>
      <c r="AU113" s="224" t="s">
        <v>1804</v>
      </c>
      <c r="AV113" s="19">
        <f>T167</f>
        <v>2586.1987018360664</v>
      </c>
      <c r="AW113" s="15" t="e">
        <f t="shared" ca="1" si="947"/>
        <v>#REF!</v>
      </c>
      <c r="AX113" s="19">
        <f>AV113/12</f>
        <v>215.51655848633888</v>
      </c>
      <c r="AY113" s="186" t="e">
        <f t="shared" ca="1" si="949"/>
        <v>#REF!</v>
      </c>
      <c r="AZ113" s="847" t="e">
        <f t="shared" ref="AZ113:AZ127" ca="1" si="953">AY113/$AY$112</f>
        <v>#REF!</v>
      </c>
      <c r="BA113" s="224"/>
      <c r="BC113" s="533"/>
      <c r="BD113" s="593"/>
      <c r="BE113" s="74"/>
      <c r="BF113" s="74"/>
      <c r="BG113" s="236"/>
      <c r="BH113" s="19"/>
      <c r="BI113" s="221">
        <v>38725</v>
      </c>
      <c r="BJ113" s="46"/>
      <c r="BK113" s="19">
        <v>51155</v>
      </c>
      <c r="BL113" s="183">
        <f>BK113/BK112-1</f>
        <v>2.0996746701794411E-2</v>
      </c>
      <c r="BM113" s="16">
        <f t="shared" ref="BM113:BM133" si="954">BK113/$BK$112</f>
        <v>1.0209967467017944</v>
      </c>
      <c r="BN113" s="19">
        <f t="shared" ref="BN113:BN133" si="955">BK113/365.25</f>
        <v>140.05475701574264</v>
      </c>
      <c r="BO113" s="938" t="str">
        <f t="shared" ref="BO113:BO133" si="956">IF(BK113&gt;=2*$BK$112,"doubled!","")</f>
        <v/>
      </c>
      <c r="BS113" s="420" t="str">
        <f t="shared" si="715"/>
        <v>SLW</v>
      </c>
      <c r="BT113" s="425">
        <f t="shared" si="716"/>
        <v>2.0272000000000001</v>
      </c>
      <c r="BU113" s="19">
        <f t="shared" si="717"/>
        <v>22.21</v>
      </c>
      <c r="BV113" s="19">
        <f t="shared" si="718"/>
        <v>45.024112000000002</v>
      </c>
      <c r="BW113" s="539">
        <f t="shared" si="719"/>
        <v>0.2</v>
      </c>
      <c r="BX113" s="19">
        <f t="shared" si="720"/>
        <v>0.40544000000000002</v>
      </c>
      <c r="BY113" s="10">
        <f t="shared" si="721"/>
        <v>1.8254840162089149E-2</v>
      </c>
      <c r="BZ113" s="10">
        <f t="shared" si="722"/>
        <v>2.0454548401620891</v>
      </c>
      <c r="CA113" s="539">
        <f t="shared" si="723"/>
        <v>45.429552000000001</v>
      </c>
      <c r="CB113" s="19">
        <f t="shared" si="724"/>
        <v>0.40909096803241785</v>
      </c>
      <c r="CC113" s="10">
        <f t="shared" si="725"/>
        <v>1.8419224134732907E-2</v>
      </c>
      <c r="CD113" s="10">
        <f t="shared" si="726"/>
        <v>2.0638740642968219</v>
      </c>
      <c r="CE113" s="539">
        <f t="shared" si="727"/>
        <v>45.838642968032417</v>
      </c>
      <c r="CF113" s="19">
        <f t="shared" si="728"/>
        <v>0.4127748128593644</v>
      </c>
      <c r="CG113" s="10">
        <f t="shared" si="729"/>
        <v>1.8585088377278902E-2</v>
      </c>
      <c r="CH113" s="10">
        <f t="shared" si="730"/>
        <v>2.082459152674101</v>
      </c>
      <c r="CI113" s="539">
        <f t="shared" si="731"/>
        <v>46.251417780891785</v>
      </c>
      <c r="CJ113" s="19">
        <f t="shared" si="732"/>
        <v>0.4164918305348202</v>
      </c>
      <c r="CK113" s="10">
        <f t="shared" si="733"/>
        <v>1.8752446219487625E-2</v>
      </c>
      <c r="CL113" s="10">
        <f t="shared" si="734"/>
        <v>2.1012115988935887</v>
      </c>
      <c r="CM113" s="539">
        <f t="shared" si="735"/>
        <v>46.667909611426609</v>
      </c>
      <c r="CN113" s="19">
        <f t="shared" si="736"/>
        <v>0.42024231977871773</v>
      </c>
      <c r="CO113" s="10">
        <f t="shared" si="737"/>
        <v>1.892131111115343E-2</v>
      </c>
      <c r="CP113" s="10">
        <f t="shared" si="738"/>
        <v>2.1201329100047421</v>
      </c>
      <c r="CQ113" s="539">
        <f t="shared" si="739"/>
        <v>47.088151931205324</v>
      </c>
      <c r="CR113" s="19">
        <f t="shared" si="740"/>
        <v>0.42402658200094845</v>
      </c>
      <c r="CS113" s="10">
        <f t="shared" si="741"/>
        <v>1.9091696623185432E-2</v>
      </c>
      <c r="CT113" s="10">
        <f t="shared" si="742"/>
        <v>2.1392246066279275</v>
      </c>
      <c r="CU113" s="539">
        <f t="shared" si="743"/>
        <v>47.512178513206273</v>
      </c>
      <c r="CV113" s="19">
        <f t="shared" si="744"/>
        <v>0.42784492132558549</v>
      </c>
      <c r="CW113" s="10">
        <f t="shared" si="745"/>
        <v>1.9263616448698132E-2</v>
      </c>
      <c r="CX113" s="10">
        <f t="shared" si="746"/>
        <v>2.1584882230766258</v>
      </c>
      <c r="CY113" s="539">
        <f t="shared" si="747"/>
        <v>47.940023434531859</v>
      </c>
      <c r="CZ113" s="19">
        <f t="shared" si="748"/>
        <v>0.43169764461532517</v>
      </c>
      <c r="DA113" s="10">
        <f t="shared" si="749"/>
        <v>1.9437084404111894E-2</v>
      </c>
      <c r="DB113" s="10">
        <f t="shared" si="750"/>
        <v>2.1779253074807379</v>
      </c>
      <c r="DC113" s="539">
        <f t="shared" si="751"/>
        <v>48.371721079147193</v>
      </c>
      <c r="DD113" s="19">
        <f t="shared" si="752"/>
        <v>0.43558506149614762</v>
      </c>
      <c r="DE113" s="10">
        <f t="shared" si="753"/>
        <v>1.9612114430263287E-2</v>
      </c>
      <c r="DF113" s="10">
        <f t="shared" si="754"/>
        <v>2.1975374219110013</v>
      </c>
      <c r="DG113" s="539">
        <f t="shared" si="755"/>
        <v>48.807306140643341</v>
      </c>
      <c r="DH113" s="19">
        <f t="shared" si="756"/>
        <v>0.43950748438220028</v>
      </c>
      <c r="DI113" s="10">
        <f t="shared" si="757"/>
        <v>1.978872059352545E-2</v>
      </c>
      <c r="DJ113" s="10">
        <f t="shared" si="758"/>
        <v>2.2173261425045268</v>
      </c>
      <c r="DK113" s="539">
        <f t="shared" si="759"/>
        <v>49.246813625025538</v>
      </c>
      <c r="DL113" s="19">
        <f t="shared" si="760"/>
        <v>0.44346522850090536</v>
      </c>
      <c r="DM113" s="10">
        <f t="shared" si="761"/>
        <v>1.9966917086938558E-2</v>
      </c>
      <c r="DN113" s="10">
        <f t="shared" si="762"/>
        <v>2.2372930595914653</v>
      </c>
      <c r="DO113" s="539">
        <f t="shared" si="763"/>
        <v>49.690278853526443</v>
      </c>
      <c r="DP113" s="19">
        <f t="shared" si="764"/>
        <v>0.44745861191829306</v>
      </c>
      <c r="DQ113" s="10">
        <f t="shared" si="765"/>
        <v>2.0146718231350429E-2</v>
      </c>
      <c r="DR113" s="10">
        <f t="shared" si="766"/>
        <v>2.2574397778228157</v>
      </c>
      <c r="DS113" s="539">
        <f t="shared" si="767"/>
        <v>50.137737465444737</v>
      </c>
      <c r="DT113" s="19">
        <f t="shared" si="768"/>
        <v>0.45148795556456317</v>
      </c>
      <c r="DU113" s="10">
        <f t="shared" si="769"/>
        <v>2.0328138476567455E-2</v>
      </c>
      <c r="DV113" s="10">
        <f t="shared" si="770"/>
        <v>2.2777679162993834</v>
      </c>
      <c r="DW113" s="539">
        <f t="shared" si="771"/>
        <v>50.589225421009303</v>
      </c>
      <c r="DX113" s="19">
        <f t="shared" si="772"/>
        <v>0.45555358325987672</v>
      </c>
      <c r="DY113" s="10">
        <f t="shared" si="773"/>
        <v>2.0511192402515834E-2</v>
      </c>
      <c r="DZ113" s="10">
        <f t="shared" si="774"/>
        <v>2.298279108701899</v>
      </c>
      <c r="EA113" s="539">
        <f t="shared" si="775"/>
        <v>51.044779004269181</v>
      </c>
      <c r="EB113" s="19">
        <f t="shared" si="776"/>
        <v>0.45965582174037983</v>
      </c>
      <c r="EC113" s="10">
        <f t="shared" si="777"/>
        <v>2.0695894720413319E-2</v>
      </c>
      <c r="ED113" s="10">
        <f t="shared" si="778"/>
        <v>2.3189750034223122</v>
      </c>
      <c r="EE113" s="539">
        <f t="shared" si="779"/>
        <v>51.504434826009557</v>
      </c>
      <c r="EF113" s="19">
        <f t="shared" si="780"/>
        <v>0.46379500068446244</v>
      </c>
      <c r="EG113" s="10">
        <f t="shared" si="781"/>
        <v>2.0882260273951483E-2</v>
      </c>
      <c r="EH113" s="10">
        <f t="shared" si="782"/>
        <v>2.3398572636962638</v>
      </c>
      <c r="EI113" s="539">
        <f t="shared" si="783"/>
        <v>51.968229826694021</v>
      </c>
      <c r="EJ113" s="19">
        <f t="shared" si="784"/>
        <v>0.46797145273925278</v>
      </c>
      <c r="EK113" s="10">
        <f t="shared" si="785"/>
        <v>2.1070304040488642E-2</v>
      </c>
      <c r="EL113" s="10">
        <f t="shared" si="786"/>
        <v>2.3609275677367525</v>
      </c>
      <c r="EM113" s="539">
        <f t="shared" si="787"/>
        <v>52.436201279433277</v>
      </c>
      <c r="EN113" s="19">
        <f t="shared" si="788"/>
        <v>0.4721855135473505</v>
      </c>
      <c r="EO113" s="10">
        <f t="shared" si="789"/>
        <v>2.1260041132253511E-2</v>
      </c>
      <c r="EP113" s="10">
        <f t="shared" si="790"/>
        <v>2.3821876088690059</v>
      </c>
      <c r="EQ113" s="539">
        <f t="shared" si="791"/>
        <v>52.908386792980622</v>
      </c>
      <c r="ER113" s="19">
        <f t="shared" si="792"/>
        <v>0.47643752177380122</v>
      </c>
      <c r="ES113" s="10">
        <f t="shared" si="793"/>
        <v>2.1451486797559711E-2</v>
      </c>
      <c r="ET113" s="10">
        <f t="shared" si="794"/>
        <v>2.4036390956665659</v>
      </c>
      <c r="EU113" s="539">
        <f t="shared" si="795"/>
        <v>53.384824314754432</v>
      </c>
      <c r="EV113" s="19">
        <f t="shared" si="796"/>
        <v>0.48072781913331319</v>
      </c>
      <c r="EW113" s="10">
        <f t="shared" si="797"/>
        <v>2.164465642203121E-2</v>
      </c>
      <c r="EX113" s="10">
        <f t="shared" si="798"/>
        <v>2.425283752088597</v>
      </c>
      <c r="EY113" s="539">
        <f t="shared" si="799"/>
        <v>53.865552133887739</v>
      </c>
      <c r="EZ113" s="19">
        <f t="shared" si="800"/>
        <v>0.48505675041771945</v>
      </c>
      <c r="FA113" s="10">
        <f t="shared" si="801"/>
        <v>2.1839565529838786E-2</v>
      </c>
      <c r="FB113" s="10">
        <f t="shared" si="802"/>
        <v>2.4471233176184359</v>
      </c>
      <c r="FC113" s="539">
        <f t="shared" si="803"/>
        <v>54.350608884305466</v>
      </c>
      <c r="FD113" s="19">
        <f t="shared" si="804"/>
        <v>0.48942466352368719</v>
      </c>
      <c r="FE113" s="10">
        <f t="shared" si="805"/>
        <v>2.2036229784947643E-2</v>
      </c>
      <c r="FF113" s="10">
        <f t="shared" si="806"/>
        <v>2.4691595474033834</v>
      </c>
      <c r="FG113" s="539">
        <f t="shared" si="807"/>
        <v>54.840033547829144</v>
      </c>
      <c r="FH113" s="19">
        <f t="shared" si="808"/>
        <v>0.49383190948067668</v>
      </c>
      <c r="FI113" s="10">
        <f t="shared" si="809"/>
        <v>2.2234664992376255E-2</v>
      </c>
      <c r="FJ113" s="10">
        <f t="shared" si="810"/>
        <v>2.4913942123957598</v>
      </c>
      <c r="FK113" s="539">
        <f t="shared" si="811"/>
        <v>55.333865457309827</v>
      </c>
      <c r="FL113" s="19">
        <f t="shared" si="812"/>
        <v>0.498278842479152</v>
      </c>
      <c r="FM113" s="10">
        <f t="shared" si="813"/>
        <v>2.2434887099466547E-2</v>
      </c>
      <c r="FN113" s="10">
        <f t="shared" si="814"/>
        <v>2.5138290994952261</v>
      </c>
      <c r="FO113" s="539">
        <f t="shared" si="815"/>
        <v>55.832144299788972</v>
      </c>
      <c r="FP113" s="19">
        <f t="shared" si="816"/>
        <v>0.50276581989904523</v>
      </c>
      <c r="FQ113" s="10">
        <f t="shared" si="817"/>
        <v>2.2636912197165477E-2</v>
      </c>
      <c r="FR113" s="10">
        <f t="shared" si="818"/>
        <v>2.5364660116923918</v>
      </c>
      <c r="FS113" s="539">
        <f t="shared" si="819"/>
        <v>56.334910119688026</v>
      </c>
      <c r="FT113" s="19">
        <f t="shared" si="820"/>
        <v>0.50729320233847841</v>
      </c>
      <c r="FU113" s="10">
        <f t="shared" si="821"/>
        <v>2.2840756521318253E-2</v>
      </c>
      <c r="FV113" s="10">
        <f t="shared" si="822"/>
        <v>2.5593067682137103</v>
      </c>
      <c r="FW113" s="539">
        <f t="shared" si="823"/>
        <v>56.842203322026506</v>
      </c>
      <c r="FX113" s="19">
        <f t="shared" si="824"/>
        <v>0.5118613536427421</v>
      </c>
      <c r="FY113" s="10">
        <f t="shared" si="825"/>
        <v>2.3046436453973078E-2</v>
      </c>
      <c r="FZ113" s="10">
        <f t="shared" si="826"/>
        <v>2.5823532046676831</v>
      </c>
      <c r="GA113" s="539">
        <f t="shared" si="827"/>
        <v>57.354064675669242</v>
      </c>
      <c r="GB113" s="19">
        <f t="shared" si="828"/>
        <v>0.51647064093353667</v>
      </c>
      <c r="GC113" s="10">
        <f t="shared" si="829"/>
        <v>2.3253968524697733E-2</v>
      </c>
      <c r="GD113" s="10">
        <f t="shared" si="830"/>
        <v>2.6056071731923809</v>
      </c>
      <c r="GE113" s="539">
        <f t="shared" si="831"/>
        <v>57.870535316602783</v>
      </c>
      <c r="GF113" s="19">
        <f t="shared" si="832"/>
        <v>0.52112143463847616</v>
      </c>
      <c r="GG113" s="10">
        <f t="shared" si="833"/>
        <v>2.3463369411907974E-2</v>
      </c>
      <c r="GH113" s="10">
        <f t="shared" si="834"/>
        <v>2.6290705426042891</v>
      </c>
      <c r="GI113" s="539">
        <f t="shared" si="835"/>
        <v>58.391656751241264</v>
      </c>
      <c r="GJ113" s="19">
        <f t="shared" si="836"/>
        <v>0.52581410852085786</v>
      </c>
      <c r="GK113" s="10">
        <f t="shared" si="837"/>
        <v>2.3674655944207916E-2</v>
      </c>
      <c r="GL113" s="10">
        <f t="shared" si="838"/>
        <v>2.6527451985484971</v>
      </c>
      <c r="GM113" s="539">
        <f t="shared" si="839"/>
        <v>58.917470859762126</v>
      </c>
      <c r="GN113" s="19">
        <f t="shared" si="840"/>
        <v>0.53054903970969947</v>
      </c>
      <c r="GO113" s="10">
        <f t="shared" si="841"/>
        <v>2.3887845101742432E-2</v>
      </c>
      <c r="GP113" s="10">
        <f t="shared" si="842"/>
        <v>2.6766330436502397</v>
      </c>
      <c r="GQ113" s="539">
        <f t="shared" si="843"/>
        <v>59.448019899471824</v>
      </c>
      <c r="GR113" s="19">
        <f t="shared" si="844"/>
        <v>0.535326608730048</v>
      </c>
      <c r="GS113" s="10">
        <f t="shared" si="845"/>
        <v>2.4102954017561819E-2</v>
      </c>
      <c r="GT113" s="10">
        <f t="shared" si="846"/>
        <v>2.7007359976678016</v>
      </c>
      <c r="GU113" s="539">
        <f t="shared" si="847"/>
        <v>59.983346508201876</v>
      </c>
      <c r="GV113" s="19">
        <f t="shared" si="848"/>
        <v>0.54014719953356038</v>
      </c>
      <c r="GW113" s="10">
        <f t="shared" si="849"/>
        <v>2.4319999978998665E-2</v>
      </c>
      <c r="GX113" s="10">
        <f t="shared" si="850"/>
        <v>2.7250559976468001</v>
      </c>
      <c r="GY113" s="539">
        <f t="shared" si="851"/>
        <v>60.523493707735433</v>
      </c>
      <c r="GZ113" s="19">
        <f t="shared" si="852"/>
        <v>0.54501119952936006</v>
      </c>
      <c r="HA113" s="10">
        <f t="shared" si="853"/>
        <v>2.4539000429057184E-2</v>
      </c>
      <c r="HB113" s="10">
        <f t="shared" si="854"/>
        <v>2.7495949980758572</v>
      </c>
      <c r="HC113" s="539">
        <f t="shared" si="855"/>
        <v>61.068504907264789</v>
      </c>
      <c r="HD113" s="19">
        <f t="shared" si="856"/>
        <v>0.54991899961517143</v>
      </c>
      <c r="HE113" s="10">
        <f t="shared" si="857"/>
        <v>2.475997296781501E-2</v>
      </c>
      <c r="HF113" s="10">
        <f t="shared" si="858"/>
        <v>2.7743549710436723</v>
      </c>
      <c r="HG113" s="539">
        <f t="shared" si="859"/>
        <v>61.618423906879968</v>
      </c>
      <c r="HH113" s="19">
        <f t="shared" si="860"/>
        <v>0.55487099420873454</v>
      </c>
      <c r="HI113" s="10">
        <f t="shared" si="861"/>
        <v>2.4982935353837665E-2</v>
      </c>
      <c r="HJ113" s="10">
        <f t="shared" si="862"/>
        <v>2.7993379063975099</v>
      </c>
      <c r="HK113" s="539">
        <f t="shared" si="863"/>
        <v>62.173294901088695</v>
      </c>
      <c r="HL113" s="19">
        <f t="shared" si="864"/>
        <v>0.55986758127950198</v>
      </c>
      <c r="HM113" s="10">
        <f t="shared" si="865"/>
        <v>2.5207905505605671E-2</v>
      </c>
      <c r="HN113" s="10">
        <f t="shared" si="866"/>
        <v>2.8245458119031155</v>
      </c>
      <c r="HO113" s="539">
        <f t="shared" si="867"/>
        <v>62.733162482368201</v>
      </c>
      <c r="HP113" s="19">
        <f t="shared" si="868"/>
        <v>0.56490916238062316</v>
      </c>
      <c r="HQ113" s="10">
        <f t="shared" si="869"/>
        <v>2.5434901502954667E-2</v>
      </c>
      <c r="HR113" s="10">
        <f t="shared" si="870"/>
        <v>2.8499807134060702</v>
      </c>
      <c r="HS113" s="539">
        <f t="shared" si="871"/>
        <v>63.298071644748823</v>
      </c>
      <c r="HT113" s="19">
        <f t="shared" si="872"/>
        <v>0.56999614268121401</v>
      </c>
      <c r="HU113" s="10">
        <f t="shared" si="873"/>
        <v>2.5663941588528319E-2</v>
      </c>
      <c r="HV113" s="10">
        <f t="shared" si="874"/>
        <v>2.8756446549945984</v>
      </c>
      <c r="HW113" s="539">
        <f t="shared" si="875"/>
        <v>63.868067787430036</v>
      </c>
      <c r="HX113" s="19">
        <f t="shared" si="876"/>
        <v>0.57512893099891971</v>
      </c>
      <c r="HY113" s="10">
        <f t="shared" si="877"/>
        <v>2.5895044169244472E-2</v>
      </c>
      <c r="HZ113" s="10">
        <f t="shared" si="878"/>
        <v>2.9015396991638429</v>
      </c>
      <c r="IA113" s="539">
        <f t="shared" si="879"/>
        <v>64.44319671842895</v>
      </c>
      <c r="IB113" s="19">
        <f t="shared" si="880"/>
        <v>0.58030793983276863</v>
      </c>
      <c r="IM113" s="11"/>
      <c r="IN113" s="19"/>
      <c r="IO113" s="20"/>
      <c r="IP113" s="10"/>
    </row>
    <row r="114" spans="1:250">
      <c r="A114" s="11"/>
      <c r="B114" s="20"/>
      <c r="C114" s="826" t="s">
        <v>2342</v>
      </c>
      <c r="D114" s="47" t="s">
        <v>501</v>
      </c>
      <c r="E114" s="396">
        <f t="shared" si="931"/>
        <v>14.081799999999999</v>
      </c>
      <c r="F114" s="242">
        <v>1.0818000000000001</v>
      </c>
      <c r="G114" s="48">
        <f>'Update Stock Prices'!S114</f>
        <v>76760860.396457195</v>
      </c>
      <c r="H114" s="991">
        <f t="shared" si="610"/>
        <v>1.409311978021978E-8</v>
      </c>
      <c r="I114" s="49">
        <f>'Update Stock Prices'!D114</f>
        <v>23.71</v>
      </c>
      <c r="J114" s="49">
        <f t="shared" si="404"/>
        <v>25.649478000000002</v>
      </c>
      <c r="K114" s="30">
        <v>21.38</v>
      </c>
      <c r="L114" s="49">
        <f t="shared" si="611"/>
        <v>4.269478000000003</v>
      </c>
      <c r="M114" s="50">
        <f t="shared" si="613"/>
        <v>0.19969494855004694</v>
      </c>
      <c r="N114" s="49">
        <f t="shared" si="612"/>
        <v>19.763357367350711</v>
      </c>
      <c r="O114" s="48">
        <f t="shared" si="932"/>
        <v>13</v>
      </c>
      <c r="P114" s="49">
        <f>IF(($B$11-$B$12)-(O114*I114)&lt;0,0,($B$11-$B$12)-(O114*I114))</f>
        <v>12.779999999999973</v>
      </c>
      <c r="Q114" s="30">
        <f>0.116667*12</f>
        <v>1.400004</v>
      </c>
      <c r="R114" s="49">
        <f>S114/365.25</f>
        <v>4.1465416213552365E-3</v>
      </c>
      <c r="S114" s="49">
        <f t="shared" si="935"/>
        <v>1.5145243272000002</v>
      </c>
      <c r="T114" s="49">
        <f>S114/12</f>
        <v>0.12621036060000002</v>
      </c>
      <c r="U114" s="49" t="s">
        <v>56</v>
      </c>
      <c r="V114" s="50">
        <f t="shared" si="937"/>
        <v>5.9046984394770137E-2</v>
      </c>
      <c r="W114" s="50">
        <f t="shared" si="575"/>
        <v>7.0838368905519186E-2</v>
      </c>
      <c r="X114" s="49">
        <f t="shared" si="952"/>
        <v>18.200051999999999</v>
      </c>
      <c r="Y114" s="49">
        <f t="shared" si="654"/>
        <v>0.12621036060000002</v>
      </c>
      <c r="Z114" s="860">
        <f t="shared" si="939"/>
        <v>0</v>
      </c>
      <c r="AA114" s="860">
        <f t="shared" si="940"/>
        <v>202.14619077716921</v>
      </c>
      <c r="AB114" s="49">
        <f t="shared" si="941"/>
        <v>4792.8861833266819</v>
      </c>
      <c r="AC114" s="48">
        <v>1</v>
      </c>
      <c r="AD114" s="47" t="str">
        <f t="shared" si="942"/>
        <v>STAG</v>
      </c>
      <c r="AE114" s="49">
        <f t="shared" si="943"/>
        <v>25.649478000000002</v>
      </c>
      <c r="AF114" s="50" t="e">
        <f t="shared" si="692"/>
        <v>#REF!</v>
      </c>
      <c r="AG114" s="890" t="e">
        <f t="shared" si="910"/>
        <v>#REF!</v>
      </c>
      <c r="AH114" s="207" t="s">
        <v>502</v>
      </c>
      <c r="AI114" s="240">
        <f t="shared" si="693"/>
        <v>1.4935005761542285E-3</v>
      </c>
      <c r="AJ114" s="11">
        <f t="shared" si="595"/>
        <v>4</v>
      </c>
      <c r="AK114" s="11"/>
      <c r="AL114" s="11"/>
      <c r="AM114" s="11"/>
      <c r="AN114" s="11"/>
      <c r="AO114" s="11"/>
      <c r="AP114" s="11"/>
      <c r="AQ114" s="11" t="str">
        <f>'Update Stock Prices'!Q114</f>
        <v>small</v>
      </c>
      <c r="AR114" s="11"/>
      <c r="AS114" s="11"/>
      <c r="AT114" s="183">
        <f ca="1">AV114/AV78</f>
        <v>1.2703652028010352E-2</v>
      </c>
      <c r="AU114" s="225" t="s">
        <v>504</v>
      </c>
      <c r="AV114" s="19">
        <f ca="1">Treasuries!J18</f>
        <v>412.86411759560633</v>
      </c>
      <c r="AW114" s="15" t="e">
        <f t="shared" ca="1" si="947"/>
        <v>#REF!</v>
      </c>
      <c r="AX114" s="19">
        <f ca="1">AV114/12</f>
        <v>34.405343132967197</v>
      </c>
      <c r="AY114" s="186" t="e">
        <f t="shared" ca="1" si="949"/>
        <v>#REF!</v>
      </c>
      <c r="AZ114" s="847" t="e">
        <f t="shared" ca="1" si="953"/>
        <v>#REF!</v>
      </c>
      <c r="BA114" s="224" t="s">
        <v>1644</v>
      </c>
      <c r="BB114" s="8" t="s">
        <v>860</v>
      </c>
      <c r="BC114" s="1012" t="s">
        <v>861</v>
      </c>
      <c r="BD114" s="506" t="s">
        <v>1523</v>
      </c>
      <c r="BE114" s="376" t="s">
        <v>1429</v>
      </c>
      <c r="BF114" s="235"/>
      <c r="BG114" s="236" t="s">
        <v>2810</v>
      </c>
      <c r="BH114" s="19"/>
      <c r="BI114" s="221">
        <v>38781</v>
      </c>
      <c r="BJ114" s="46"/>
      <c r="BK114" s="19">
        <v>60508</v>
      </c>
      <c r="BL114" s="183">
        <f t="shared" ref="BL114:BL133" si="957">BK114/BK113-1</f>
        <v>0.18283647737269093</v>
      </c>
      <c r="BM114" s="16">
        <f t="shared" si="954"/>
        <v>1.2076721952777278</v>
      </c>
      <c r="BN114" s="19">
        <f t="shared" si="955"/>
        <v>165.6618754277892</v>
      </c>
      <c r="BO114" s="938" t="str">
        <f t="shared" si="956"/>
        <v/>
      </c>
      <c r="BS114" s="420" t="str">
        <f t="shared" si="715"/>
        <v>STAG</v>
      </c>
      <c r="BT114" s="425">
        <f t="shared" si="716"/>
        <v>1.0818000000000001</v>
      </c>
      <c r="BU114" s="19">
        <f t="shared" si="717"/>
        <v>23.71</v>
      </c>
      <c r="BV114" s="19">
        <f t="shared" si="718"/>
        <v>25.649478000000002</v>
      </c>
      <c r="BW114" s="539">
        <f t="shared" si="719"/>
        <v>1.400004</v>
      </c>
      <c r="BX114" s="19">
        <f t="shared" si="720"/>
        <v>1.5145243272000002</v>
      </c>
      <c r="BY114" s="10">
        <f t="shared" si="721"/>
        <v>6.3877027718262341E-2</v>
      </c>
      <c r="BZ114" s="10">
        <f t="shared" si="722"/>
        <v>1.1456770277182624</v>
      </c>
      <c r="CA114" s="539">
        <f t="shared" si="723"/>
        <v>27.164002327200002</v>
      </c>
      <c r="CB114" s="19">
        <f t="shared" si="724"/>
        <v>1.6039524215136782</v>
      </c>
      <c r="CC114" s="10">
        <f t="shared" si="725"/>
        <v>6.7648773577126869E-2</v>
      </c>
      <c r="CD114" s="10">
        <f t="shared" si="726"/>
        <v>1.2133258012953894</v>
      </c>
      <c r="CE114" s="539">
        <f t="shared" si="727"/>
        <v>28.767954748713684</v>
      </c>
      <c r="CF114" s="19">
        <f t="shared" si="728"/>
        <v>1.6986609751167503</v>
      </c>
      <c r="CG114" s="10">
        <f t="shared" si="729"/>
        <v>7.1643229654860835E-2</v>
      </c>
      <c r="CH114" s="10">
        <f t="shared" si="730"/>
        <v>1.2849690309502502</v>
      </c>
      <c r="CI114" s="539">
        <f t="shared" si="731"/>
        <v>30.466615723830433</v>
      </c>
      <c r="CJ114" s="19">
        <f t="shared" si="732"/>
        <v>1.7989617832064742</v>
      </c>
      <c r="CK114" s="10">
        <f t="shared" si="733"/>
        <v>7.5873546318282331E-2</v>
      </c>
      <c r="CL114" s="10">
        <f t="shared" si="734"/>
        <v>1.3608425772685324</v>
      </c>
      <c r="CM114" s="539">
        <f t="shared" si="735"/>
        <v>32.265577507036902</v>
      </c>
      <c r="CN114" s="19">
        <f t="shared" si="736"/>
        <v>1.9051850515462545</v>
      </c>
      <c r="CO114" s="10">
        <f t="shared" si="737"/>
        <v>8.0353650423713813E-2</v>
      </c>
      <c r="CP114" s="10">
        <f t="shared" si="738"/>
        <v>1.4411962276922463</v>
      </c>
      <c r="CQ114" s="539">
        <f t="shared" si="739"/>
        <v>34.170762558583164</v>
      </c>
      <c r="CR114" s="19">
        <f t="shared" si="740"/>
        <v>2.0176804835540558</v>
      </c>
      <c r="CS114" s="10">
        <f t="shared" si="741"/>
        <v>8.5098291166345666E-2</v>
      </c>
      <c r="CT114" s="10">
        <f t="shared" si="742"/>
        <v>1.5262945188585919</v>
      </c>
      <c r="CU114" s="539">
        <f t="shared" si="743"/>
        <v>36.188443042137216</v>
      </c>
      <c r="CV114" s="19">
        <f t="shared" si="744"/>
        <v>2.136818431580104</v>
      </c>
      <c r="CW114" s="10">
        <f t="shared" si="745"/>
        <v>9.0123088636866466E-2</v>
      </c>
      <c r="CX114" s="10">
        <f t="shared" si="746"/>
        <v>1.6164176074954584</v>
      </c>
      <c r="CY114" s="539">
        <f t="shared" si="747"/>
        <v>38.325261473717319</v>
      </c>
      <c r="CZ114" s="19">
        <f t="shared" si="748"/>
        <v>2.2629911161640717</v>
      </c>
      <c r="DA114" s="10">
        <f t="shared" si="749"/>
        <v>9.5444585245216013E-2</v>
      </c>
      <c r="DB114" s="10">
        <f t="shared" si="750"/>
        <v>1.7118621927406743</v>
      </c>
      <c r="DC114" s="539">
        <f t="shared" si="751"/>
        <v>40.588252589881392</v>
      </c>
      <c r="DD114" s="19">
        <f t="shared" si="752"/>
        <v>2.3966139172857148</v>
      </c>
      <c r="DE114" s="10">
        <f t="shared" si="753"/>
        <v>0.10108030018075558</v>
      </c>
      <c r="DF114" s="10">
        <f t="shared" si="754"/>
        <v>1.8129424929214299</v>
      </c>
      <c r="DG114" s="539">
        <f t="shared" si="755"/>
        <v>42.984866507167105</v>
      </c>
      <c r="DH114" s="19">
        <f t="shared" si="756"/>
        <v>2.5381267418599736</v>
      </c>
      <c r="DI114" s="10">
        <f t="shared" si="757"/>
        <v>0.10704878708814734</v>
      </c>
      <c r="DJ114" s="10">
        <f t="shared" si="758"/>
        <v>1.9199912800095773</v>
      </c>
      <c r="DK114" s="539">
        <f t="shared" si="759"/>
        <v>45.522993249027081</v>
      </c>
      <c r="DL114" s="19">
        <f t="shared" si="760"/>
        <v>2.6879954719785282</v>
      </c>
      <c r="DM114" s="10">
        <f t="shared" si="761"/>
        <v>0.11336969514882025</v>
      </c>
      <c r="DN114" s="10">
        <f t="shared" si="762"/>
        <v>2.0333609751583976</v>
      </c>
      <c r="DO114" s="539">
        <f t="shared" si="763"/>
        <v>48.210988721005613</v>
      </c>
      <c r="DP114" s="19">
        <f t="shared" si="764"/>
        <v>2.8467134986656575</v>
      </c>
      <c r="DQ114" s="10">
        <f t="shared" si="765"/>
        <v>0.1200638337691125</v>
      </c>
      <c r="DR114" s="10">
        <f t="shared" si="766"/>
        <v>2.1534248089275101</v>
      </c>
      <c r="DS114" s="539">
        <f t="shared" si="767"/>
        <v>51.057702219671263</v>
      </c>
      <c r="DT114" s="19">
        <f t="shared" si="768"/>
        <v>3.0148033461977497</v>
      </c>
      <c r="DU114" s="10">
        <f t="shared" si="769"/>
        <v>0.12715324108805354</v>
      </c>
      <c r="DV114" s="10">
        <f t="shared" si="770"/>
        <v>2.2805780500155635</v>
      </c>
      <c r="DW114" s="539">
        <f t="shared" si="771"/>
        <v>54.072505565869008</v>
      </c>
      <c r="DX114" s="19">
        <f t="shared" si="772"/>
        <v>3.1928183923339888</v>
      </c>
      <c r="DY114" s="10">
        <f t="shared" si="773"/>
        <v>0.13466125653032429</v>
      </c>
      <c r="DZ114" s="10">
        <f t="shared" si="774"/>
        <v>2.4152393065458879</v>
      </c>
      <c r="EA114" s="539">
        <f t="shared" si="775"/>
        <v>57.265323958203005</v>
      </c>
      <c r="EB114" s="19">
        <f t="shared" si="776"/>
        <v>3.3813446901214692</v>
      </c>
      <c r="EC114" s="10">
        <f t="shared" si="777"/>
        <v>0.14261259764325049</v>
      </c>
      <c r="ED114" s="10">
        <f t="shared" si="778"/>
        <v>2.5578519041891385</v>
      </c>
      <c r="EE114" s="539">
        <f t="shared" si="779"/>
        <v>60.646668648324479</v>
      </c>
      <c r="EF114" s="19">
        <f t="shared" si="780"/>
        <v>3.5810028972724108</v>
      </c>
      <c r="EG114" s="10">
        <f t="shared" si="781"/>
        <v>0.15103344147078915</v>
      </c>
      <c r="EH114" s="10">
        <f t="shared" si="782"/>
        <v>2.7088853456599278</v>
      </c>
      <c r="EI114" s="539">
        <f t="shared" si="783"/>
        <v>64.227671545596891</v>
      </c>
      <c r="EJ114" s="19">
        <f t="shared" si="784"/>
        <v>3.7924503194652814</v>
      </c>
      <c r="EK114" s="10">
        <f t="shared" si="785"/>
        <v>0.15995151073240327</v>
      </c>
      <c r="EL114" s="10">
        <f t="shared" si="786"/>
        <v>2.8688368563923312</v>
      </c>
      <c r="EM114" s="539">
        <f t="shared" si="787"/>
        <v>68.02012186506218</v>
      </c>
      <c r="EN114" s="19">
        <f t="shared" si="788"/>
        <v>4.0163830742966891</v>
      </c>
      <c r="EO114" s="10">
        <f t="shared" si="789"/>
        <v>0.1693961650905394</v>
      </c>
      <c r="EP114" s="10">
        <f t="shared" si="790"/>
        <v>3.0382330214828706</v>
      </c>
      <c r="EQ114" s="539">
        <f t="shared" si="791"/>
        <v>72.036504939358863</v>
      </c>
      <c r="ER114" s="19">
        <f t="shared" si="792"/>
        <v>4.2535383830081051</v>
      </c>
      <c r="ES114" s="10">
        <f t="shared" si="793"/>
        <v>0.1793984978071744</v>
      </c>
      <c r="ET114" s="10">
        <f t="shared" si="794"/>
        <v>3.2176315192900451</v>
      </c>
      <c r="EU114" s="539">
        <f t="shared" si="795"/>
        <v>76.290043322366969</v>
      </c>
      <c r="EV114" s="19">
        <f t="shared" si="796"/>
        <v>4.5046969975321405</v>
      </c>
      <c r="EW114" s="10">
        <f t="shared" si="797"/>
        <v>0.18999143810763983</v>
      </c>
      <c r="EX114" s="10">
        <f t="shared" si="798"/>
        <v>3.4076229573976851</v>
      </c>
      <c r="EY114" s="539">
        <f t="shared" si="799"/>
        <v>80.79474031989912</v>
      </c>
      <c r="EZ114" s="19">
        <f t="shared" si="800"/>
        <v>4.7706857708485888</v>
      </c>
      <c r="FA114" s="10">
        <f t="shared" si="801"/>
        <v>0.20120985958872159</v>
      </c>
      <c r="FB114" s="10">
        <f t="shared" si="802"/>
        <v>3.6088328169864066</v>
      </c>
      <c r="FC114" s="539">
        <f t="shared" si="803"/>
        <v>85.565426090747707</v>
      </c>
      <c r="FD114" s="19">
        <f t="shared" si="804"/>
        <v>5.052380379112237</v>
      </c>
      <c r="FE114" s="10">
        <f t="shared" si="805"/>
        <v>0.21309069502793071</v>
      </c>
      <c r="FF114" s="10">
        <f t="shared" si="806"/>
        <v>3.8219235120143371</v>
      </c>
      <c r="FG114" s="539">
        <f t="shared" si="807"/>
        <v>90.617806469859943</v>
      </c>
      <c r="FH114" s="19">
        <f t="shared" si="808"/>
        <v>5.3507082045141203</v>
      </c>
      <c r="FI114" s="10">
        <f t="shared" si="809"/>
        <v>0.22567305797191564</v>
      </c>
      <c r="FJ114" s="10">
        <f t="shared" si="810"/>
        <v>4.0475965699862524</v>
      </c>
      <c r="FK114" s="539">
        <f t="shared" si="811"/>
        <v>95.968514674374049</v>
      </c>
      <c r="FL114" s="19">
        <f t="shared" si="812"/>
        <v>5.6666513883670335</v>
      </c>
      <c r="FM114" s="10">
        <f t="shared" si="813"/>
        <v>0.23899837150430339</v>
      </c>
      <c r="FN114" s="10">
        <f t="shared" si="814"/>
        <v>4.2865949414905558</v>
      </c>
      <c r="FO114" s="539">
        <f t="shared" si="815"/>
        <v>101.63516606274108</v>
      </c>
      <c r="FP114" s="19">
        <f t="shared" si="816"/>
        <v>6.0012500644665439</v>
      </c>
      <c r="FQ114" s="10">
        <f t="shared" si="817"/>
        <v>0.25311050461689344</v>
      </c>
      <c r="FR114" s="10">
        <f t="shared" si="818"/>
        <v>4.5397054461074493</v>
      </c>
      <c r="FS114" s="539">
        <f t="shared" si="819"/>
        <v>107.63641612720762</v>
      </c>
      <c r="FT114" s="19">
        <f t="shared" si="820"/>
        <v>6.3556057833722139</v>
      </c>
      <c r="FU114" s="10">
        <f t="shared" si="821"/>
        <v>0.26805591663315959</v>
      </c>
      <c r="FV114" s="10">
        <f t="shared" si="822"/>
        <v>4.8077613627406093</v>
      </c>
      <c r="FW114" s="539">
        <f t="shared" si="823"/>
        <v>113.99202191057985</v>
      </c>
      <c r="FX114" s="19">
        <f t="shared" si="824"/>
        <v>6.7308851388823037</v>
      </c>
      <c r="FY114" s="10">
        <f t="shared" si="825"/>
        <v>0.28388381015952358</v>
      </c>
      <c r="FZ114" s="10">
        <f t="shared" si="826"/>
        <v>5.0916451729001331</v>
      </c>
      <c r="GA114" s="539">
        <f t="shared" si="827"/>
        <v>120.72290704946217</v>
      </c>
      <c r="GB114" s="19">
        <f t="shared" si="828"/>
        <v>7.1283236086408781</v>
      </c>
      <c r="GC114" s="10">
        <f t="shared" si="829"/>
        <v>0.30064629306794088</v>
      </c>
      <c r="GD114" s="10">
        <f t="shared" si="830"/>
        <v>5.3922914659680741</v>
      </c>
      <c r="GE114" s="539">
        <f t="shared" si="831"/>
        <v>127.85123065810303</v>
      </c>
      <c r="GF114" s="19">
        <f t="shared" si="832"/>
        <v>7.5492296215211674</v>
      </c>
      <c r="GG114" s="10">
        <f t="shared" si="833"/>
        <v>0.31839855004306905</v>
      </c>
      <c r="GH114" s="10">
        <f t="shared" si="834"/>
        <v>5.7106900160111431</v>
      </c>
      <c r="GI114" s="539">
        <f t="shared" si="835"/>
        <v>135.40046027962421</v>
      </c>
      <c r="GJ114" s="19">
        <f t="shared" si="836"/>
        <v>7.9949888651756646</v>
      </c>
      <c r="GK114" s="10">
        <f t="shared" si="837"/>
        <v>0.33719902425877962</v>
      </c>
      <c r="GL114" s="10">
        <f t="shared" si="838"/>
        <v>6.047889040269923</v>
      </c>
      <c r="GM114" s="539">
        <f t="shared" si="839"/>
        <v>143.39544914479987</v>
      </c>
      <c r="GN114" s="19">
        <f t="shared" si="840"/>
        <v>8.467068847934053</v>
      </c>
      <c r="GO114" s="10">
        <f t="shared" si="841"/>
        <v>0.35710960978211947</v>
      </c>
      <c r="GP114" s="10">
        <f t="shared" si="842"/>
        <v>6.4049986500520424</v>
      </c>
      <c r="GQ114" s="539">
        <f t="shared" si="843"/>
        <v>151.86251799273393</v>
      </c>
      <c r="GR114" s="19">
        <f t="shared" si="844"/>
        <v>8.96702373006746</v>
      </c>
      <c r="GS114" s="10">
        <f t="shared" si="845"/>
        <v>0.37819585533814676</v>
      </c>
      <c r="GT114" s="10">
        <f t="shared" si="846"/>
        <v>6.7831945053901892</v>
      </c>
      <c r="GU114" s="539">
        <f t="shared" si="847"/>
        <v>160.82954172280139</v>
      </c>
      <c r="GV114" s="19">
        <f t="shared" si="848"/>
        <v>9.4964994403242873</v>
      </c>
      <c r="GW114" s="10">
        <f t="shared" si="849"/>
        <v>0.4005271801064651</v>
      </c>
      <c r="GX114" s="10">
        <f t="shared" si="850"/>
        <v>7.1837216854966544</v>
      </c>
      <c r="GY114" s="539">
        <f t="shared" si="851"/>
        <v>170.32604116312569</v>
      </c>
      <c r="GZ114" s="19">
        <f t="shared" si="852"/>
        <v>10.057239094582059</v>
      </c>
      <c r="HA114" s="10">
        <f t="shared" si="853"/>
        <v>0.4241771022598928</v>
      </c>
      <c r="HB114" s="10">
        <f t="shared" si="854"/>
        <v>7.6078987877565467</v>
      </c>
      <c r="HC114" s="539">
        <f t="shared" si="855"/>
        <v>180.38328025770772</v>
      </c>
      <c r="HD114" s="19">
        <f t="shared" si="856"/>
        <v>10.651088734454317</v>
      </c>
      <c r="HE114" s="10">
        <f t="shared" si="857"/>
        <v>0.44922348099765153</v>
      </c>
      <c r="HF114" s="10">
        <f t="shared" si="858"/>
        <v>8.057122268754199</v>
      </c>
      <c r="HG114" s="539">
        <f t="shared" si="859"/>
        <v>191.03436899216206</v>
      </c>
      <c r="HH114" s="19">
        <f t="shared" si="860"/>
        <v>11.280003404744955</v>
      </c>
      <c r="HI114" s="10">
        <f t="shared" si="861"/>
        <v>0.47574877286988421</v>
      </c>
      <c r="HJ114" s="10">
        <f t="shared" si="862"/>
        <v>8.5328710416240838</v>
      </c>
      <c r="HK114" s="539">
        <f t="shared" si="863"/>
        <v>202.31437239690703</v>
      </c>
      <c r="HL114" s="19">
        <f t="shared" si="864"/>
        <v>11.946053589757884</v>
      </c>
      <c r="HM114" s="10">
        <f t="shared" si="865"/>
        <v>0.50384030323736329</v>
      </c>
      <c r="HN114" s="10">
        <f t="shared" si="866"/>
        <v>9.0367113448614464</v>
      </c>
      <c r="HO114" s="539">
        <f t="shared" si="867"/>
        <v>214.2604259866649</v>
      </c>
      <c r="HP114" s="19">
        <f t="shared" si="868"/>
        <v>12.651432029651405</v>
      </c>
      <c r="HQ114" s="10">
        <f t="shared" si="869"/>
        <v>0.53359055376007614</v>
      </c>
      <c r="HR114" s="10">
        <f t="shared" si="870"/>
        <v>9.5703018986215227</v>
      </c>
      <c r="HS114" s="539">
        <f t="shared" si="871"/>
        <v>226.9118580163163</v>
      </c>
      <c r="HT114" s="19">
        <f t="shared" si="872"/>
        <v>13.398460939277726</v>
      </c>
      <c r="HU114" s="10">
        <f t="shared" si="873"/>
        <v>0.56509746686114404</v>
      </c>
      <c r="HV114" s="10">
        <f t="shared" si="874"/>
        <v>10.135399365482666</v>
      </c>
      <c r="HW114" s="539">
        <f t="shared" si="875"/>
        <v>240.31031895559403</v>
      </c>
      <c r="HX114" s="19">
        <f t="shared" si="876"/>
        <v>14.189599653273195</v>
      </c>
      <c r="HY114" s="10">
        <f t="shared" si="877"/>
        <v>0.5984647681684182</v>
      </c>
      <c r="HZ114" s="10">
        <f t="shared" si="878"/>
        <v>10.733864133651084</v>
      </c>
      <c r="IA114" s="539">
        <f t="shared" si="879"/>
        <v>254.4999186088672</v>
      </c>
      <c r="IB114" s="19">
        <f t="shared" si="880"/>
        <v>15.027452722568052</v>
      </c>
      <c r="IM114" s="11"/>
      <c r="IN114" s="19"/>
      <c r="IO114" s="20"/>
      <c r="IP114" s="10"/>
    </row>
    <row r="115" spans="1:250">
      <c r="A115" s="11"/>
      <c r="B115" s="20"/>
      <c r="C115" s="826" t="s">
        <v>2344</v>
      </c>
      <c r="D115" s="47" t="s">
        <v>44</v>
      </c>
      <c r="E115" s="396">
        <f t="shared" si="931"/>
        <v>566.74970000000008</v>
      </c>
      <c r="F115" s="242">
        <v>509.74970000000002</v>
      </c>
      <c r="G115" s="48">
        <f>'Update Stock Prices'!S115</f>
        <v>92068345.323741019</v>
      </c>
      <c r="H115" s="991">
        <f t="shared" si="610"/>
        <v>5.5366445243211557E-6</v>
      </c>
      <c r="I115" s="49">
        <f>'Update Stock Prices'!D115</f>
        <v>5.56</v>
      </c>
      <c r="J115" s="49">
        <f t="shared" si="404"/>
        <v>2834.2083319999997</v>
      </c>
      <c r="K115" s="30">
        <v>3021.41</v>
      </c>
      <c r="L115" s="49">
        <f t="shared" si="611"/>
        <v>-187.20166800000015</v>
      </c>
      <c r="M115" s="50">
        <f t="shared" si="613"/>
        <v>-6.1958379696896534E-2</v>
      </c>
      <c r="N115" s="49">
        <f t="shared" si="612"/>
        <v>5.9272423308929847</v>
      </c>
      <c r="O115" s="48">
        <f t="shared" si="932"/>
        <v>57</v>
      </c>
      <c r="P115" s="49">
        <f>IF(($B$11-$B$12)-(O115*I115)&lt;0,0,($B$11-$B$12)-(O115*I115))</f>
        <v>4.0900000000000318</v>
      </c>
      <c r="Q115" s="30">
        <f>0.03667*12</f>
        <v>0.44003999999999999</v>
      </c>
      <c r="R115" s="49">
        <f t="shared" si="242"/>
        <v>0.61412801639425052</v>
      </c>
      <c r="S115" s="49">
        <f t="shared" si="935"/>
        <v>224.31025798799999</v>
      </c>
      <c r="T115" s="49">
        <f t="shared" si="399"/>
        <v>18.692521498999998</v>
      </c>
      <c r="U115" s="49" t="s">
        <v>56</v>
      </c>
      <c r="V115" s="50">
        <f t="shared" si="937"/>
        <v>7.9143884892086333E-2</v>
      </c>
      <c r="W115" s="50">
        <f t="shared" si="575"/>
        <v>7.4240258021254973E-2</v>
      </c>
      <c r="X115" s="49">
        <f t="shared" si="952"/>
        <v>25.08228000000004</v>
      </c>
      <c r="Y115" s="49">
        <f t="shared" si="654"/>
        <v>18.692521498999998</v>
      </c>
      <c r="Z115" s="860">
        <f>IF(Y115/I115&gt;1,1,0)</f>
        <v>1</v>
      </c>
      <c r="AA115" s="860" t="str">
        <f>IF(Z115=1,"",IF(AND(U115&lt;&gt;"",Z115=0),I115/(Y115/F115)-F115,""))</f>
        <v/>
      </c>
      <c r="AB115" s="49" t="str">
        <f>IF(AA115&lt;&gt;"",AA115*I115,"")</f>
        <v/>
      </c>
      <c r="AC115" s="48">
        <v>1</v>
      </c>
      <c r="AD115" s="47" t="str">
        <f t="shared" si="942"/>
        <v>STB</v>
      </c>
      <c r="AE115" s="49">
        <f t="shared" si="943"/>
        <v>2834.2083319999997</v>
      </c>
      <c r="AF115" s="50" t="e">
        <f t="shared" si="692"/>
        <v>#REF!</v>
      </c>
      <c r="AG115" s="890" t="e">
        <f t="shared" si="910"/>
        <v>#REF!</v>
      </c>
      <c r="AH115" s="207" t="s">
        <v>205</v>
      </c>
      <c r="AI115" s="240">
        <f t="shared" si="693"/>
        <v>18.235256359039411</v>
      </c>
      <c r="AJ115" s="11">
        <f t="shared" si="595"/>
        <v>3</v>
      </c>
      <c r="AK115" s="11"/>
      <c r="AL115" s="11"/>
      <c r="AM115" s="11"/>
      <c r="AN115" s="11"/>
      <c r="AO115" s="11"/>
      <c r="AP115" s="11"/>
      <c r="AQ115" s="11" t="str">
        <f>'Update Stock Prices'!Q115</f>
        <v>small</v>
      </c>
      <c r="AR115" s="11"/>
      <c r="AS115" s="11"/>
      <c r="AT115" s="183">
        <f>'P2P Notes'!B25/25</f>
        <v>2.9238376800685247E-2</v>
      </c>
      <c r="AU115" s="225" t="s">
        <v>1155</v>
      </c>
      <c r="AV115" s="19">
        <f>'P2P Notes'!E26</f>
        <v>885.92281706076301</v>
      </c>
      <c r="AW115" s="15" t="e">
        <f t="shared" ca="1" si="947"/>
        <v>#REF!</v>
      </c>
      <c r="AX115" s="19">
        <f t="shared" si="948"/>
        <v>73.826901421730255</v>
      </c>
      <c r="AY115" s="186" t="e">
        <f t="shared" ca="1" si="949"/>
        <v>#REF!</v>
      </c>
      <c r="AZ115" s="847" t="e">
        <f t="shared" ca="1" si="953"/>
        <v>#REF!</v>
      </c>
      <c r="BA115" s="445" t="s">
        <v>859</v>
      </c>
      <c r="BB115" s="30">
        <v>107435</v>
      </c>
      <c r="BC115" s="493">
        <v>51.48</v>
      </c>
      <c r="BD115" s="183">
        <f>BB115/BB116-1</f>
        <v>0.27099895892485337</v>
      </c>
      <c r="BE115" s="224" t="s">
        <v>1434</v>
      </c>
      <c r="BF115" s="736">
        <v>50103</v>
      </c>
      <c r="BG115" s="234">
        <f ca="1">BG112/12</f>
        <v>400.79070969223699</v>
      </c>
      <c r="BH115" s="19"/>
      <c r="BI115" s="221">
        <v>39089</v>
      </c>
      <c r="BJ115" s="46"/>
      <c r="BK115" s="19">
        <v>61536</v>
      </c>
      <c r="BL115" s="183">
        <f t="shared" si="957"/>
        <v>1.6989488993190971E-2</v>
      </c>
      <c r="BM115" s="16">
        <f t="shared" si="954"/>
        <v>1.2281899287467817</v>
      </c>
      <c r="BN115" s="19">
        <f t="shared" si="955"/>
        <v>168.47638603696097</v>
      </c>
      <c r="BO115" s="938" t="str">
        <f t="shared" si="956"/>
        <v/>
      </c>
      <c r="BS115" s="420" t="str">
        <f t="shared" si="715"/>
        <v>STB</v>
      </c>
      <c r="BT115" s="425">
        <f t="shared" si="716"/>
        <v>509.74970000000002</v>
      </c>
      <c r="BU115" s="19">
        <f t="shared" si="717"/>
        <v>5.56</v>
      </c>
      <c r="BV115" s="19">
        <f t="shared" si="718"/>
        <v>2834.2083319999997</v>
      </c>
      <c r="BW115" s="539">
        <f t="shared" si="719"/>
        <v>0.44003999999999999</v>
      </c>
      <c r="BX115" s="19">
        <f t="shared" si="720"/>
        <v>224.31025798799999</v>
      </c>
      <c r="BY115" s="10">
        <f t="shared" si="721"/>
        <v>40.343571580575542</v>
      </c>
      <c r="BZ115" s="10">
        <f t="shared" si="722"/>
        <v>550.09327158057556</v>
      </c>
      <c r="CA115" s="539">
        <f t="shared" si="723"/>
        <v>3058.5185899879998</v>
      </c>
      <c r="CB115" s="19">
        <f t="shared" si="724"/>
        <v>242.06304322631647</v>
      </c>
      <c r="CC115" s="10">
        <f t="shared" si="725"/>
        <v>43.536518565884258</v>
      </c>
      <c r="CD115" s="10">
        <f t="shared" si="726"/>
        <v>593.62979014645987</v>
      </c>
      <c r="CE115" s="539">
        <f t="shared" si="727"/>
        <v>3300.5816332143168</v>
      </c>
      <c r="CF115" s="19">
        <f t="shared" si="728"/>
        <v>261.22085285604817</v>
      </c>
      <c r="CG115" s="10">
        <f t="shared" si="729"/>
        <v>46.982167779864781</v>
      </c>
      <c r="CH115" s="10">
        <f t="shared" si="730"/>
        <v>640.61195792632464</v>
      </c>
      <c r="CI115" s="539">
        <f t="shared" si="731"/>
        <v>3561.8024860703649</v>
      </c>
      <c r="CJ115" s="19">
        <f t="shared" si="732"/>
        <v>281.8948859658999</v>
      </c>
      <c r="CK115" s="10">
        <f t="shared" si="733"/>
        <v>50.700519058615093</v>
      </c>
      <c r="CL115" s="10">
        <f t="shared" si="734"/>
        <v>691.31247698493974</v>
      </c>
      <c r="CM115" s="539">
        <f t="shared" si="735"/>
        <v>3843.6973720362648</v>
      </c>
      <c r="CN115" s="19">
        <f t="shared" si="736"/>
        <v>304.20514237245288</v>
      </c>
      <c r="CO115" s="10">
        <f t="shared" si="737"/>
        <v>54.713155102959156</v>
      </c>
      <c r="CP115" s="10">
        <f t="shared" si="738"/>
        <v>746.02563208789888</v>
      </c>
      <c r="CQ115" s="539">
        <f t="shared" si="739"/>
        <v>4147.9025144087173</v>
      </c>
      <c r="CR115" s="19">
        <f t="shared" si="740"/>
        <v>328.28111914395902</v>
      </c>
      <c r="CS115" s="10">
        <f t="shared" si="741"/>
        <v>59.043366752510622</v>
      </c>
      <c r="CT115" s="10">
        <f t="shared" si="742"/>
        <v>805.06899884040945</v>
      </c>
      <c r="CU115" s="539">
        <f t="shared" si="743"/>
        <v>4476.1836335526759</v>
      </c>
      <c r="CV115" s="19">
        <f t="shared" si="744"/>
        <v>354.26256224973378</v>
      </c>
      <c r="CW115" s="10">
        <f t="shared" si="745"/>
        <v>63.716288174412554</v>
      </c>
      <c r="CX115" s="10">
        <f t="shared" si="746"/>
        <v>868.78528701482196</v>
      </c>
      <c r="CY115" s="539">
        <f t="shared" si="747"/>
        <v>4830.4461958024094</v>
      </c>
      <c r="CZ115" s="19">
        <f t="shared" si="748"/>
        <v>382.30027769800222</v>
      </c>
      <c r="DA115" s="10">
        <f t="shared" si="749"/>
        <v>68.759042751439253</v>
      </c>
      <c r="DB115" s="10">
        <f t="shared" si="750"/>
        <v>937.54432976626117</v>
      </c>
      <c r="DC115" s="539">
        <f t="shared" si="751"/>
        <v>5212.7464735004114</v>
      </c>
      <c r="DD115" s="19">
        <f t="shared" si="752"/>
        <v>412.55700687034556</v>
      </c>
      <c r="DE115" s="10">
        <f t="shared" si="753"/>
        <v>74.200900516249206</v>
      </c>
      <c r="DF115" s="10">
        <f t="shared" si="754"/>
        <v>1011.7452302825104</v>
      </c>
      <c r="DG115" s="539">
        <f t="shared" si="755"/>
        <v>5625.3034803707578</v>
      </c>
      <c r="DH115" s="19">
        <f t="shared" si="756"/>
        <v>445.20837113351587</v>
      </c>
      <c r="DI115" s="10">
        <f t="shared" si="757"/>
        <v>80.073448045596379</v>
      </c>
      <c r="DJ115" s="10">
        <f t="shared" si="758"/>
        <v>1091.8186783281069</v>
      </c>
      <c r="DK115" s="539">
        <f t="shared" si="759"/>
        <v>6070.5118515042741</v>
      </c>
      <c r="DL115" s="19">
        <f t="shared" si="760"/>
        <v>480.44389121150016</v>
      </c>
      <c r="DM115" s="10">
        <f t="shared" si="761"/>
        <v>86.410771800629533</v>
      </c>
      <c r="DN115" s="10">
        <f t="shared" si="762"/>
        <v>1178.2294501287365</v>
      </c>
      <c r="DO115" s="539">
        <f t="shared" si="763"/>
        <v>6550.9557427157742</v>
      </c>
      <c r="DP115" s="19">
        <f t="shared" si="764"/>
        <v>518.46808723464915</v>
      </c>
      <c r="DQ115" s="10">
        <f t="shared" si="765"/>
        <v>93.249655977454893</v>
      </c>
      <c r="DR115" s="10">
        <f t="shared" si="766"/>
        <v>1271.4791061061915</v>
      </c>
      <c r="DS115" s="539">
        <f t="shared" si="767"/>
        <v>7069.4238299504241</v>
      </c>
      <c r="DT115" s="19">
        <f t="shared" si="768"/>
        <v>559.50166585096849</v>
      </c>
      <c r="DU115" s="10">
        <f t="shared" si="769"/>
        <v>100.62979601636124</v>
      </c>
      <c r="DV115" s="10">
        <f t="shared" si="770"/>
        <v>1372.1089021225528</v>
      </c>
      <c r="DW115" s="539">
        <f t="shared" si="771"/>
        <v>7628.9254958013926</v>
      </c>
      <c r="DX115" s="19">
        <f t="shared" si="772"/>
        <v>603.78280129000814</v>
      </c>
      <c r="DY115" s="10">
        <f t="shared" si="773"/>
        <v>108.59402900899428</v>
      </c>
      <c r="DZ115" s="10">
        <f t="shared" si="774"/>
        <v>1480.7029311315471</v>
      </c>
      <c r="EA115" s="539">
        <f t="shared" si="775"/>
        <v>8232.7082970914016</v>
      </c>
      <c r="EB115" s="19">
        <f t="shared" si="776"/>
        <v>651.56851781512592</v>
      </c>
      <c r="EC115" s="10">
        <f t="shared" si="777"/>
        <v>117.18858234084999</v>
      </c>
      <c r="ED115" s="10">
        <f t="shared" si="778"/>
        <v>1597.891513472397</v>
      </c>
      <c r="EE115" s="539">
        <f t="shared" si="779"/>
        <v>8884.2768149065269</v>
      </c>
      <c r="EF115" s="19">
        <f t="shared" si="780"/>
        <v>703.13618158839358</v>
      </c>
      <c r="EG115" s="10">
        <f t="shared" si="781"/>
        <v>126.46334201230101</v>
      </c>
      <c r="EH115" s="10">
        <f t="shared" si="782"/>
        <v>1724.354855484698</v>
      </c>
      <c r="EI115" s="539">
        <f t="shared" si="783"/>
        <v>9587.4129964949207</v>
      </c>
      <c r="EJ115" s="19">
        <f t="shared" si="784"/>
        <v>758.78511060748644</v>
      </c>
      <c r="EK115" s="10">
        <f t="shared" si="785"/>
        <v>136.47214219559109</v>
      </c>
      <c r="EL115" s="10">
        <f t="shared" si="786"/>
        <v>1860.826997680289</v>
      </c>
      <c r="EM115" s="539">
        <f t="shared" si="787"/>
        <v>10346.198107102406</v>
      </c>
      <c r="EN115" s="19">
        <f t="shared" si="788"/>
        <v>818.83831205923434</v>
      </c>
      <c r="EO115" s="10">
        <f t="shared" si="789"/>
        <v>147.27307770849541</v>
      </c>
      <c r="EP115" s="10">
        <f t="shared" si="790"/>
        <v>2008.1000753887843</v>
      </c>
      <c r="EQ115" s="539">
        <f t="shared" si="791"/>
        <v>11165.036419161639</v>
      </c>
      <c r="ER115" s="19">
        <f t="shared" si="792"/>
        <v>883.6443571740806</v>
      </c>
      <c r="ES115" s="10">
        <f t="shared" si="793"/>
        <v>158.92884121835982</v>
      </c>
      <c r="ET115" s="10">
        <f t="shared" si="794"/>
        <v>2167.0289166071443</v>
      </c>
      <c r="EU115" s="539">
        <f t="shared" si="795"/>
        <v>12048.680776335721</v>
      </c>
      <c r="EV115" s="19">
        <f t="shared" si="796"/>
        <v>953.5794044638078</v>
      </c>
      <c r="EW115" s="10">
        <f t="shared" si="797"/>
        <v>171.50708713377838</v>
      </c>
      <c r="EX115" s="10">
        <f t="shared" si="798"/>
        <v>2338.5360037409228</v>
      </c>
      <c r="EY115" s="539">
        <f t="shared" si="799"/>
        <v>13002.260180799529</v>
      </c>
      <c r="EZ115" s="19">
        <f t="shared" si="800"/>
        <v>1029.0493830861556</v>
      </c>
      <c r="FA115" s="10">
        <f t="shared" si="801"/>
        <v>185.08082429607114</v>
      </c>
      <c r="FB115" s="10">
        <f t="shared" si="802"/>
        <v>2523.6168280369939</v>
      </c>
      <c r="FC115" s="539">
        <f t="shared" si="803"/>
        <v>14031.309563885685</v>
      </c>
      <c r="FD115" s="19">
        <f t="shared" si="804"/>
        <v>1110.4923490093988</v>
      </c>
      <c r="FE115" s="10">
        <f t="shared" si="805"/>
        <v>199.72883974989188</v>
      </c>
      <c r="FF115" s="10">
        <f t="shared" si="806"/>
        <v>2723.3456677868858</v>
      </c>
      <c r="FG115" s="539">
        <f t="shared" si="807"/>
        <v>15141.801912895084</v>
      </c>
      <c r="FH115" s="19">
        <f t="shared" si="808"/>
        <v>1198.3810276529412</v>
      </c>
      <c r="FI115" s="10">
        <f t="shared" si="809"/>
        <v>215.53615605268726</v>
      </c>
      <c r="FJ115" s="10">
        <f t="shared" si="810"/>
        <v>2938.8818238395729</v>
      </c>
      <c r="FK115" s="539">
        <f t="shared" si="811"/>
        <v>16340.182940548024</v>
      </c>
      <c r="FL115" s="19">
        <f t="shared" si="812"/>
        <v>1293.2255577623657</v>
      </c>
      <c r="FM115" s="10">
        <f t="shared" si="813"/>
        <v>232.59452477740393</v>
      </c>
      <c r="FN115" s="10">
        <f t="shared" si="814"/>
        <v>3171.4763486169768</v>
      </c>
      <c r="FO115" s="539">
        <f t="shared" si="815"/>
        <v>17633.408498310389</v>
      </c>
      <c r="FP115" s="19">
        <f t="shared" si="816"/>
        <v>1395.5764524454144</v>
      </c>
      <c r="FQ115" s="10">
        <f t="shared" si="817"/>
        <v>251.00295907291627</v>
      </c>
      <c r="FR115" s="10">
        <f t="shared" si="818"/>
        <v>3422.4793076898932</v>
      </c>
      <c r="FS115" s="539">
        <f t="shared" si="819"/>
        <v>19028.984950755806</v>
      </c>
      <c r="FT115" s="19">
        <f t="shared" si="820"/>
        <v>1506.0277945558605</v>
      </c>
      <c r="FU115" s="10">
        <f t="shared" si="821"/>
        <v>270.86830837335623</v>
      </c>
      <c r="FV115" s="10">
        <f t="shared" si="822"/>
        <v>3693.3476160632495</v>
      </c>
      <c r="FW115" s="539">
        <f t="shared" si="823"/>
        <v>20535.012745311666</v>
      </c>
      <c r="FX115" s="19">
        <f t="shared" si="824"/>
        <v>1625.2206849724723</v>
      </c>
      <c r="FY115" s="10">
        <f t="shared" si="825"/>
        <v>292.30587859217133</v>
      </c>
      <c r="FZ115" s="10">
        <f t="shared" si="826"/>
        <v>3985.6534946554207</v>
      </c>
      <c r="GA115" s="539">
        <f t="shared" si="827"/>
        <v>22160.233430284137</v>
      </c>
      <c r="GB115" s="19">
        <f t="shared" si="828"/>
        <v>1753.8469637881713</v>
      </c>
      <c r="GC115" s="10">
        <f t="shared" si="829"/>
        <v>315.44010140075022</v>
      </c>
      <c r="GD115" s="10">
        <f t="shared" si="830"/>
        <v>4301.093596056171</v>
      </c>
      <c r="GE115" s="539">
        <f t="shared" si="831"/>
        <v>23914.080394072309</v>
      </c>
      <c r="GF115" s="19">
        <f t="shared" si="832"/>
        <v>1892.6532260085573</v>
      </c>
      <c r="GG115" s="10">
        <f t="shared" si="833"/>
        <v>340.40525647635928</v>
      </c>
      <c r="GH115" s="10">
        <f t="shared" si="834"/>
        <v>4641.4988525325307</v>
      </c>
      <c r="GI115" s="539">
        <f t="shared" si="835"/>
        <v>25806.733620080868</v>
      </c>
      <c r="GJ115" s="19">
        <f t="shared" si="836"/>
        <v>2042.4451550684148</v>
      </c>
      <c r="GK115" s="10">
        <f t="shared" si="837"/>
        <v>367.3462509115854</v>
      </c>
      <c r="GL115" s="10">
        <f t="shared" si="838"/>
        <v>5008.8451034441159</v>
      </c>
      <c r="GM115" s="539">
        <f t="shared" si="839"/>
        <v>27849.178775149281</v>
      </c>
      <c r="GN115" s="19">
        <f t="shared" si="840"/>
        <v>2204.0921993195489</v>
      </c>
      <c r="GO115" s="10">
        <f t="shared" si="841"/>
        <v>396.41946030927141</v>
      </c>
      <c r="GP115" s="10">
        <f t="shared" si="842"/>
        <v>5405.2645637533869</v>
      </c>
      <c r="GQ115" s="539">
        <f t="shared" si="843"/>
        <v>30053.270974468829</v>
      </c>
      <c r="GR115" s="19">
        <f t="shared" si="844"/>
        <v>2378.5326186340403</v>
      </c>
      <c r="GS115" s="10">
        <f t="shared" si="845"/>
        <v>427.7936364449713</v>
      </c>
      <c r="GT115" s="10">
        <f t="shared" si="846"/>
        <v>5833.0582001983585</v>
      </c>
      <c r="GU115" s="539">
        <f t="shared" si="847"/>
        <v>32431.803593102872</v>
      </c>
      <c r="GV115" s="19">
        <f t="shared" si="848"/>
        <v>2566.7789304152857</v>
      </c>
      <c r="GW115" s="10">
        <f t="shared" si="849"/>
        <v>461.65088676533918</v>
      </c>
      <c r="GX115" s="10">
        <f t="shared" si="850"/>
        <v>6294.7090869636977</v>
      </c>
      <c r="GY115" s="539">
        <f t="shared" si="851"/>
        <v>34998.582523518155</v>
      </c>
      <c r="GZ115" s="19">
        <f t="shared" si="852"/>
        <v>2769.9237866275053</v>
      </c>
      <c r="HA115" s="10">
        <f t="shared" si="853"/>
        <v>498.18773140782474</v>
      </c>
      <c r="HB115" s="10">
        <f t="shared" si="854"/>
        <v>6792.8968183715224</v>
      </c>
      <c r="HC115" s="539">
        <f t="shared" si="855"/>
        <v>37768.506310145662</v>
      </c>
      <c r="HD115" s="19">
        <f t="shared" si="856"/>
        <v>2989.1463159562045</v>
      </c>
      <c r="HE115" s="10">
        <f t="shared" si="857"/>
        <v>537.61624387701522</v>
      </c>
      <c r="HF115" s="10">
        <f t="shared" si="858"/>
        <v>7330.5130622485376</v>
      </c>
      <c r="HG115" s="539">
        <f t="shared" si="859"/>
        <v>40757.652626101866</v>
      </c>
      <c r="HH115" s="19">
        <f t="shared" si="860"/>
        <v>3225.7189679118464</v>
      </c>
      <c r="HI115" s="10">
        <f t="shared" si="861"/>
        <v>580.1652819985336</v>
      </c>
      <c r="HJ115" s="10">
        <f t="shared" si="862"/>
        <v>7910.6783442470714</v>
      </c>
      <c r="HK115" s="539">
        <f t="shared" si="863"/>
        <v>43983.371594013712</v>
      </c>
      <c r="HL115" s="19">
        <f t="shared" si="864"/>
        <v>3481.014898602481</v>
      </c>
      <c r="HM115" s="10">
        <f t="shared" si="865"/>
        <v>626.08181629541025</v>
      </c>
      <c r="HN115" s="10">
        <f t="shared" si="866"/>
        <v>8536.7601605424825</v>
      </c>
      <c r="HO115" s="539">
        <f t="shared" si="867"/>
        <v>47464.386492616199</v>
      </c>
      <c r="HP115" s="19">
        <f t="shared" si="868"/>
        <v>3756.5159410451138</v>
      </c>
      <c r="HQ115" s="10">
        <f t="shared" si="869"/>
        <v>675.63236349732267</v>
      </c>
      <c r="HR115" s="10">
        <f t="shared" si="870"/>
        <v>9212.3925240398057</v>
      </c>
      <c r="HS115" s="539">
        <f t="shared" si="871"/>
        <v>51220.902433661315</v>
      </c>
      <c r="HT115" s="19">
        <f t="shared" si="872"/>
        <v>4053.821206278476</v>
      </c>
      <c r="HU115" s="10">
        <f t="shared" si="873"/>
        <v>729.10453350332307</v>
      </c>
      <c r="HV115" s="10">
        <f t="shared" si="874"/>
        <v>9941.4970575431289</v>
      </c>
      <c r="HW115" s="539">
        <f t="shared" si="875"/>
        <v>55274.723639939795</v>
      </c>
      <c r="HX115" s="19">
        <f t="shared" si="876"/>
        <v>4374.6563652012783</v>
      </c>
      <c r="HY115" s="10">
        <f t="shared" si="877"/>
        <v>786.80869877720841</v>
      </c>
      <c r="HZ115" s="10">
        <f t="shared" si="878"/>
        <v>10728.305756320337</v>
      </c>
      <c r="IA115" s="539">
        <f t="shared" si="879"/>
        <v>59649.380005141065</v>
      </c>
      <c r="IB115" s="19">
        <f t="shared" si="880"/>
        <v>4720.8836650112007</v>
      </c>
      <c r="IM115" s="11"/>
      <c r="IN115" s="19"/>
      <c r="IO115" s="20"/>
      <c r="IP115" s="10"/>
    </row>
    <row r="116" spans="1:250">
      <c r="A116" s="11"/>
      <c r="B116" s="20"/>
      <c r="C116" s="826" t="s">
        <v>2348</v>
      </c>
      <c r="D116" s="47" t="s">
        <v>2222</v>
      </c>
      <c r="E116" s="396">
        <f t="shared" ref="E116" si="958">F116+O116</f>
        <v>7.0062999999999995</v>
      </c>
      <c r="F116" s="242">
        <v>1.0063</v>
      </c>
      <c r="G116" s="48">
        <f>'Update Stock Prices'!S116</f>
        <v>548534449.94290066</v>
      </c>
      <c r="H116" s="991">
        <f t="shared" ref="H116" si="959">F116/G116</f>
        <v>1.8345247050659263E-9</v>
      </c>
      <c r="I116" s="49">
        <f>'Update Stock Prices'!D116</f>
        <v>52.54</v>
      </c>
      <c r="J116" s="49">
        <f t="shared" si="404"/>
        <v>52.871001999999997</v>
      </c>
      <c r="K116" s="30">
        <v>52.24</v>
      </c>
      <c r="L116" s="49">
        <f t="shared" ref="L116" si="960">J116-K116</f>
        <v>0.63100199999999518</v>
      </c>
      <c r="M116" s="50">
        <f t="shared" ref="M116" si="961">L116/K116</f>
        <v>1.2078905053598682E-2</v>
      </c>
      <c r="N116" s="49">
        <f t="shared" ref="N116" si="962">K116/F116</f>
        <v>51.912948424922988</v>
      </c>
      <c r="O116" s="48">
        <f t="shared" ref="O116" si="963">IF(INT(($B$11-$B$12)/I116)&lt;0,0,INT(($B$11-$B$12)/I116))</f>
        <v>6</v>
      </c>
      <c r="P116" s="49">
        <f>IF(($B$11-$B$12)-(O116*I116)&lt;0,0,($B$11-$B$12)-(O116*I116))</f>
        <v>5.7699999999999818</v>
      </c>
      <c r="Q116" s="30">
        <f>0.33*4</f>
        <v>1.32</v>
      </c>
      <c r="R116" s="49">
        <f t="shared" ref="R116" si="964">S116/365.25</f>
        <v>3.6367310061601642E-3</v>
      </c>
      <c r="S116" s="49">
        <f t="shared" ref="S116" si="965">F116*Q116</f>
        <v>1.3283160000000001</v>
      </c>
      <c r="T116" s="49">
        <f t="shared" ref="T116" si="966">S116/12</f>
        <v>0.110693</v>
      </c>
      <c r="U116" s="49" t="s">
        <v>54</v>
      </c>
      <c r="V116" s="50">
        <f t="shared" ref="V116" si="967">Q116/I116</f>
        <v>2.5123715264560337E-2</v>
      </c>
      <c r="W116" s="50">
        <f t="shared" ref="W116" si="968">S116/K116</f>
        <v>2.5427182235834608E-2</v>
      </c>
      <c r="X116" s="49">
        <f t="shared" si="952"/>
        <v>7.919999999999999</v>
      </c>
      <c r="Y116" s="49">
        <f t="shared" ref="Y116" si="969">IF(U116="Q",3*T116,IF(U116="Y",12*T116,IF(U116="B",6*T116,IF(U116="M",T116,0))))</f>
        <v>0.33207900000000001</v>
      </c>
      <c r="Z116" s="860">
        <f>IF(Y116/I116&gt;1,1,0)</f>
        <v>0</v>
      </c>
      <c r="AA116" s="860">
        <f>IF(Z116=1,"",IF(AND(U116&lt;&gt;"",Z116=0),I116/(Y116/F116)-F116,""))</f>
        <v>158.20582121212118</v>
      </c>
      <c r="AB116" s="49">
        <f>IF(AA116&lt;&gt;"",AA116*I116,"")</f>
        <v>8312.1338464848468</v>
      </c>
      <c r="AC116" s="48">
        <v>1</v>
      </c>
      <c r="AD116" s="47" t="str">
        <f t="shared" ref="AD116" si="970">D116</f>
        <v>SYY</v>
      </c>
      <c r="AE116" s="49">
        <f t="shared" ref="AE116" si="971">J116</f>
        <v>52.871001999999997</v>
      </c>
      <c r="AF116" s="50" t="e">
        <f t="shared" si="692"/>
        <v>#REF!</v>
      </c>
      <c r="AG116" s="890" t="e">
        <f t="shared" ref="AG116" si="972">(100*AF116)^2</f>
        <v>#REF!</v>
      </c>
      <c r="AH116" s="207" t="s">
        <v>2223</v>
      </c>
      <c r="AI116" s="240">
        <f t="shared" si="693"/>
        <v>6.3457566650840756E-3</v>
      </c>
      <c r="AJ116" s="11">
        <f t="shared" si="595"/>
        <v>3</v>
      </c>
      <c r="AK116" s="11"/>
      <c r="AL116" s="11"/>
      <c r="AM116" s="11"/>
      <c r="AN116" s="11"/>
      <c r="AO116" s="11">
        <v>1</v>
      </c>
      <c r="AP116" s="11"/>
      <c r="AQ116" s="11" t="str">
        <f>'Update Stock Prices'!Q116</f>
        <v>big</v>
      </c>
      <c r="AR116" s="11"/>
      <c r="AS116" s="11"/>
      <c r="AT116" s="183">
        <f>AV116/AE188</f>
        <v>7.7097111521672712E-5</v>
      </c>
      <c r="AU116" s="225" t="s">
        <v>1874</v>
      </c>
      <c r="AV116" s="19">
        <f>AV283</f>
        <v>0.55000000000000004</v>
      </c>
      <c r="AW116" s="15" t="e">
        <f t="shared" ca="1" si="947"/>
        <v>#REF!</v>
      </c>
      <c r="AX116" s="19">
        <f t="shared" ref="AX116:AX124" si="973">AV116/12</f>
        <v>4.5833333333333337E-2</v>
      </c>
      <c r="AY116" s="186" t="e">
        <f t="shared" ca="1" si="949"/>
        <v>#REF!</v>
      </c>
      <c r="AZ116" s="847" t="e">
        <f t="shared" ca="1" si="953"/>
        <v>#REF!</v>
      </c>
      <c r="BA116" s="445" t="s">
        <v>858</v>
      </c>
      <c r="BB116" s="30">
        <v>84528</v>
      </c>
      <c r="BC116" s="493">
        <v>40.5</v>
      </c>
      <c r="BD116" s="74"/>
      <c r="BE116" s="224" t="s">
        <v>1430</v>
      </c>
      <c r="BF116" s="737">
        <f>BB115</f>
        <v>107435</v>
      </c>
      <c r="BG116" s="236"/>
      <c r="BH116" s="19"/>
      <c r="BI116" s="221">
        <v>39145</v>
      </c>
      <c r="BJ116" s="46"/>
      <c r="BK116" s="19">
        <v>63587</v>
      </c>
      <c r="BL116" s="183">
        <f t="shared" si="957"/>
        <v>3.3330083203328087E-2</v>
      </c>
      <c r="BM116" s="16">
        <f t="shared" si="954"/>
        <v>1.2691256012614016</v>
      </c>
      <c r="BN116" s="19">
        <f t="shared" si="955"/>
        <v>174.09171800136892</v>
      </c>
      <c r="BO116" s="938" t="str">
        <f t="shared" si="956"/>
        <v/>
      </c>
      <c r="BS116" s="420" t="str">
        <f t="shared" si="715"/>
        <v>SYY</v>
      </c>
      <c r="BT116" s="425">
        <f t="shared" si="716"/>
        <v>1.0063</v>
      </c>
      <c r="BU116" s="19">
        <f t="shared" si="717"/>
        <v>52.54</v>
      </c>
      <c r="BV116" s="19">
        <f t="shared" si="718"/>
        <v>52.871001999999997</v>
      </c>
      <c r="BW116" s="539">
        <f t="shared" si="719"/>
        <v>1.32</v>
      </c>
      <c r="BX116" s="19">
        <f t="shared" si="720"/>
        <v>1.3283160000000001</v>
      </c>
      <c r="BY116" s="10">
        <f t="shared" si="721"/>
        <v>2.5281994670727066E-2</v>
      </c>
      <c r="BZ116" s="10">
        <f t="shared" si="722"/>
        <v>1.031581994670727</v>
      </c>
      <c r="CA116" s="539">
        <f t="shared" si="723"/>
        <v>54.199317999999991</v>
      </c>
      <c r="CB116" s="19">
        <f t="shared" si="724"/>
        <v>1.3616882329653597</v>
      </c>
      <c r="CC116" s="10">
        <f t="shared" si="725"/>
        <v>2.5917172306154545E-2</v>
      </c>
      <c r="CD116" s="10">
        <f t="shared" si="726"/>
        <v>1.0574991669768816</v>
      </c>
      <c r="CE116" s="539">
        <f t="shared" si="727"/>
        <v>55.561006232965362</v>
      </c>
      <c r="CF116" s="19">
        <f t="shared" si="728"/>
        <v>1.3958989004094837</v>
      </c>
      <c r="CG116" s="10">
        <f t="shared" si="729"/>
        <v>2.656830796363692E-2</v>
      </c>
      <c r="CH116" s="10">
        <f t="shared" si="730"/>
        <v>1.0840674749405186</v>
      </c>
      <c r="CI116" s="539">
        <f t="shared" si="731"/>
        <v>56.956905133374846</v>
      </c>
      <c r="CJ116" s="19">
        <f t="shared" si="732"/>
        <v>1.4309690669214845</v>
      </c>
      <c r="CK116" s="10">
        <f t="shared" si="733"/>
        <v>2.7235802567976485E-2</v>
      </c>
      <c r="CL116" s="10">
        <f t="shared" si="734"/>
        <v>1.111303277508495</v>
      </c>
      <c r="CM116" s="539">
        <f t="shared" si="735"/>
        <v>58.387874200296324</v>
      </c>
      <c r="CN116" s="19">
        <f t="shared" si="736"/>
        <v>1.4669203263112134</v>
      </c>
      <c r="CO116" s="10">
        <f t="shared" si="737"/>
        <v>2.7920067116696107E-2</v>
      </c>
      <c r="CP116" s="10">
        <f t="shared" si="738"/>
        <v>1.1392233446251911</v>
      </c>
      <c r="CQ116" s="539">
        <f t="shared" si="739"/>
        <v>59.854794526607542</v>
      </c>
      <c r="CR116" s="19">
        <f t="shared" si="740"/>
        <v>1.5037748149052523</v>
      </c>
      <c r="CS116" s="10">
        <f t="shared" si="741"/>
        <v>2.8621522933103393E-2</v>
      </c>
      <c r="CT116" s="10">
        <f t="shared" si="742"/>
        <v>1.1678448675582946</v>
      </c>
      <c r="CU116" s="539">
        <f t="shared" si="743"/>
        <v>61.358569341512798</v>
      </c>
      <c r="CV116" s="19">
        <f t="shared" si="744"/>
        <v>1.5415552251769491</v>
      </c>
      <c r="CW116" s="10">
        <f t="shared" si="745"/>
        <v>2.9340601925712775E-2</v>
      </c>
      <c r="CX116" s="10">
        <f t="shared" si="746"/>
        <v>1.1971854694840074</v>
      </c>
      <c r="CY116" s="539">
        <f t="shared" si="747"/>
        <v>62.900124566689747</v>
      </c>
      <c r="CZ116" s="19">
        <f t="shared" si="748"/>
        <v>1.5802848197188899</v>
      </c>
      <c r="DA116" s="10">
        <f t="shared" si="749"/>
        <v>3.007774685418519E-2</v>
      </c>
      <c r="DB116" s="10">
        <f t="shared" si="750"/>
        <v>1.2272632163381927</v>
      </c>
      <c r="DC116" s="539">
        <f t="shared" si="751"/>
        <v>64.480409386408638</v>
      </c>
      <c r="DD116" s="19">
        <f t="shared" si="752"/>
        <v>1.6199874455664145</v>
      </c>
      <c r="DE116" s="10">
        <f t="shared" si="753"/>
        <v>3.0833411601949266E-2</v>
      </c>
      <c r="DF116" s="10">
        <f t="shared" si="754"/>
        <v>1.258096627940142</v>
      </c>
      <c r="DG116" s="539">
        <f t="shared" si="755"/>
        <v>66.100396831975061</v>
      </c>
      <c r="DH116" s="19">
        <f t="shared" si="756"/>
        <v>1.6606875488809876</v>
      </c>
      <c r="DI116" s="10">
        <f t="shared" si="757"/>
        <v>3.1608061455671632E-2</v>
      </c>
      <c r="DJ116" s="10">
        <f t="shared" si="758"/>
        <v>1.2897046893958137</v>
      </c>
      <c r="DK116" s="539">
        <f t="shared" si="759"/>
        <v>67.761084380856047</v>
      </c>
      <c r="DL116" s="19">
        <f t="shared" si="760"/>
        <v>1.7024101900024742</v>
      </c>
      <c r="DM116" s="10">
        <f t="shared" si="761"/>
        <v>3.2402173391748654E-2</v>
      </c>
      <c r="DN116" s="10">
        <f t="shared" si="762"/>
        <v>1.3221068627875623</v>
      </c>
      <c r="DO116" s="539">
        <f t="shared" si="763"/>
        <v>69.463494570858515</v>
      </c>
      <c r="DP116" s="19">
        <f t="shared" si="764"/>
        <v>1.7451810588795822</v>
      </c>
      <c r="DQ116" s="10">
        <f t="shared" si="765"/>
        <v>3.3216236369995857E-2</v>
      </c>
      <c r="DR116" s="10">
        <f t="shared" si="766"/>
        <v>1.3553230991575582</v>
      </c>
      <c r="DS116" s="539">
        <f t="shared" si="767"/>
        <v>71.20867562973811</v>
      </c>
      <c r="DT116" s="19">
        <f t="shared" si="768"/>
        <v>1.7890264908879769</v>
      </c>
      <c r="DU116" s="10">
        <f t="shared" si="769"/>
        <v>3.4050751634715971E-2</v>
      </c>
      <c r="DV116" s="10">
        <f t="shared" si="770"/>
        <v>1.3893738507922742</v>
      </c>
      <c r="DW116" s="539">
        <f t="shared" si="771"/>
        <v>72.997702120626087</v>
      </c>
      <c r="DX116" s="19">
        <f t="shared" si="772"/>
        <v>1.8339734830458019</v>
      </c>
      <c r="DY116" s="10">
        <f t="shared" si="773"/>
        <v>3.4906233023330832E-2</v>
      </c>
      <c r="DZ116" s="10">
        <f t="shared" si="774"/>
        <v>1.4242800838156049</v>
      </c>
      <c r="EA116" s="539">
        <f t="shared" si="775"/>
        <v>74.831675603671883</v>
      </c>
      <c r="EB116" s="19">
        <f t="shared" si="776"/>
        <v>1.8800497106365985</v>
      </c>
      <c r="EC116" s="10">
        <f t="shared" si="777"/>
        <v>3.578320728276739E-2</v>
      </c>
      <c r="ED116" s="10">
        <f t="shared" si="778"/>
        <v>1.4600632910983722</v>
      </c>
      <c r="EE116" s="539">
        <f t="shared" si="779"/>
        <v>76.711725314308467</v>
      </c>
      <c r="EF116" s="19">
        <f t="shared" si="780"/>
        <v>1.9272835442498513</v>
      </c>
      <c r="EG116" s="10">
        <f t="shared" si="781"/>
        <v>3.6682214393792371E-2</v>
      </c>
      <c r="EH116" s="10">
        <f t="shared" si="782"/>
        <v>1.4967455054921646</v>
      </c>
      <c r="EI116" s="539">
        <f t="shared" si="783"/>
        <v>78.639008858558327</v>
      </c>
      <c r="EJ116" s="19">
        <f t="shared" si="784"/>
        <v>1.9757040672496573</v>
      </c>
      <c r="EK116" s="10">
        <f t="shared" si="785"/>
        <v>3.7603807903495573E-2</v>
      </c>
      <c r="EL116" s="10">
        <f t="shared" si="786"/>
        <v>1.5343493133956601</v>
      </c>
      <c r="EM116" s="539">
        <f t="shared" si="787"/>
        <v>80.614712925807979</v>
      </c>
      <c r="EN116" s="19">
        <f t="shared" si="788"/>
        <v>2.0253410936822713</v>
      </c>
      <c r="EO116" s="10">
        <f t="shared" si="789"/>
        <v>3.8548555266126217E-2</v>
      </c>
      <c r="EP116" s="10">
        <f t="shared" si="790"/>
        <v>1.5728978686617863</v>
      </c>
      <c r="EQ116" s="539">
        <f t="shared" si="791"/>
        <v>82.64005401949025</v>
      </c>
      <c r="ER116" s="19">
        <f t="shared" si="792"/>
        <v>2.0762251866335579</v>
      </c>
      <c r="ES116" s="10">
        <f t="shared" si="793"/>
        <v>3.951703819249254E-2</v>
      </c>
      <c r="ET116" s="10">
        <f t="shared" si="794"/>
        <v>1.6124149068542788</v>
      </c>
      <c r="EU116" s="539">
        <f t="shared" si="795"/>
        <v>84.716279206123801</v>
      </c>
      <c r="EV116" s="19">
        <f t="shared" si="796"/>
        <v>2.1283876770476482</v>
      </c>
      <c r="EW116" s="10">
        <f t="shared" si="797"/>
        <v>4.0509853008139481E-2</v>
      </c>
      <c r="EX116" s="10">
        <f t="shared" si="798"/>
        <v>1.6529247598624184</v>
      </c>
      <c r="EY116" s="539">
        <f t="shared" si="799"/>
        <v>86.844666883171456</v>
      </c>
      <c r="EZ116" s="19">
        <f t="shared" si="800"/>
        <v>2.1818606830183924</v>
      </c>
      <c r="FA116" s="10">
        <f t="shared" si="801"/>
        <v>4.1527611020525171E-2</v>
      </c>
      <c r="FB116" s="10">
        <f t="shared" si="802"/>
        <v>1.6944523708829435</v>
      </c>
      <c r="FC116" s="539">
        <f t="shared" si="803"/>
        <v>89.026527566189856</v>
      </c>
      <c r="FD116" s="19">
        <f t="shared" si="804"/>
        <v>2.2366771295654857</v>
      </c>
      <c r="FE116" s="10">
        <f t="shared" si="805"/>
        <v>4.2570938895422267E-2</v>
      </c>
      <c r="FF116" s="10">
        <f t="shared" si="806"/>
        <v>1.7370233097783658</v>
      </c>
      <c r="FG116" s="539">
        <f t="shared" si="807"/>
        <v>91.263204695755334</v>
      </c>
      <c r="FH116" s="19">
        <f t="shared" si="808"/>
        <v>2.2928707689074428</v>
      </c>
      <c r="FI116" s="10">
        <f t="shared" si="809"/>
        <v>4.3640479042775841E-2</v>
      </c>
      <c r="FJ116" s="10">
        <f t="shared" si="810"/>
        <v>1.7806637888211416</v>
      </c>
      <c r="FK116" s="539">
        <f t="shared" si="811"/>
        <v>93.556075464662783</v>
      </c>
      <c r="FL116" s="19">
        <f t="shared" si="812"/>
        <v>2.3504762012439069</v>
      </c>
      <c r="FM116" s="10">
        <f t="shared" si="813"/>
        <v>4.4736890012255559E-2</v>
      </c>
      <c r="FN116" s="10">
        <f t="shared" si="814"/>
        <v>1.8254006788333972</v>
      </c>
      <c r="FO116" s="539">
        <f t="shared" si="815"/>
        <v>95.90655166590669</v>
      </c>
      <c r="FP116" s="19">
        <f t="shared" si="816"/>
        <v>2.4095288960600842</v>
      </c>
      <c r="FQ116" s="10">
        <f t="shared" si="817"/>
        <v>4.5860846898745415E-2</v>
      </c>
      <c r="FR116" s="10">
        <f t="shared" si="818"/>
        <v>1.8712615257321425</v>
      </c>
      <c r="FS116" s="539">
        <f t="shared" si="819"/>
        <v>98.316080561966771</v>
      </c>
      <c r="FT116" s="19">
        <f t="shared" si="820"/>
        <v>2.4700652139664281</v>
      </c>
      <c r="FU116" s="10">
        <f t="shared" si="821"/>
        <v>4.7013041758021089E-2</v>
      </c>
      <c r="FV116" s="10">
        <f t="shared" si="822"/>
        <v>1.9182745674901636</v>
      </c>
      <c r="FW116" s="539">
        <f t="shared" si="823"/>
        <v>100.78614577593319</v>
      </c>
      <c r="FX116" s="19">
        <f t="shared" si="824"/>
        <v>2.5321224290870159</v>
      </c>
      <c r="FY116" s="10">
        <f t="shared" si="825"/>
        <v>4.8194184032870499E-2</v>
      </c>
      <c r="FZ116" s="10">
        <f t="shared" si="826"/>
        <v>1.9664687515230341</v>
      </c>
      <c r="GA116" s="539">
        <f t="shared" si="827"/>
        <v>103.31826820502022</v>
      </c>
      <c r="GB116" s="19">
        <f t="shared" si="828"/>
        <v>2.5957387520104054</v>
      </c>
      <c r="GC116" s="10">
        <f t="shared" si="829"/>
        <v>4.9405000989920164E-2</v>
      </c>
      <c r="GD116" s="10">
        <f t="shared" si="830"/>
        <v>2.0158737525129542</v>
      </c>
      <c r="GE116" s="539">
        <f t="shared" si="831"/>
        <v>105.91400695703061</v>
      </c>
      <c r="GF116" s="19">
        <f t="shared" si="832"/>
        <v>2.6609533533170997</v>
      </c>
      <c r="GG116" s="10">
        <f t="shared" si="833"/>
        <v>5.0646238167436235E-2</v>
      </c>
      <c r="GH116" s="10">
        <f t="shared" si="834"/>
        <v>2.0665199906803906</v>
      </c>
      <c r="GI116" s="539">
        <f t="shared" si="835"/>
        <v>108.57496031034772</v>
      </c>
      <c r="GJ116" s="19">
        <f t="shared" si="836"/>
        <v>2.7278063876981156</v>
      </c>
      <c r="GK116" s="10">
        <f t="shared" si="837"/>
        <v>5.1918659834376012E-2</v>
      </c>
      <c r="GL116" s="10">
        <f t="shared" si="838"/>
        <v>2.1184386505147668</v>
      </c>
      <c r="GM116" s="539">
        <f t="shared" si="839"/>
        <v>111.30276669804584</v>
      </c>
      <c r="GN116" s="19">
        <f t="shared" si="840"/>
        <v>2.7963390186794923</v>
      </c>
      <c r="GO116" s="10">
        <f t="shared" si="841"/>
        <v>5.3223049460972449E-2</v>
      </c>
      <c r="GP116" s="10">
        <f t="shared" si="842"/>
        <v>2.171661699975739</v>
      </c>
      <c r="GQ116" s="539">
        <f t="shared" si="843"/>
        <v>114.09910571672532</v>
      </c>
      <c r="GR116" s="19">
        <f t="shared" si="844"/>
        <v>2.8665934439679757</v>
      </c>
      <c r="GS116" s="10">
        <f t="shared" si="845"/>
        <v>5.4560210201141525E-2</v>
      </c>
      <c r="GT116" s="10">
        <f t="shared" si="846"/>
        <v>2.2262219101768803</v>
      </c>
      <c r="GU116" s="539">
        <f t="shared" si="847"/>
        <v>116.96569916069329</v>
      </c>
      <c r="GV116" s="19">
        <f t="shared" si="848"/>
        <v>2.938612921433482</v>
      </c>
      <c r="GW116" s="10">
        <f t="shared" si="849"/>
        <v>5.5930965387009556E-2</v>
      </c>
      <c r="GX116" s="10">
        <f t="shared" si="850"/>
        <v>2.2821528755638898</v>
      </c>
      <c r="GY116" s="539">
        <f t="shared" si="851"/>
        <v>119.90431208212676</v>
      </c>
      <c r="GZ116" s="19">
        <f t="shared" si="852"/>
        <v>3.0124417957443348</v>
      </c>
      <c r="HA116" s="10">
        <f t="shared" si="853"/>
        <v>5.7336159035864767E-2</v>
      </c>
      <c r="HB116" s="10">
        <f t="shared" si="854"/>
        <v>2.3394890345997545</v>
      </c>
      <c r="HC116" s="539">
        <f t="shared" si="855"/>
        <v>122.9167538778711</v>
      </c>
      <c r="HD116" s="19">
        <f t="shared" si="856"/>
        <v>3.0881255256716762</v>
      </c>
      <c r="HE116" s="10">
        <f t="shared" si="857"/>
        <v>5.877665636984538E-2</v>
      </c>
      <c r="HF116" s="10">
        <f t="shared" si="858"/>
        <v>2.3982656909696001</v>
      </c>
      <c r="HG116" s="539">
        <f t="shared" si="859"/>
        <v>126.00487940354279</v>
      </c>
      <c r="HH116" s="19">
        <f t="shared" si="860"/>
        <v>3.1657107120798722</v>
      </c>
      <c r="HI116" s="10">
        <f t="shared" si="861"/>
        <v>6.0253344348684283E-2</v>
      </c>
      <c r="HJ116" s="10">
        <f t="shared" si="862"/>
        <v>2.4585190353182842</v>
      </c>
      <c r="HK116" s="539">
        <f t="shared" si="863"/>
        <v>129.17059011562264</v>
      </c>
      <c r="HL116" s="19">
        <f t="shared" si="864"/>
        <v>3.2452451266201354</v>
      </c>
      <c r="HM116" s="10">
        <f t="shared" si="865"/>
        <v>6.1767132215838134E-2</v>
      </c>
      <c r="HN116" s="10">
        <f t="shared" si="866"/>
        <v>2.5202861675341222</v>
      </c>
      <c r="HO116" s="539">
        <f t="shared" si="867"/>
        <v>132.41583524224276</v>
      </c>
      <c r="HP116" s="19">
        <f t="shared" si="868"/>
        <v>3.3267777411450412</v>
      </c>
      <c r="HQ116" s="10">
        <f t="shared" si="869"/>
        <v>6.3318952058337291E-2</v>
      </c>
      <c r="HR116" s="10">
        <f t="shared" si="870"/>
        <v>2.5836051195924594</v>
      </c>
      <c r="HS116" s="539">
        <f t="shared" si="871"/>
        <v>135.74261298338783</v>
      </c>
      <c r="HT116" s="19">
        <f t="shared" si="872"/>
        <v>3.4103587578620465</v>
      </c>
      <c r="HU116" s="10">
        <f t="shared" si="873"/>
        <v>6.4909759380701301E-2</v>
      </c>
      <c r="HV116" s="10">
        <f t="shared" si="874"/>
        <v>2.6485148789731605</v>
      </c>
      <c r="HW116" s="539">
        <f t="shared" si="875"/>
        <v>139.15297174124984</v>
      </c>
      <c r="HX116" s="19">
        <f t="shared" si="876"/>
        <v>3.4960396402445721</v>
      </c>
      <c r="HY116" s="10">
        <f t="shared" si="877"/>
        <v>6.6540533693273174E-2</v>
      </c>
      <c r="HZ116" s="10">
        <f t="shared" si="878"/>
        <v>2.7150554126664339</v>
      </c>
      <c r="IA116" s="539">
        <f t="shared" si="879"/>
        <v>142.64901138149443</v>
      </c>
      <c r="IB116" s="19">
        <f t="shared" si="880"/>
        <v>3.5838731447196928</v>
      </c>
      <c r="IM116" s="11"/>
      <c r="IN116" s="19"/>
      <c r="IO116" s="20"/>
      <c r="IP116" s="10"/>
    </row>
    <row r="117" spans="1:250" ht="13.5" thickBot="1">
      <c r="A117" s="11"/>
      <c r="B117" s="20"/>
      <c r="C117" s="826" t="s">
        <v>2349</v>
      </c>
      <c r="D117" s="47" t="s">
        <v>569</v>
      </c>
      <c r="E117" s="396">
        <f t="shared" si="931"/>
        <v>11.2151</v>
      </c>
      <c r="F117" s="242">
        <v>4.2150999999999996</v>
      </c>
      <c r="G117" s="48">
        <f>'Update Stock Prices'!S117</f>
        <v>6151515151.515152</v>
      </c>
      <c r="H117" s="991">
        <f t="shared" si="610"/>
        <v>6.8521330049261074E-10</v>
      </c>
      <c r="I117" s="49">
        <f>'Update Stock Prices'!D117</f>
        <v>41.25</v>
      </c>
      <c r="J117" s="49">
        <f t="shared" si="404"/>
        <v>173.87287499999999</v>
      </c>
      <c r="K117" s="30">
        <v>153.72</v>
      </c>
      <c r="L117" s="49">
        <f t="shared" si="611"/>
        <v>20.152874999999995</v>
      </c>
      <c r="M117" s="50">
        <f t="shared" si="613"/>
        <v>0.13110119047619045</v>
      </c>
      <c r="N117" s="49">
        <f t="shared" si="612"/>
        <v>36.468885672937773</v>
      </c>
      <c r="O117" s="48">
        <f t="shared" si="932"/>
        <v>7</v>
      </c>
      <c r="P117" s="49">
        <f t="shared" si="933"/>
        <v>32.259999999999991</v>
      </c>
      <c r="Q117" s="30">
        <f>0.49*4</f>
        <v>1.96</v>
      </c>
      <c r="R117" s="49">
        <f>S117/365.25</f>
        <v>2.2619017111567417E-2</v>
      </c>
      <c r="S117" s="49">
        <f t="shared" si="935"/>
        <v>8.2615959999999991</v>
      </c>
      <c r="T117" s="49">
        <f>S117/12</f>
        <v>0.68846633333333329</v>
      </c>
      <c r="U117" s="49" t="s">
        <v>54</v>
      </c>
      <c r="V117" s="50">
        <f t="shared" si="937"/>
        <v>4.7515151515151517E-2</v>
      </c>
      <c r="W117" s="50">
        <f t="shared" si="575"/>
        <v>5.3744444444444442E-2</v>
      </c>
      <c r="X117" s="49">
        <f t="shared" si="952"/>
        <v>13.720000000000002</v>
      </c>
      <c r="Y117" s="49">
        <f t="shared" si="654"/>
        <v>2.0653989999999998</v>
      </c>
      <c r="Z117" s="860">
        <f t="shared" si="939"/>
        <v>0</v>
      </c>
      <c r="AA117" s="860">
        <f t="shared" si="940"/>
        <v>79.968573469387763</v>
      </c>
      <c r="AB117" s="49">
        <f t="shared" si="941"/>
        <v>3298.7036556122453</v>
      </c>
      <c r="AC117" s="48">
        <v>1</v>
      </c>
      <c r="AD117" s="47" t="str">
        <f t="shared" si="942"/>
        <v>T</v>
      </c>
      <c r="AE117" s="49">
        <f t="shared" si="943"/>
        <v>173.87287499999999</v>
      </c>
      <c r="AF117" s="50" t="e">
        <f t="shared" si="692"/>
        <v>#REF!</v>
      </c>
      <c r="AG117" s="890" t="e">
        <f t="shared" si="910"/>
        <v>#REF!</v>
      </c>
      <c r="AH117" s="207" t="s">
        <v>1144</v>
      </c>
      <c r="AI117" s="240">
        <f t="shared" si="693"/>
        <v>6.8629684574080141E-2</v>
      </c>
      <c r="AJ117" s="11">
        <f t="shared" si="595"/>
        <v>1</v>
      </c>
      <c r="AK117" s="11"/>
      <c r="AL117" s="11"/>
      <c r="AM117" s="11"/>
      <c r="AN117" s="11"/>
      <c r="AO117" s="11"/>
      <c r="AP117" s="11"/>
      <c r="AQ117" s="11" t="str">
        <f>'Update Stock Prices'!Q117</f>
        <v>mega</v>
      </c>
      <c r="AR117" s="11"/>
      <c r="AS117" s="11"/>
      <c r="AT117" s="183" t="s">
        <v>304</v>
      </c>
      <c r="AU117" s="226" t="s">
        <v>838</v>
      </c>
      <c r="AV117" s="20">
        <f ca="1">AV228</f>
        <v>46.498986272439282</v>
      </c>
      <c r="AW117" s="15" t="e">
        <f t="shared" ca="1" si="947"/>
        <v>#REF!</v>
      </c>
      <c r="AX117" s="19">
        <f t="shared" ca="1" si="973"/>
        <v>3.8749155227032737</v>
      </c>
      <c r="AY117" s="186" t="e">
        <f t="shared" ca="1" si="949"/>
        <v>#REF!</v>
      </c>
      <c r="AZ117" s="847" t="e">
        <f t="shared" ca="1" si="953"/>
        <v>#REF!</v>
      </c>
      <c r="BA117" s="445"/>
      <c r="BB117" s="1438"/>
      <c r="BC117" s="883"/>
      <c r="BD117" s="74"/>
      <c r="BE117" s="224" t="s">
        <v>2283</v>
      </c>
      <c r="BF117" s="1253">
        <f>BF116-BF115</f>
        <v>57332</v>
      </c>
      <c r="BG117" s="236" t="s">
        <v>2811</v>
      </c>
      <c r="BH117" s="19"/>
      <c r="BI117" s="221">
        <v>39145</v>
      </c>
      <c r="BJ117" s="46"/>
      <c r="BK117" s="19">
        <v>68124</v>
      </c>
      <c r="BL117" s="183">
        <f>BK117/BK116-1</f>
        <v>7.1351062324059855E-2</v>
      </c>
      <c r="BM117" s="16">
        <f t="shared" si="954"/>
        <v>1.3596790611340639</v>
      </c>
      <c r="BN117" s="19">
        <f t="shared" si="955"/>
        <v>186.51334702258728</v>
      </c>
      <c r="BO117" s="938" t="str">
        <f t="shared" si="956"/>
        <v/>
      </c>
      <c r="BP117" s="11"/>
      <c r="BS117" s="420" t="str">
        <f t="shared" si="715"/>
        <v>T</v>
      </c>
      <c r="BT117" s="425">
        <f t="shared" si="716"/>
        <v>4.2150999999999996</v>
      </c>
      <c r="BU117" s="19">
        <f t="shared" si="717"/>
        <v>41.25</v>
      </c>
      <c r="BV117" s="19">
        <f t="shared" si="718"/>
        <v>173.87287499999999</v>
      </c>
      <c r="BW117" s="539">
        <f t="shared" si="719"/>
        <v>1.96</v>
      </c>
      <c r="BX117" s="19">
        <f t="shared" si="720"/>
        <v>8.2615959999999991</v>
      </c>
      <c r="BY117" s="10">
        <f t="shared" si="721"/>
        <v>0.20028111515151512</v>
      </c>
      <c r="BZ117" s="10">
        <f t="shared" si="722"/>
        <v>4.415381115151515</v>
      </c>
      <c r="CA117" s="539">
        <f t="shared" si="723"/>
        <v>182.13447099999999</v>
      </c>
      <c r="CB117" s="19">
        <f t="shared" si="724"/>
        <v>8.6541469856969684</v>
      </c>
      <c r="CC117" s="10">
        <f t="shared" si="725"/>
        <v>0.20979750268356287</v>
      </c>
      <c r="CD117" s="10">
        <f t="shared" si="726"/>
        <v>4.6251786178350782</v>
      </c>
      <c r="CE117" s="539">
        <f t="shared" si="727"/>
        <v>190.78861798569699</v>
      </c>
      <c r="CF117" s="19">
        <f t="shared" si="728"/>
        <v>9.0653500909567537</v>
      </c>
      <c r="CG117" s="10">
        <f t="shared" si="729"/>
        <v>0.2197660628110728</v>
      </c>
      <c r="CH117" s="10">
        <f t="shared" si="730"/>
        <v>4.8449446806461509</v>
      </c>
      <c r="CI117" s="539">
        <f t="shared" si="731"/>
        <v>199.85396807665373</v>
      </c>
      <c r="CJ117" s="19">
        <f t="shared" si="732"/>
        <v>9.4960915740664564</v>
      </c>
      <c r="CK117" s="10">
        <f t="shared" si="733"/>
        <v>0.23020828058342924</v>
      </c>
      <c r="CL117" s="10">
        <f t="shared" si="734"/>
        <v>5.0751529612295805</v>
      </c>
      <c r="CM117" s="539">
        <f t="shared" si="735"/>
        <v>209.3500596507202</v>
      </c>
      <c r="CN117" s="19">
        <f t="shared" si="736"/>
        <v>9.9472998040099778</v>
      </c>
      <c r="CO117" s="10">
        <f t="shared" si="737"/>
        <v>0.24114666191539341</v>
      </c>
      <c r="CP117" s="10">
        <f t="shared" si="738"/>
        <v>5.3162996231449737</v>
      </c>
      <c r="CQ117" s="539">
        <f t="shared" si="739"/>
        <v>219.29735945473016</v>
      </c>
      <c r="CR117" s="19">
        <f t="shared" si="740"/>
        <v>10.419947261364149</v>
      </c>
      <c r="CS117" s="10">
        <f t="shared" si="741"/>
        <v>0.25260478209367632</v>
      </c>
      <c r="CT117" s="10">
        <f t="shared" si="742"/>
        <v>5.5689044052386496</v>
      </c>
      <c r="CU117" s="539">
        <f t="shared" si="743"/>
        <v>229.7173067160943</v>
      </c>
      <c r="CV117" s="19">
        <f t="shared" si="744"/>
        <v>10.915052634267752</v>
      </c>
      <c r="CW117" s="10">
        <f t="shared" si="745"/>
        <v>0.26460733658830915</v>
      </c>
      <c r="CX117" s="10">
        <f t="shared" si="746"/>
        <v>5.8335117418269586</v>
      </c>
      <c r="CY117" s="539">
        <f t="shared" si="747"/>
        <v>240.63235935036204</v>
      </c>
      <c r="CZ117" s="19">
        <f t="shared" si="748"/>
        <v>11.433683013980838</v>
      </c>
      <c r="DA117" s="10">
        <f t="shared" si="749"/>
        <v>0.27718019427832336</v>
      </c>
      <c r="DB117" s="10">
        <f t="shared" si="750"/>
        <v>6.1106919361052823</v>
      </c>
      <c r="DC117" s="539">
        <f t="shared" si="751"/>
        <v>252.06604236434291</v>
      </c>
      <c r="DD117" s="19">
        <f t="shared" si="752"/>
        <v>11.976956194766354</v>
      </c>
      <c r="DE117" s="10">
        <f t="shared" si="753"/>
        <v>0.29035045320645708</v>
      </c>
      <c r="DF117" s="10">
        <f t="shared" si="754"/>
        <v>6.4010423893117396</v>
      </c>
      <c r="DG117" s="539">
        <f t="shared" si="755"/>
        <v>264.04299855910926</v>
      </c>
      <c r="DH117" s="19">
        <f t="shared" si="756"/>
        <v>12.546043083051009</v>
      </c>
      <c r="DI117" s="10">
        <f t="shared" si="757"/>
        <v>0.30414649898305474</v>
      </c>
      <c r="DJ117" s="10">
        <f t="shared" si="758"/>
        <v>6.7051888882947948</v>
      </c>
      <c r="DK117" s="539">
        <f t="shared" si="759"/>
        <v>276.58904164216028</v>
      </c>
      <c r="DL117" s="19">
        <f t="shared" si="760"/>
        <v>13.142170221057798</v>
      </c>
      <c r="DM117" s="10">
        <f t="shared" si="761"/>
        <v>0.31859806596503754</v>
      </c>
      <c r="DN117" s="10">
        <f t="shared" si="762"/>
        <v>7.0237869542598323</v>
      </c>
      <c r="DO117" s="539">
        <f t="shared" si="763"/>
        <v>289.73121186321811</v>
      </c>
      <c r="DP117" s="19">
        <f t="shared" si="764"/>
        <v>13.766622430349271</v>
      </c>
      <c r="DQ117" s="10">
        <f t="shared" si="765"/>
        <v>0.33373630134180049</v>
      </c>
      <c r="DR117" s="10">
        <f t="shared" si="766"/>
        <v>7.3575232556016328</v>
      </c>
      <c r="DS117" s="539">
        <f t="shared" si="767"/>
        <v>303.49783429356734</v>
      </c>
      <c r="DT117" s="19">
        <f t="shared" si="768"/>
        <v>14.420745580979199</v>
      </c>
      <c r="DU117" s="10">
        <f t="shared" si="769"/>
        <v>0.34959383226616242</v>
      </c>
      <c r="DV117" s="10">
        <f t="shared" si="770"/>
        <v>7.707117087867795</v>
      </c>
      <c r="DW117" s="539">
        <f t="shared" si="771"/>
        <v>317.91857987454654</v>
      </c>
      <c r="DX117" s="19">
        <f t="shared" si="772"/>
        <v>15.105949492220878</v>
      </c>
      <c r="DY117" s="10">
        <f t="shared" si="773"/>
        <v>0.36620483617505162</v>
      </c>
      <c r="DZ117" s="10">
        <f t="shared" si="774"/>
        <v>8.0733219240428475</v>
      </c>
      <c r="EA117" s="539">
        <f t="shared" si="775"/>
        <v>333.02452936676747</v>
      </c>
      <c r="EB117" s="19">
        <f t="shared" si="776"/>
        <v>15.823710971123981</v>
      </c>
      <c r="EC117" s="10">
        <f t="shared" si="777"/>
        <v>0.38360511445149048</v>
      </c>
      <c r="ED117" s="10">
        <f t="shared" si="778"/>
        <v>8.4569270384943387</v>
      </c>
      <c r="EE117" s="539">
        <f t="shared" si="779"/>
        <v>348.84824033789147</v>
      </c>
      <c r="EF117" s="19">
        <f t="shared" si="780"/>
        <v>16.575576995448902</v>
      </c>
      <c r="EG117" s="10">
        <f t="shared" si="781"/>
        <v>0.40183216958664003</v>
      </c>
      <c r="EH117" s="10">
        <f t="shared" si="782"/>
        <v>8.8587592080809792</v>
      </c>
      <c r="EI117" s="539">
        <f t="shared" si="783"/>
        <v>365.42381733334037</v>
      </c>
      <c r="EJ117" s="19">
        <f t="shared" si="784"/>
        <v>17.36316804783872</v>
      </c>
      <c r="EK117" s="10">
        <f t="shared" si="785"/>
        <v>0.42092528600821139</v>
      </c>
      <c r="EL117" s="10">
        <f t="shared" si="786"/>
        <v>9.2796844940891905</v>
      </c>
      <c r="EM117" s="539">
        <f t="shared" si="787"/>
        <v>382.78698538117914</v>
      </c>
      <c r="EN117" s="19">
        <f t="shared" si="788"/>
        <v>18.188181608414812</v>
      </c>
      <c r="EO117" s="10">
        <f t="shared" si="789"/>
        <v>0.44092561474944997</v>
      </c>
      <c r="EP117" s="10">
        <f t="shared" si="790"/>
        <v>9.7206101088386401</v>
      </c>
      <c r="EQ117" s="539">
        <f t="shared" si="791"/>
        <v>400.9751669895939</v>
      </c>
      <c r="ER117" s="19">
        <f t="shared" si="792"/>
        <v>19.052395813323734</v>
      </c>
      <c r="ES117" s="10">
        <f t="shared" si="793"/>
        <v>0.46187626214118144</v>
      </c>
      <c r="ET117" s="10">
        <f t="shared" si="794"/>
        <v>10.182486370979822</v>
      </c>
      <c r="EU117" s="539">
        <f t="shared" si="795"/>
        <v>420.02756280291766</v>
      </c>
      <c r="EV117" s="19">
        <f t="shared" si="796"/>
        <v>19.95767328712045</v>
      </c>
      <c r="EW117" s="10">
        <f t="shared" si="797"/>
        <v>0.48382238271807149</v>
      </c>
      <c r="EX117" s="10">
        <f t="shared" si="798"/>
        <v>10.666308753697894</v>
      </c>
      <c r="EY117" s="539">
        <f t="shared" si="799"/>
        <v>439.98523609003814</v>
      </c>
      <c r="EZ117" s="19">
        <f t="shared" si="800"/>
        <v>20.905965157247874</v>
      </c>
      <c r="FA117" s="10">
        <f t="shared" si="801"/>
        <v>0.50681127653934244</v>
      </c>
      <c r="FB117" s="10">
        <f t="shared" si="802"/>
        <v>11.173120030237236</v>
      </c>
      <c r="FC117" s="539">
        <f t="shared" si="803"/>
        <v>460.89120124728595</v>
      </c>
      <c r="FD117" s="19">
        <f t="shared" si="804"/>
        <v>21.899315259264981</v>
      </c>
      <c r="FE117" s="10">
        <f t="shared" si="805"/>
        <v>0.53089249113369652</v>
      </c>
      <c r="FF117" s="10">
        <f t="shared" si="806"/>
        <v>11.704012521370933</v>
      </c>
      <c r="FG117" s="539">
        <f t="shared" si="807"/>
        <v>482.790516506551</v>
      </c>
      <c r="FH117" s="19">
        <f t="shared" si="808"/>
        <v>22.93986454188703</v>
      </c>
      <c r="FI117" s="10">
        <f t="shared" si="809"/>
        <v>0.55611792828817042</v>
      </c>
      <c r="FJ117" s="10">
        <f t="shared" si="810"/>
        <v>12.260130449659103</v>
      </c>
      <c r="FK117" s="539">
        <f t="shared" si="811"/>
        <v>505.73038104843801</v>
      </c>
      <c r="FL117" s="19">
        <f t="shared" si="812"/>
        <v>24.029855681331842</v>
      </c>
      <c r="FM117" s="10">
        <f t="shared" si="813"/>
        <v>0.58254195591107494</v>
      </c>
      <c r="FN117" s="10">
        <f t="shared" si="814"/>
        <v>12.842672405570179</v>
      </c>
      <c r="FO117" s="539">
        <f t="shared" si="815"/>
        <v>529.76023672976987</v>
      </c>
      <c r="FP117" s="19">
        <f t="shared" si="816"/>
        <v>25.17163791491755</v>
      </c>
      <c r="FQ117" s="10">
        <f t="shared" si="817"/>
        <v>0.61022152521012241</v>
      </c>
      <c r="FR117" s="10">
        <f t="shared" si="818"/>
        <v>13.4528939307803</v>
      </c>
      <c r="FS117" s="539">
        <f t="shared" si="819"/>
        <v>554.93187464468735</v>
      </c>
      <c r="FT117" s="19">
        <f t="shared" si="820"/>
        <v>26.367672104329387</v>
      </c>
      <c r="FU117" s="10">
        <f t="shared" si="821"/>
        <v>0.63921629343828812</v>
      </c>
      <c r="FV117" s="10">
        <f t="shared" si="822"/>
        <v>14.092110224218588</v>
      </c>
      <c r="FW117" s="539">
        <f t="shared" si="823"/>
        <v>581.29954674901683</v>
      </c>
      <c r="FX117" s="19">
        <f t="shared" si="824"/>
        <v>27.620536039468433</v>
      </c>
      <c r="FY117" s="10">
        <f t="shared" si="825"/>
        <v>0.66958875247196203</v>
      </c>
      <c r="FZ117" s="10">
        <f t="shared" si="826"/>
        <v>14.76169897669055</v>
      </c>
      <c r="GA117" s="539">
        <f t="shared" si="827"/>
        <v>608.92008278848516</v>
      </c>
      <c r="GB117" s="19">
        <f t="shared" si="828"/>
        <v>28.932929994313476</v>
      </c>
      <c r="GC117" s="10">
        <f t="shared" si="829"/>
        <v>0.70140436349850854</v>
      </c>
      <c r="GD117" s="10">
        <f t="shared" si="830"/>
        <v>15.463103340189058</v>
      </c>
      <c r="GE117" s="539">
        <f t="shared" si="831"/>
        <v>637.8530127827986</v>
      </c>
      <c r="GF117" s="19">
        <f t="shared" si="832"/>
        <v>30.307682546770554</v>
      </c>
      <c r="GG117" s="10">
        <f t="shared" si="833"/>
        <v>0.73473169810352856</v>
      </c>
      <c r="GH117" s="10">
        <f t="shared" si="834"/>
        <v>16.197835038292585</v>
      </c>
      <c r="GI117" s="539">
        <f t="shared" si="835"/>
        <v>668.16069532956908</v>
      </c>
      <c r="GJ117" s="19">
        <f t="shared" si="836"/>
        <v>31.747756675053466</v>
      </c>
      <c r="GK117" s="10">
        <f t="shared" si="837"/>
        <v>0.76964258606190217</v>
      </c>
      <c r="GL117" s="10">
        <f t="shared" si="838"/>
        <v>16.967477624354487</v>
      </c>
      <c r="GM117" s="539">
        <f t="shared" si="839"/>
        <v>699.90845200462263</v>
      </c>
      <c r="GN117" s="19">
        <f t="shared" si="840"/>
        <v>33.256256143734795</v>
      </c>
      <c r="GO117" s="10">
        <f t="shared" si="841"/>
        <v>0.8062122701511466</v>
      </c>
      <c r="GP117" s="10">
        <f t="shared" si="842"/>
        <v>17.773689894505633</v>
      </c>
      <c r="GQ117" s="539">
        <f t="shared" si="843"/>
        <v>733.16470814835736</v>
      </c>
      <c r="GR117" s="19">
        <f t="shared" si="844"/>
        <v>34.83643219323104</v>
      </c>
      <c r="GS117" s="10">
        <f t="shared" si="845"/>
        <v>0.84451956832075248</v>
      </c>
      <c r="GT117" s="10">
        <f t="shared" si="846"/>
        <v>18.618209462826385</v>
      </c>
      <c r="GU117" s="539">
        <f t="shared" si="847"/>
        <v>768.00114034158844</v>
      </c>
      <c r="GV117" s="19">
        <f t="shared" si="848"/>
        <v>36.491690547139711</v>
      </c>
      <c r="GW117" s="10">
        <f t="shared" si="849"/>
        <v>0.88464704356702328</v>
      </c>
      <c r="GX117" s="10">
        <f t="shared" si="850"/>
        <v>19.50285650639341</v>
      </c>
      <c r="GY117" s="539">
        <f t="shared" si="851"/>
        <v>804.49283088872812</v>
      </c>
      <c r="GZ117" s="19">
        <f t="shared" si="852"/>
        <v>38.225598752531084</v>
      </c>
      <c r="HA117" s="10">
        <f t="shared" si="853"/>
        <v>0.9266811818795414</v>
      </c>
      <c r="HB117" s="10">
        <f t="shared" si="854"/>
        <v>20.429537688272951</v>
      </c>
      <c r="HC117" s="539">
        <f t="shared" si="855"/>
        <v>842.71842964125926</v>
      </c>
      <c r="HD117" s="19">
        <f t="shared" si="856"/>
        <v>40.041893869014984</v>
      </c>
      <c r="HE117" s="10">
        <f t="shared" si="857"/>
        <v>0.97071257864278748</v>
      </c>
      <c r="HF117" s="10">
        <f t="shared" si="858"/>
        <v>21.400250266915737</v>
      </c>
      <c r="HG117" s="539">
        <f t="shared" si="859"/>
        <v>882.76032351027413</v>
      </c>
      <c r="HH117" s="19">
        <f t="shared" si="860"/>
        <v>41.944490523154847</v>
      </c>
      <c r="HI117" s="10">
        <f t="shared" si="861"/>
        <v>1.016836133894663</v>
      </c>
      <c r="HJ117" s="10">
        <f t="shared" si="862"/>
        <v>22.417086400810401</v>
      </c>
      <c r="HK117" s="539">
        <f t="shared" si="863"/>
        <v>924.7048140334291</v>
      </c>
      <c r="HL117" s="19">
        <f t="shared" si="864"/>
        <v>43.937489345588382</v>
      </c>
      <c r="HM117" s="10">
        <f t="shared" si="865"/>
        <v>1.0651512568627486</v>
      </c>
      <c r="HN117" s="10">
        <f t="shared" si="866"/>
        <v>23.482237657673149</v>
      </c>
      <c r="HO117" s="539">
        <f t="shared" si="867"/>
        <v>968.64230337901745</v>
      </c>
      <c r="HP117" s="19">
        <f t="shared" si="868"/>
        <v>46.025185809039371</v>
      </c>
      <c r="HQ117" s="10">
        <f t="shared" si="869"/>
        <v>1.1157620802191364</v>
      </c>
      <c r="HR117" s="10">
        <f t="shared" si="870"/>
        <v>24.597999737892287</v>
      </c>
      <c r="HS117" s="539">
        <f t="shared" si="871"/>
        <v>1014.6674891880568</v>
      </c>
      <c r="HT117" s="19">
        <f t="shared" si="872"/>
        <v>48.212079486268884</v>
      </c>
      <c r="HU117" s="10">
        <f t="shared" si="873"/>
        <v>1.1687776845156093</v>
      </c>
      <c r="HV117" s="10">
        <f t="shared" si="874"/>
        <v>25.766777422407898</v>
      </c>
      <c r="HW117" s="539">
        <f t="shared" si="875"/>
        <v>1062.8795686743258</v>
      </c>
      <c r="HX117" s="19">
        <f t="shared" si="876"/>
        <v>50.502883747919476</v>
      </c>
      <c r="HY117" s="10">
        <f t="shared" si="877"/>
        <v>1.2243123332828965</v>
      </c>
      <c r="HZ117" s="10">
        <f t="shared" si="878"/>
        <v>26.991089755690794</v>
      </c>
      <c r="IA117" s="539">
        <f t="shared" si="879"/>
        <v>1113.3824524222453</v>
      </c>
      <c r="IB117" s="19">
        <f t="shared" si="880"/>
        <v>52.902535921153955</v>
      </c>
      <c r="IM117" s="11"/>
      <c r="IN117" s="19"/>
      <c r="IO117" s="20"/>
      <c r="IP117" s="10"/>
    </row>
    <row r="118" spans="1:250" ht="13.5" thickBot="1">
      <c r="A118" s="11"/>
      <c r="B118" s="20"/>
      <c r="C118" s="826" t="s">
        <v>2341</v>
      </c>
      <c r="D118" s="47" t="s">
        <v>829</v>
      </c>
      <c r="E118" s="396">
        <f t="shared" si="931"/>
        <v>38.063299999999998</v>
      </c>
      <c r="F118" s="242">
        <v>3.0632999999999999</v>
      </c>
      <c r="G118" s="48">
        <f>'Update Stock Prices'!S118</f>
        <v>311184939.09191585</v>
      </c>
      <c r="H118" s="991">
        <f t="shared" si="610"/>
        <v>9.8439854092526693E-9</v>
      </c>
      <c r="I118" s="49">
        <f>'Update Stock Prices'!D118</f>
        <v>9.0299999999999994</v>
      </c>
      <c r="J118" s="49">
        <f t="shared" si="404"/>
        <v>27.661598999999999</v>
      </c>
      <c r="K118" s="30">
        <v>51.95</v>
      </c>
      <c r="L118" s="49">
        <f t="shared" si="611"/>
        <v>-24.288401000000004</v>
      </c>
      <c r="M118" s="50">
        <f t="shared" si="613"/>
        <v>-0.46753418671799812</v>
      </c>
      <c r="N118" s="49">
        <f t="shared" si="612"/>
        <v>16.958835243038553</v>
      </c>
      <c r="O118" s="48">
        <f t="shared" si="932"/>
        <v>35</v>
      </c>
      <c r="P118" s="49">
        <f t="shared" si="933"/>
        <v>4.9600000000000364</v>
      </c>
      <c r="Q118" s="30">
        <f>0.02*12</f>
        <v>0.24</v>
      </c>
      <c r="R118" s="49">
        <f>S118/365.25</f>
        <v>2.0128459958932239E-3</v>
      </c>
      <c r="S118" s="49">
        <f t="shared" si="935"/>
        <v>0.73519199999999996</v>
      </c>
      <c r="T118" s="49">
        <f>S118/12</f>
        <v>6.1265999999999994E-2</v>
      </c>
      <c r="U118" s="49" t="s">
        <v>56</v>
      </c>
      <c r="V118" s="50">
        <f t="shared" si="937"/>
        <v>2.6578073089700997E-2</v>
      </c>
      <c r="W118" s="50">
        <f t="shared" si="575"/>
        <v>1.4151915303176129E-2</v>
      </c>
      <c r="X118" s="49">
        <f t="shared" si="952"/>
        <v>8.3999999999999986</v>
      </c>
      <c r="Y118" s="49">
        <f t="shared" si="654"/>
        <v>6.1265999999999994E-2</v>
      </c>
      <c r="Z118" s="860">
        <f t="shared" si="939"/>
        <v>0</v>
      </c>
      <c r="AA118" s="860">
        <f t="shared" si="940"/>
        <v>448.43670000000003</v>
      </c>
      <c r="AB118" s="49">
        <f t="shared" si="941"/>
        <v>4049.383401</v>
      </c>
      <c r="AC118" s="48">
        <v>1</v>
      </c>
      <c r="AD118" s="47" t="str">
        <f t="shared" si="942"/>
        <v>TAHO</v>
      </c>
      <c r="AE118" s="49">
        <f t="shared" si="943"/>
        <v>27.661598999999999</v>
      </c>
      <c r="AF118" s="50" t="e">
        <f t="shared" si="692"/>
        <v>#REF!</v>
      </c>
      <c r="AG118" s="890" t="e">
        <f t="shared" si="910"/>
        <v>#REF!</v>
      </c>
      <c r="AH118" s="207" t="s">
        <v>830</v>
      </c>
      <c r="AI118" s="240">
        <f t="shared" si="693"/>
        <v>1.7370123040434812E-3</v>
      </c>
      <c r="AJ118" s="11">
        <f t="shared" si="595"/>
        <v>4</v>
      </c>
      <c r="AK118" s="11"/>
      <c r="AL118" s="11"/>
      <c r="AM118" s="11"/>
      <c r="AN118" s="11"/>
      <c r="AO118" s="11"/>
      <c r="AP118" s="11"/>
      <c r="AQ118" s="11" t="str">
        <f>'Update Stock Prices'!Q118</f>
        <v>mid</v>
      </c>
      <c r="AR118" s="11"/>
      <c r="AS118" s="11">
        <v>1</v>
      </c>
      <c r="AT118" s="1471" t="s">
        <v>2963</v>
      </c>
      <c r="AU118" s="226" t="s">
        <v>1803</v>
      </c>
      <c r="AV118" s="20">
        <f ca="1">AV235</f>
        <v>32.231826401446654</v>
      </c>
      <c r="AW118" s="15" t="e">
        <f t="shared" ca="1" si="947"/>
        <v>#REF!</v>
      </c>
      <c r="AX118" s="19">
        <f t="shared" ca="1" si="973"/>
        <v>2.6859855334538878</v>
      </c>
      <c r="AY118" s="186" t="e">
        <f t="shared" ca="1" si="949"/>
        <v>#REF!</v>
      </c>
      <c r="AZ118" s="847" t="e">
        <f t="shared" ca="1" si="953"/>
        <v>#REF!</v>
      </c>
      <c r="BA118" s="224"/>
      <c r="BB118" s="19"/>
      <c r="BC118" s="591"/>
      <c r="BE118" s="441" t="s">
        <v>458</v>
      </c>
      <c r="BF118" s="732">
        <f>BF116/BF115-1</f>
        <v>1.1442827774783946</v>
      </c>
      <c r="BG118" s="234">
        <f ca="1">BG112/26</f>
        <v>184.98032755026321</v>
      </c>
      <c r="BH118" s="19"/>
      <c r="BI118" s="221">
        <v>39453</v>
      </c>
      <c r="BJ118" s="46"/>
      <c r="BK118" s="19">
        <v>69828</v>
      </c>
      <c r="BL118" s="183">
        <f t="shared" si="957"/>
        <v>2.5013211203100294E-2</v>
      </c>
      <c r="BM118" s="16">
        <f t="shared" si="954"/>
        <v>1.3936890006586431</v>
      </c>
      <c r="BN118" s="19">
        <f t="shared" si="955"/>
        <v>191.17864476386038</v>
      </c>
      <c r="BO118" s="938" t="str">
        <f t="shared" si="956"/>
        <v/>
      </c>
      <c r="BS118" s="420" t="str">
        <f t="shared" si="715"/>
        <v>TAHO</v>
      </c>
      <c r="BT118" s="425">
        <f t="shared" si="716"/>
        <v>3.0632999999999999</v>
      </c>
      <c r="BU118" s="19">
        <f t="shared" si="717"/>
        <v>9.0299999999999994</v>
      </c>
      <c r="BV118" s="19">
        <f t="shared" si="718"/>
        <v>27.661598999999999</v>
      </c>
      <c r="BW118" s="539">
        <f t="shared" si="719"/>
        <v>0.24</v>
      </c>
      <c r="BX118" s="19">
        <f t="shared" si="720"/>
        <v>0.73519199999999996</v>
      </c>
      <c r="BY118" s="10">
        <f t="shared" si="721"/>
        <v>8.1416611295681063E-2</v>
      </c>
      <c r="BZ118" s="10">
        <f t="shared" si="722"/>
        <v>3.144716611295681</v>
      </c>
      <c r="CA118" s="539">
        <f t="shared" si="723"/>
        <v>28.396790999999997</v>
      </c>
      <c r="CB118" s="19">
        <f t="shared" si="724"/>
        <v>0.75473198671096342</v>
      </c>
      <c r="CC118" s="10">
        <f t="shared" si="725"/>
        <v>8.3580507941413446E-2</v>
      </c>
      <c r="CD118" s="10">
        <f t="shared" si="726"/>
        <v>3.2282971192370944</v>
      </c>
      <c r="CE118" s="539">
        <f t="shared" si="727"/>
        <v>29.151522986710962</v>
      </c>
      <c r="CF118" s="19">
        <f t="shared" si="728"/>
        <v>0.7747913086169026</v>
      </c>
      <c r="CG118" s="10">
        <f t="shared" si="729"/>
        <v>8.5801916790354663E-2</v>
      </c>
      <c r="CH118" s="10">
        <f t="shared" si="730"/>
        <v>3.3140990360274492</v>
      </c>
      <c r="CI118" s="539">
        <f t="shared" si="731"/>
        <v>29.926314295327863</v>
      </c>
      <c r="CJ118" s="19">
        <f t="shared" si="732"/>
        <v>0.79538376864658777</v>
      </c>
      <c r="CK118" s="10">
        <f t="shared" si="733"/>
        <v>8.8082366406045165E-2</v>
      </c>
      <c r="CL118" s="10">
        <f t="shared" si="734"/>
        <v>3.4021814024334942</v>
      </c>
      <c r="CM118" s="539">
        <f t="shared" si="735"/>
        <v>30.721698063974451</v>
      </c>
      <c r="CN118" s="19">
        <f t="shared" si="736"/>
        <v>0.81652353658403853</v>
      </c>
      <c r="CO118" s="10">
        <f t="shared" si="737"/>
        <v>9.0423425978298846E-2</v>
      </c>
      <c r="CP118" s="10">
        <f t="shared" si="738"/>
        <v>3.492604828411793</v>
      </c>
      <c r="CQ118" s="539">
        <f t="shared" si="739"/>
        <v>31.53822160055849</v>
      </c>
      <c r="CR118" s="19">
        <f t="shared" si="740"/>
        <v>0.83822515881883031</v>
      </c>
      <c r="CS118" s="10">
        <f t="shared" si="741"/>
        <v>9.2826706402971249E-2</v>
      </c>
      <c r="CT118" s="10">
        <f t="shared" si="742"/>
        <v>3.5854315348147643</v>
      </c>
      <c r="CU118" s="539">
        <f t="shared" si="743"/>
        <v>32.376446759377316</v>
      </c>
      <c r="CV118" s="19">
        <f t="shared" si="744"/>
        <v>0.86050356835554342</v>
      </c>
      <c r="CW118" s="10">
        <f t="shared" si="745"/>
        <v>9.529386139042563E-2</v>
      </c>
      <c r="CX118" s="10">
        <f t="shared" si="746"/>
        <v>3.6807253962051898</v>
      </c>
      <c r="CY118" s="539">
        <f t="shared" si="747"/>
        <v>33.236950327732863</v>
      </c>
      <c r="CZ118" s="19">
        <f t="shared" si="748"/>
        <v>0.88337409508924547</v>
      </c>
      <c r="DA118" s="10">
        <f t="shared" si="749"/>
        <v>9.7826588603460191E-2</v>
      </c>
      <c r="DB118" s="10">
        <f t="shared" si="750"/>
        <v>3.77855198480865</v>
      </c>
      <c r="DC118" s="539">
        <f t="shared" si="751"/>
        <v>34.120324422822108</v>
      </c>
      <c r="DD118" s="19">
        <f t="shared" si="752"/>
        <v>0.90685247635407595</v>
      </c>
      <c r="DE118" s="10">
        <f t="shared" si="753"/>
        <v>0.10042663082547908</v>
      </c>
      <c r="DF118" s="10">
        <f t="shared" si="754"/>
        <v>3.878978615634129</v>
      </c>
      <c r="DG118" s="539">
        <f t="shared" si="755"/>
        <v>35.027176899176183</v>
      </c>
      <c r="DH118" s="19">
        <f t="shared" si="756"/>
        <v>0.93095486775219094</v>
      </c>
      <c r="DI118" s="10">
        <f t="shared" si="757"/>
        <v>0.10309577715971108</v>
      </c>
      <c r="DJ118" s="10">
        <f t="shared" si="758"/>
        <v>3.98207439279384</v>
      </c>
      <c r="DK118" s="539">
        <f t="shared" si="759"/>
        <v>35.958131766928375</v>
      </c>
      <c r="DL118" s="19">
        <f t="shared" si="760"/>
        <v>0.95569785427052156</v>
      </c>
      <c r="DM118" s="10">
        <f t="shared" si="761"/>
        <v>0.10583586426030139</v>
      </c>
      <c r="DN118" s="10">
        <f t="shared" si="762"/>
        <v>4.0879102570541415</v>
      </c>
      <c r="DO118" s="539">
        <f t="shared" si="763"/>
        <v>36.913829621198893</v>
      </c>
      <c r="DP118" s="19">
        <f t="shared" si="764"/>
        <v>0.98109846169299386</v>
      </c>
      <c r="DQ118" s="10">
        <f t="shared" si="765"/>
        <v>0.10864877759612336</v>
      </c>
      <c r="DR118" s="10">
        <f t="shared" si="766"/>
        <v>4.1965590346502646</v>
      </c>
      <c r="DS118" s="539">
        <f t="shared" si="767"/>
        <v>37.894928082891887</v>
      </c>
      <c r="DT118" s="19">
        <f t="shared" si="768"/>
        <v>1.0071741683160635</v>
      </c>
      <c r="DU118" s="10">
        <f t="shared" si="769"/>
        <v>0.1115364527481798</v>
      </c>
      <c r="DV118" s="10">
        <f t="shared" si="770"/>
        <v>4.3080954873984441</v>
      </c>
      <c r="DW118" s="539">
        <f t="shared" si="771"/>
        <v>38.90210225120795</v>
      </c>
      <c r="DX118" s="19">
        <f t="shared" si="772"/>
        <v>1.0339429169756265</v>
      </c>
      <c r="DY118" s="10">
        <f t="shared" si="773"/>
        <v>0.11450087674148689</v>
      </c>
      <c r="DZ118" s="10">
        <f t="shared" si="774"/>
        <v>4.4225963641399311</v>
      </c>
      <c r="EA118" s="539">
        <f t="shared" si="775"/>
        <v>39.936045168183576</v>
      </c>
      <c r="EB118" s="19">
        <f t="shared" si="776"/>
        <v>1.0614231273935835</v>
      </c>
      <c r="EC118" s="10">
        <f t="shared" si="777"/>
        <v>0.11754408941235699</v>
      </c>
      <c r="ED118" s="10">
        <f t="shared" si="778"/>
        <v>4.5401404535522882</v>
      </c>
      <c r="EE118" s="539">
        <f t="shared" si="779"/>
        <v>40.997468295577157</v>
      </c>
      <c r="EF118" s="19">
        <f t="shared" si="780"/>
        <v>1.0896337088525492</v>
      </c>
      <c r="EG118" s="10">
        <f t="shared" si="781"/>
        <v>0.12066818481202096</v>
      </c>
      <c r="EH118" s="10">
        <f t="shared" si="782"/>
        <v>4.6608086383643093</v>
      </c>
      <c r="EI118" s="539">
        <f t="shared" si="783"/>
        <v>42.08710200442971</v>
      </c>
      <c r="EJ118" s="19">
        <f t="shared" si="784"/>
        <v>1.1185940732074342</v>
      </c>
      <c r="EK118" s="10">
        <f t="shared" si="785"/>
        <v>0.1238753126475564</v>
      </c>
      <c r="EL118" s="10">
        <f t="shared" si="786"/>
        <v>4.7846839510118659</v>
      </c>
      <c r="EM118" s="539">
        <f t="shared" si="787"/>
        <v>43.20569607763715</v>
      </c>
      <c r="EN118" s="19">
        <f t="shared" si="788"/>
        <v>1.1483241482428477</v>
      </c>
      <c r="EO118" s="10">
        <f t="shared" si="789"/>
        <v>0.12716767976111271</v>
      </c>
      <c r="EP118" s="10">
        <f t="shared" si="790"/>
        <v>4.9118516307729783</v>
      </c>
      <c r="EQ118" s="539">
        <f t="shared" si="791"/>
        <v>44.354020225879992</v>
      </c>
      <c r="ER118" s="19">
        <f t="shared" si="792"/>
        <v>1.1788443913855147</v>
      </c>
      <c r="ES118" s="10">
        <f t="shared" si="793"/>
        <v>0.13054755164845125</v>
      </c>
      <c r="ET118" s="10">
        <f t="shared" si="794"/>
        <v>5.0423991824214296</v>
      </c>
      <c r="EU118" s="539">
        <f t="shared" si="795"/>
        <v>45.532864617265503</v>
      </c>
      <c r="EV118" s="19">
        <f t="shared" si="796"/>
        <v>1.210175803781143</v>
      </c>
      <c r="EW118" s="10">
        <f t="shared" si="797"/>
        <v>0.13401725401784531</v>
      </c>
      <c r="EX118" s="10">
        <f t="shared" si="798"/>
        <v>5.1764164364392746</v>
      </c>
      <c r="EY118" s="539">
        <f t="shared" si="799"/>
        <v>46.743040421046643</v>
      </c>
      <c r="EZ118" s="19">
        <f t="shared" si="800"/>
        <v>1.242339944745426</v>
      </c>
      <c r="FA118" s="10">
        <f t="shared" si="801"/>
        <v>0.13757917439041262</v>
      </c>
      <c r="FB118" s="10">
        <f t="shared" si="802"/>
        <v>5.3139956108296875</v>
      </c>
      <c r="FC118" s="539">
        <f t="shared" si="803"/>
        <v>47.985380365792075</v>
      </c>
      <c r="FD118" s="19">
        <f t="shared" si="804"/>
        <v>1.2753589465991249</v>
      </c>
      <c r="FE118" s="10">
        <f t="shared" si="805"/>
        <v>0.14123576374298172</v>
      </c>
      <c r="FF118" s="10">
        <f t="shared" si="806"/>
        <v>5.4552313745726693</v>
      </c>
      <c r="FG118" s="539">
        <f t="shared" si="807"/>
        <v>49.260739312391202</v>
      </c>
      <c r="FH118" s="19">
        <f t="shared" si="808"/>
        <v>1.3092555298974407</v>
      </c>
      <c r="FI118" s="10">
        <f t="shared" si="809"/>
        <v>0.14498953819462246</v>
      </c>
      <c r="FJ118" s="10">
        <f t="shared" si="810"/>
        <v>5.6002209127672913</v>
      </c>
      <c r="FK118" s="539">
        <f t="shared" si="811"/>
        <v>50.569994842288637</v>
      </c>
      <c r="FL118" s="19">
        <f t="shared" si="812"/>
        <v>1.3440530190641498</v>
      </c>
      <c r="FM118" s="10">
        <f t="shared" si="813"/>
        <v>0.14884308073800109</v>
      </c>
      <c r="FN118" s="10">
        <f t="shared" si="814"/>
        <v>5.7490639935052927</v>
      </c>
      <c r="FO118" s="539">
        <f t="shared" si="815"/>
        <v>51.914047861352792</v>
      </c>
      <c r="FP118" s="19">
        <f t="shared" si="816"/>
        <v>1.3797753584412702</v>
      </c>
      <c r="FQ118" s="10">
        <f t="shared" si="817"/>
        <v>0.15279904301675198</v>
      </c>
      <c r="FR118" s="10">
        <f t="shared" si="818"/>
        <v>5.9018630365220446</v>
      </c>
      <c r="FS118" s="539">
        <f t="shared" si="819"/>
        <v>53.293823219794056</v>
      </c>
      <c r="FT118" s="19">
        <f t="shared" si="820"/>
        <v>1.4164471287652907</v>
      </c>
      <c r="FU118" s="10">
        <f t="shared" si="821"/>
        <v>0.15686014715008756</v>
      </c>
      <c r="FV118" s="10">
        <f t="shared" si="822"/>
        <v>6.0587231836721323</v>
      </c>
      <c r="FW118" s="539">
        <f t="shared" si="823"/>
        <v>54.710270348559348</v>
      </c>
      <c r="FX118" s="19">
        <f t="shared" si="824"/>
        <v>1.4540935640813117</v>
      </c>
      <c r="FY118" s="10">
        <f t="shared" si="825"/>
        <v>0.16102918760590385</v>
      </c>
      <c r="FZ118" s="10">
        <f t="shared" si="826"/>
        <v>6.2197523712780365</v>
      </c>
      <c r="GA118" s="539">
        <f t="shared" si="827"/>
        <v>56.164363912640667</v>
      </c>
      <c r="GB118" s="19">
        <f t="shared" si="828"/>
        <v>1.4927405691067288</v>
      </c>
      <c r="GC118" s="10">
        <f t="shared" si="829"/>
        <v>0.16530903312366876</v>
      </c>
      <c r="GD118" s="10">
        <f t="shared" si="830"/>
        <v>6.3850614044017053</v>
      </c>
      <c r="GE118" s="539">
        <f t="shared" si="831"/>
        <v>57.657104481747396</v>
      </c>
      <c r="GF118" s="19">
        <f t="shared" si="832"/>
        <v>1.5324147370564092</v>
      </c>
      <c r="GG118" s="10">
        <f t="shared" si="833"/>
        <v>0.16970262868841743</v>
      </c>
      <c r="GH118" s="10">
        <f t="shared" si="834"/>
        <v>6.5547640330901231</v>
      </c>
      <c r="GI118" s="539">
        <f t="shared" si="835"/>
        <v>59.18951921880381</v>
      </c>
      <c r="GJ118" s="19">
        <f t="shared" si="836"/>
        <v>1.5731433679416296</v>
      </c>
      <c r="GK118" s="10">
        <f t="shared" si="837"/>
        <v>0.17421299755721259</v>
      </c>
      <c r="GL118" s="10">
        <f t="shared" si="838"/>
        <v>6.7289770306473358</v>
      </c>
      <c r="GM118" s="539">
        <f t="shared" si="839"/>
        <v>60.762662586745435</v>
      </c>
      <c r="GN118" s="19">
        <f t="shared" si="840"/>
        <v>1.6149544873553605</v>
      </c>
      <c r="GO118" s="10">
        <f t="shared" si="841"/>
        <v>0.17884324333946408</v>
      </c>
      <c r="GP118" s="10">
        <f t="shared" si="842"/>
        <v>6.9078202739867995</v>
      </c>
      <c r="GQ118" s="539">
        <f t="shared" si="843"/>
        <v>62.377617074100797</v>
      </c>
      <c r="GR118" s="19">
        <f t="shared" si="844"/>
        <v>1.6578768657568319</v>
      </c>
      <c r="GS118" s="10">
        <f t="shared" si="845"/>
        <v>0.18359655213253953</v>
      </c>
      <c r="GT118" s="10">
        <f t="shared" si="846"/>
        <v>7.0914168261193389</v>
      </c>
      <c r="GU118" s="539">
        <f t="shared" si="847"/>
        <v>64.035493939857631</v>
      </c>
      <c r="GV118" s="19">
        <f t="shared" si="848"/>
        <v>1.7019400382686414</v>
      </c>
      <c r="GW118" s="10">
        <f t="shared" si="849"/>
        <v>0.18847619471413526</v>
      </c>
      <c r="GX118" s="10">
        <f t="shared" si="850"/>
        <v>7.279893020833474</v>
      </c>
      <c r="GY118" s="539">
        <f t="shared" si="851"/>
        <v>65.737433978126262</v>
      </c>
      <c r="GZ118" s="19">
        <f t="shared" si="852"/>
        <v>1.7471743250000338</v>
      </c>
      <c r="HA118" s="10">
        <f t="shared" si="853"/>
        <v>0.19348552879291628</v>
      </c>
      <c r="HB118" s="10">
        <f t="shared" si="854"/>
        <v>7.47337854962639</v>
      </c>
      <c r="HC118" s="539">
        <f t="shared" si="855"/>
        <v>67.484608303126294</v>
      </c>
      <c r="HD118" s="19">
        <f t="shared" si="856"/>
        <v>1.7936108519103335</v>
      </c>
      <c r="HE118" s="10">
        <f t="shared" si="857"/>
        <v>0.19862800131897382</v>
      </c>
      <c r="HF118" s="10">
        <f t="shared" si="858"/>
        <v>7.6720065509453637</v>
      </c>
      <c r="HG118" s="539">
        <f t="shared" si="859"/>
        <v>69.278219155036624</v>
      </c>
      <c r="HH118" s="19">
        <f t="shared" si="860"/>
        <v>1.8412815722268872</v>
      </c>
      <c r="HI118" s="10">
        <f t="shared" si="861"/>
        <v>0.20390715085569072</v>
      </c>
      <c r="HJ118" s="10">
        <f t="shared" si="862"/>
        <v>7.8759137018010543</v>
      </c>
      <c r="HK118" s="539">
        <f t="shared" si="863"/>
        <v>71.119500727263514</v>
      </c>
      <c r="HL118" s="19">
        <f t="shared" si="864"/>
        <v>1.8902192884322531</v>
      </c>
      <c r="HM118" s="10">
        <f t="shared" si="865"/>
        <v>0.20932661001464598</v>
      </c>
      <c r="HN118" s="10">
        <f t="shared" si="866"/>
        <v>8.085240311815701</v>
      </c>
      <c r="HO118" s="539">
        <f t="shared" si="867"/>
        <v>73.009720015695777</v>
      </c>
      <c r="HP118" s="19">
        <f t="shared" si="868"/>
        <v>1.9404576748357683</v>
      </c>
      <c r="HQ118" s="10">
        <f t="shared" si="869"/>
        <v>0.21489010795523458</v>
      </c>
      <c r="HR118" s="10">
        <f t="shared" si="870"/>
        <v>8.3001304197709356</v>
      </c>
      <c r="HS118" s="539">
        <f t="shared" si="871"/>
        <v>74.950177690531547</v>
      </c>
      <c r="HT118" s="19">
        <f t="shared" si="872"/>
        <v>1.9920313007450245</v>
      </c>
      <c r="HU118" s="10">
        <f t="shared" si="873"/>
        <v>0.22060147295072255</v>
      </c>
      <c r="HV118" s="10">
        <f t="shared" si="874"/>
        <v>8.520731892721658</v>
      </c>
      <c r="HW118" s="539">
        <f t="shared" si="875"/>
        <v>76.942208991276573</v>
      </c>
      <c r="HX118" s="19">
        <f t="shared" si="876"/>
        <v>2.0449756542531978</v>
      </c>
      <c r="HY118" s="10">
        <f t="shared" si="877"/>
        <v>0.22646463502250255</v>
      </c>
      <c r="HZ118" s="10">
        <f t="shared" si="878"/>
        <v>8.7471965277441601</v>
      </c>
      <c r="IA118" s="539">
        <f t="shared" si="879"/>
        <v>78.987184645529766</v>
      </c>
      <c r="IB118" s="19">
        <f t="shared" si="880"/>
        <v>2.0993271666585982</v>
      </c>
      <c r="IM118" s="11"/>
      <c r="IN118" s="19"/>
      <c r="IO118" s="20"/>
      <c r="IP118" s="10"/>
    </row>
    <row r="119" spans="1:250">
      <c r="A119" s="11"/>
      <c r="B119" s="20"/>
      <c r="C119" s="826" t="s">
        <v>2345</v>
      </c>
      <c r="D119" s="47" t="s">
        <v>84</v>
      </c>
      <c r="E119" s="396">
        <f t="shared" si="931"/>
        <v>261.13459999999998</v>
      </c>
      <c r="F119" s="242">
        <v>233.13460000000001</v>
      </c>
      <c r="G119" s="48">
        <f>'Update Stock Prices'!S119</f>
        <v>79246846.846846849</v>
      </c>
      <c r="H119" s="991">
        <f t="shared" si="610"/>
        <v>2.9418785639579828E-6</v>
      </c>
      <c r="I119" s="49">
        <f>'Update Stock Prices'!D119</f>
        <v>11.1</v>
      </c>
      <c r="J119" s="49">
        <f t="shared" si="404"/>
        <v>2587.7940600000002</v>
      </c>
      <c r="K119" s="30">
        <v>413.59</v>
      </c>
      <c r="L119" s="49">
        <f t="shared" si="611"/>
        <v>2174.20406</v>
      </c>
      <c r="M119" s="50">
        <f t="shared" si="613"/>
        <v>5.2569067433932162</v>
      </c>
      <c r="N119" s="49">
        <f t="shared" si="612"/>
        <v>1.7740395462535374</v>
      </c>
      <c r="O119" s="48">
        <f t="shared" si="932"/>
        <v>28</v>
      </c>
      <c r="P119" s="49">
        <f>IF(($B$11-$B$12)-(O119*I119)&lt;0,0,($B$11-$B$12)-(O119*I119))</f>
        <v>10.20999999999998</v>
      </c>
      <c r="Q119" s="30">
        <v>7.0000000000000007E-2</v>
      </c>
      <c r="R119" s="49">
        <f t="shared" si="242"/>
        <v>4.4680142368240937E-2</v>
      </c>
      <c r="S119" s="49">
        <f t="shared" si="935"/>
        <v>16.319422000000003</v>
      </c>
      <c r="T119" s="49">
        <f t="shared" si="399"/>
        <v>1.3599518333333336</v>
      </c>
      <c r="U119" s="49" t="s">
        <v>57</v>
      </c>
      <c r="V119" s="50">
        <f t="shared" si="937"/>
        <v>6.3063063063063069E-3</v>
      </c>
      <c r="W119" s="50">
        <f t="shared" si="575"/>
        <v>3.94579704538311E-2</v>
      </c>
      <c r="X119" s="49">
        <f t="shared" si="938"/>
        <v>1.9599999999999973</v>
      </c>
      <c r="Y119" s="49">
        <f t="shared" si="654"/>
        <v>16.319422000000003</v>
      </c>
      <c r="Z119" s="860">
        <f t="shared" si="939"/>
        <v>1</v>
      </c>
      <c r="AA119" s="860" t="str">
        <f t="shared" si="940"/>
        <v/>
      </c>
      <c r="AB119" s="49" t="str">
        <f t="shared" si="941"/>
        <v/>
      </c>
      <c r="AC119" s="48">
        <v>1</v>
      </c>
      <c r="AD119" s="47" t="str">
        <f t="shared" si="942"/>
        <v>TGS</v>
      </c>
      <c r="AE119" s="49">
        <f t="shared" si="943"/>
        <v>2587.7940600000002</v>
      </c>
      <c r="AF119" s="50" t="e">
        <f t="shared" si="692"/>
        <v>#REF!</v>
      </c>
      <c r="AG119" s="890" t="e">
        <f t="shared" si="910"/>
        <v>#REF!</v>
      </c>
      <c r="AH119" s="207" t="s">
        <v>231</v>
      </c>
      <c r="AI119" s="240">
        <f t="shared" si="693"/>
        <v>15.202245989258758</v>
      </c>
      <c r="AJ119" s="11">
        <f t="shared" si="595"/>
        <v>3</v>
      </c>
      <c r="AK119" s="11"/>
      <c r="AL119" s="11"/>
      <c r="AM119" s="11"/>
      <c r="AN119" s="11"/>
      <c r="AO119" s="11"/>
      <c r="AP119" s="11"/>
      <c r="AQ119" s="11" t="str">
        <f>'Update Stock Prices'!Q119</f>
        <v>small</v>
      </c>
      <c r="AR119" s="11"/>
      <c r="AS119" s="11"/>
      <c r="AT119" s="1472">
        <v>42771</v>
      </c>
      <c r="AU119" s="226" t="s">
        <v>834</v>
      </c>
      <c r="AV119" s="20">
        <f ca="1">AV243</f>
        <v>9.1215668080593844</v>
      </c>
      <c r="AW119" s="15" t="e">
        <f t="shared" ref="AW119:AW124" ca="1" si="974">AV119/$AV$128</f>
        <v>#REF!</v>
      </c>
      <c r="AX119" s="19">
        <f t="shared" ca="1" si="973"/>
        <v>0.76013056733828199</v>
      </c>
      <c r="AY119" s="186" t="e">
        <f t="shared" ref="AY119:AY125" ca="1" si="975">AW119*$AU$131</f>
        <v>#REF!</v>
      </c>
      <c r="AZ119" s="847" t="e">
        <f t="shared" ca="1" si="953"/>
        <v>#REF!</v>
      </c>
      <c r="BA119" s="445" t="s">
        <v>1193</v>
      </c>
      <c r="BB119" s="30">
        <v>2750.28</v>
      </c>
      <c r="BC119" s="186" t="s">
        <v>1240</v>
      </c>
      <c r="BD119" s="720" t="s">
        <v>1239</v>
      </c>
      <c r="BE119" s="20" t="s">
        <v>2686</v>
      </c>
      <c r="BF119" s="746"/>
      <c r="BG119" s="236"/>
      <c r="BH119" s="19"/>
      <c r="BI119" s="221">
        <v>39509</v>
      </c>
      <c r="BJ119" s="46"/>
      <c r="BK119" s="19">
        <v>72156</v>
      </c>
      <c r="BL119" s="183">
        <f t="shared" si="957"/>
        <v>3.3339061694449112E-2</v>
      </c>
      <c r="BM119" s="16">
        <f t="shared" si="954"/>
        <v>1.4401532842344771</v>
      </c>
      <c r="BN119" s="19">
        <f t="shared" si="955"/>
        <v>197.55236139630389</v>
      </c>
      <c r="BO119" s="938" t="str">
        <f t="shared" si="956"/>
        <v/>
      </c>
      <c r="BS119" s="420" t="str">
        <f t="shared" si="715"/>
        <v>TGS</v>
      </c>
      <c r="BT119" s="425">
        <f t="shared" si="716"/>
        <v>233.13460000000001</v>
      </c>
      <c r="BU119" s="19">
        <f t="shared" si="717"/>
        <v>11.1</v>
      </c>
      <c r="BV119" s="19">
        <f t="shared" si="718"/>
        <v>2587.7940600000002</v>
      </c>
      <c r="BW119" s="539">
        <f t="shared" si="719"/>
        <v>7.0000000000000007E-2</v>
      </c>
      <c r="BX119" s="19">
        <f t="shared" si="720"/>
        <v>16.319422000000003</v>
      </c>
      <c r="BY119" s="10">
        <f t="shared" si="721"/>
        <v>1.4702181981981985</v>
      </c>
      <c r="BZ119" s="10">
        <f t="shared" si="722"/>
        <v>234.60481819819822</v>
      </c>
      <c r="CA119" s="539">
        <f t="shared" si="723"/>
        <v>2604.1134820000002</v>
      </c>
      <c r="CB119" s="19">
        <f t="shared" si="724"/>
        <v>16.422337273873875</v>
      </c>
      <c r="CC119" s="10">
        <f t="shared" si="725"/>
        <v>1.4794898444931419</v>
      </c>
      <c r="CD119" s="10">
        <f t="shared" si="726"/>
        <v>236.08430804269136</v>
      </c>
      <c r="CE119" s="539">
        <f t="shared" si="727"/>
        <v>2620.535819273874</v>
      </c>
      <c r="CF119" s="19">
        <f t="shared" si="728"/>
        <v>16.525901562988398</v>
      </c>
      <c r="CG119" s="10">
        <f t="shared" si="729"/>
        <v>1.4888199606295855</v>
      </c>
      <c r="CH119" s="10">
        <f t="shared" si="730"/>
        <v>237.57312800332096</v>
      </c>
      <c r="CI119" s="539">
        <f t="shared" si="731"/>
        <v>2637.0617208368626</v>
      </c>
      <c r="CJ119" s="19">
        <f t="shared" si="732"/>
        <v>16.630118960232469</v>
      </c>
      <c r="CK119" s="10">
        <f t="shared" si="733"/>
        <v>1.4982089153362586</v>
      </c>
      <c r="CL119" s="10">
        <f t="shared" si="734"/>
        <v>239.07133691865721</v>
      </c>
      <c r="CM119" s="539">
        <f t="shared" si="735"/>
        <v>2653.6918397970949</v>
      </c>
      <c r="CN119" s="19">
        <f t="shared" si="736"/>
        <v>16.734993584306007</v>
      </c>
      <c r="CO119" s="10">
        <f t="shared" si="737"/>
        <v>1.507657079667208</v>
      </c>
      <c r="CP119" s="10">
        <f t="shared" si="738"/>
        <v>240.57899399832442</v>
      </c>
      <c r="CQ119" s="539">
        <f t="shared" si="739"/>
        <v>2670.4268333814011</v>
      </c>
      <c r="CR119" s="19">
        <f t="shared" si="740"/>
        <v>16.840529579882713</v>
      </c>
      <c r="CS119" s="10">
        <f t="shared" si="741"/>
        <v>1.5171648270164606</v>
      </c>
      <c r="CT119" s="10">
        <f t="shared" si="742"/>
        <v>242.09615882534089</v>
      </c>
      <c r="CU119" s="539">
        <f t="shared" si="743"/>
        <v>2687.2673629612837</v>
      </c>
      <c r="CV119" s="19">
        <f t="shared" si="744"/>
        <v>16.946731117773865</v>
      </c>
      <c r="CW119" s="10">
        <f t="shared" si="745"/>
        <v>1.5267325331327808</v>
      </c>
      <c r="CX119" s="10">
        <f t="shared" si="746"/>
        <v>243.62289135847368</v>
      </c>
      <c r="CY119" s="539">
        <f t="shared" si="747"/>
        <v>2704.2140940790578</v>
      </c>
      <c r="CZ119" s="19">
        <f t="shared" si="748"/>
        <v>17.053602395093158</v>
      </c>
      <c r="DA119" s="10">
        <f t="shared" si="749"/>
        <v>1.5363605761345187</v>
      </c>
      <c r="DB119" s="10">
        <f t="shared" si="750"/>
        <v>245.15925193460819</v>
      </c>
      <c r="DC119" s="539">
        <f t="shared" si="751"/>
        <v>2721.2676964741509</v>
      </c>
      <c r="DD119" s="19">
        <f t="shared" si="752"/>
        <v>17.161147635422576</v>
      </c>
      <c r="DE119" s="10">
        <f t="shared" si="753"/>
        <v>1.5460493365245565</v>
      </c>
      <c r="DF119" s="10">
        <f t="shared" si="754"/>
        <v>246.70530127113275</v>
      </c>
      <c r="DG119" s="539">
        <f t="shared" si="755"/>
        <v>2738.4288441095737</v>
      </c>
      <c r="DH119" s="19">
        <f t="shared" si="756"/>
        <v>17.269371088979295</v>
      </c>
      <c r="DI119" s="10">
        <f t="shared" si="757"/>
        <v>1.555799197205342</v>
      </c>
      <c r="DJ119" s="10">
        <f t="shared" si="758"/>
        <v>248.2611004683381</v>
      </c>
      <c r="DK119" s="539">
        <f t="shared" si="759"/>
        <v>2755.698215198553</v>
      </c>
      <c r="DL119" s="19">
        <f t="shared" si="760"/>
        <v>17.378277032783668</v>
      </c>
      <c r="DM119" s="10">
        <f t="shared" si="761"/>
        <v>1.5656105434940242</v>
      </c>
      <c r="DN119" s="10">
        <f t="shared" si="762"/>
        <v>249.82671101183212</v>
      </c>
      <c r="DO119" s="539">
        <f t="shared" si="763"/>
        <v>2773.0764922313365</v>
      </c>
      <c r="DP119" s="19">
        <f t="shared" si="764"/>
        <v>17.487869770828251</v>
      </c>
      <c r="DQ119" s="10">
        <f t="shared" si="765"/>
        <v>1.5754837631376803</v>
      </c>
      <c r="DR119" s="10">
        <f t="shared" si="766"/>
        <v>251.40219477496979</v>
      </c>
      <c r="DS119" s="539">
        <f t="shared" si="767"/>
        <v>2790.5643620021647</v>
      </c>
      <c r="DT119" s="19">
        <f t="shared" si="768"/>
        <v>17.598153634247886</v>
      </c>
      <c r="DU119" s="10">
        <f t="shared" si="769"/>
        <v>1.5854192463286385</v>
      </c>
      <c r="DV119" s="10">
        <f t="shared" si="770"/>
        <v>252.98761402129841</v>
      </c>
      <c r="DW119" s="539">
        <f t="shared" si="771"/>
        <v>2808.1625156364121</v>
      </c>
      <c r="DX119" s="19">
        <f t="shared" si="772"/>
        <v>17.709132981490889</v>
      </c>
      <c r="DY119" s="10">
        <f t="shared" si="773"/>
        <v>1.5954173857198999</v>
      </c>
      <c r="DZ119" s="10">
        <f t="shared" si="774"/>
        <v>254.58303140701832</v>
      </c>
      <c r="EA119" s="539">
        <f t="shared" si="775"/>
        <v>2825.8716486179032</v>
      </c>
      <c r="EB119" s="19">
        <f t="shared" si="776"/>
        <v>17.820812198491286</v>
      </c>
      <c r="EC119" s="10">
        <f t="shared" si="777"/>
        <v>1.6054785764406565</v>
      </c>
      <c r="ED119" s="10">
        <f t="shared" si="778"/>
        <v>256.18850998345897</v>
      </c>
      <c r="EE119" s="539">
        <f t="shared" si="779"/>
        <v>2843.6924608163945</v>
      </c>
      <c r="EF119" s="19">
        <f t="shared" si="780"/>
        <v>17.93319569884213</v>
      </c>
      <c r="EG119" s="10">
        <f t="shared" si="781"/>
        <v>1.6156032161119036</v>
      </c>
      <c r="EH119" s="10">
        <f t="shared" si="782"/>
        <v>257.80411319957085</v>
      </c>
      <c r="EI119" s="539">
        <f t="shared" si="783"/>
        <v>2861.6256565152362</v>
      </c>
      <c r="EJ119" s="19">
        <f t="shared" si="784"/>
        <v>18.04628792396996</v>
      </c>
      <c r="EK119" s="10">
        <f t="shared" si="785"/>
        <v>1.6257917048621586</v>
      </c>
      <c r="EL119" s="10">
        <f t="shared" si="786"/>
        <v>259.42990490443299</v>
      </c>
      <c r="EM119" s="539">
        <f t="shared" si="787"/>
        <v>2879.6719444392061</v>
      </c>
      <c r="EN119" s="19">
        <f t="shared" si="788"/>
        <v>18.160093343310312</v>
      </c>
      <c r="EO119" s="10">
        <f t="shared" si="789"/>
        <v>1.6360444453432714</v>
      </c>
      <c r="EP119" s="10">
        <f t="shared" si="790"/>
        <v>261.06594934977625</v>
      </c>
      <c r="EQ119" s="539">
        <f t="shared" si="791"/>
        <v>2897.8320377825162</v>
      </c>
      <c r="ER119" s="19">
        <f t="shared" si="792"/>
        <v>18.274616454484338</v>
      </c>
      <c r="ES119" s="10">
        <f t="shared" si="793"/>
        <v>1.6463618427463369</v>
      </c>
      <c r="ET119" s="10">
        <f t="shared" si="794"/>
        <v>262.71231119252258</v>
      </c>
      <c r="EU119" s="539">
        <f t="shared" si="795"/>
        <v>2916.1066542370004</v>
      </c>
      <c r="EV119" s="19">
        <f t="shared" si="796"/>
        <v>18.389861783476583</v>
      </c>
      <c r="EW119" s="10">
        <f t="shared" si="797"/>
        <v>1.6567443048177102</v>
      </c>
      <c r="EX119" s="10">
        <f t="shared" si="798"/>
        <v>264.3690554973403</v>
      </c>
      <c r="EY119" s="539">
        <f t="shared" si="799"/>
        <v>2934.4965160204774</v>
      </c>
      <c r="EZ119" s="19">
        <f t="shared" si="800"/>
        <v>18.505833884813821</v>
      </c>
      <c r="FA119" s="10">
        <f t="shared" si="801"/>
        <v>1.6671922418751191</v>
      </c>
      <c r="FB119" s="10">
        <f t="shared" si="802"/>
        <v>266.03624773921541</v>
      </c>
      <c r="FC119" s="539">
        <f t="shared" si="803"/>
        <v>2953.0023499052909</v>
      </c>
      <c r="FD119" s="19">
        <f t="shared" si="804"/>
        <v>18.62253734174508</v>
      </c>
      <c r="FE119" s="10">
        <f t="shared" si="805"/>
        <v>1.677706066823881</v>
      </c>
      <c r="FF119" s="10">
        <f t="shared" si="806"/>
        <v>267.71395380603929</v>
      </c>
      <c r="FG119" s="539">
        <f t="shared" si="807"/>
        <v>2971.624887247036</v>
      </c>
      <c r="FH119" s="19">
        <f t="shared" si="808"/>
        <v>18.739976766422753</v>
      </c>
      <c r="FI119" s="10">
        <f t="shared" si="809"/>
        <v>1.6882861951732211</v>
      </c>
      <c r="FJ119" s="10">
        <f t="shared" si="810"/>
        <v>269.40224000121253</v>
      </c>
      <c r="FK119" s="539">
        <f t="shared" si="811"/>
        <v>2990.3648640134588</v>
      </c>
      <c r="FL119" s="19">
        <f t="shared" si="812"/>
        <v>18.858156800084878</v>
      </c>
      <c r="FM119" s="10">
        <f t="shared" si="813"/>
        <v>1.6989330450526918</v>
      </c>
      <c r="FN119" s="10">
        <f t="shared" si="814"/>
        <v>271.10117304626522</v>
      </c>
      <c r="FO119" s="539">
        <f t="shared" si="815"/>
        <v>3009.2230208135438</v>
      </c>
      <c r="FP119" s="19">
        <f t="shared" si="816"/>
        <v>18.977082113238566</v>
      </c>
      <c r="FQ119" s="10">
        <f t="shared" si="817"/>
        <v>1.7096470372286998</v>
      </c>
      <c r="FR119" s="10">
        <f t="shared" si="818"/>
        <v>272.81082008349392</v>
      </c>
      <c r="FS119" s="539">
        <f t="shared" si="819"/>
        <v>3028.2001029267826</v>
      </c>
      <c r="FT119" s="19">
        <f t="shared" si="820"/>
        <v>19.096757405844578</v>
      </c>
      <c r="FU119" s="10">
        <f t="shared" si="821"/>
        <v>1.7204285951211331</v>
      </c>
      <c r="FV119" s="10">
        <f t="shared" si="822"/>
        <v>274.53124867861504</v>
      </c>
      <c r="FW119" s="539">
        <f t="shared" si="823"/>
        <v>3047.2968603326267</v>
      </c>
      <c r="FX119" s="19">
        <f t="shared" si="824"/>
        <v>19.217187407503054</v>
      </c>
      <c r="FY119" s="10">
        <f t="shared" si="825"/>
        <v>1.7312781448200951</v>
      </c>
      <c r="FZ119" s="10">
        <f t="shared" si="826"/>
        <v>276.26252682343511</v>
      </c>
      <c r="GA119" s="539">
        <f t="shared" si="827"/>
        <v>3066.5140477401296</v>
      </c>
      <c r="GB119" s="19">
        <f t="shared" si="828"/>
        <v>19.33837687764046</v>
      </c>
      <c r="GC119" s="10">
        <f t="shared" si="829"/>
        <v>1.7421961151027443</v>
      </c>
      <c r="GD119" s="10">
        <f t="shared" si="830"/>
        <v>278.00472293853784</v>
      </c>
      <c r="GE119" s="539">
        <f t="shared" si="831"/>
        <v>3085.8524246177699</v>
      </c>
      <c r="GF119" s="19">
        <f t="shared" si="832"/>
        <v>19.460330605697649</v>
      </c>
      <c r="GG119" s="10">
        <f t="shared" si="833"/>
        <v>1.7531829374502388</v>
      </c>
      <c r="GH119" s="10">
        <f t="shared" si="834"/>
        <v>279.75790587598806</v>
      </c>
      <c r="GI119" s="539">
        <f t="shared" si="835"/>
        <v>3105.3127552234673</v>
      </c>
      <c r="GJ119" s="19">
        <f t="shared" si="836"/>
        <v>19.583053411319167</v>
      </c>
      <c r="GK119" s="10">
        <f t="shared" si="837"/>
        <v>1.7642390460647899</v>
      </c>
      <c r="GL119" s="10">
        <f t="shared" si="838"/>
        <v>281.52214492205286</v>
      </c>
      <c r="GM119" s="539">
        <f t="shared" si="839"/>
        <v>3124.8958086347866</v>
      </c>
      <c r="GN119" s="19">
        <f t="shared" si="840"/>
        <v>19.706550144543701</v>
      </c>
      <c r="GO119" s="10">
        <f t="shared" si="841"/>
        <v>1.7753648778868201</v>
      </c>
      <c r="GP119" s="10">
        <f t="shared" si="842"/>
        <v>283.29750979993969</v>
      </c>
      <c r="GQ119" s="539">
        <f t="shared" si="843"/>
        <v>3144.6023587793306</v>
      </c>
      <c r="GR119" s="19">
        <f t="shared" si="844"/>
        <v>19.83082568599578</v>
      </c>
      <c r="GS119" s="10">
        <f t="shared" si="845"/>
        <v>1.7865608726122324</v>
      </c>
      <c r="GT119" s="10">
        <f t="shared" si="846"/>
        <v>285.08407067255195</v>
      </c>
      <c r="GU119" s="539">
        <f t="shared" si="847"/>
        <v>3164.4331844653266</v>
      </c>
      <c r="GV119" s="19">
        <f t="shared" si="848"/>
        <v>19.955884947078637</v>
      </c>
      <c r="GW119" s="10">
        <f t="shared" si="849"/>
        <v>1.7978274727097872</v>
      </c>
      <c r="GX119" s="10">
        <f t="shared" si="850"/>
        <v>286.88189814526174</v>
      </c>
      <c r="GY119" s="539">
        <f t="shared" si="851"/>
        <v>3184.3890694124052</v>
      </c>
      <c r="GZ119" s="19">
        <f t="shared" si="852"/>
        <v>20.081732870168324</v>
      </c>
      <c r="HA119" s="10">
        <f t="shared" si="853"/>
        <v>1.8091651234385877</v>
      </c>
      <c r="HB119" s="10">
        <f t="shared" si="854"/>
        <v>288.6910632687003</v>
      </c>
      <c r="HC119" s="539">
        <f t="shared" si="855"/>
        <v>3204.4708022825735</v>
      </c>
      <c r="HD119" s="19">
        <f t="shared" si="856"/>
        <v>20.208374428809023</v>
      </c>
      <c r="HE119" s="10">
        <f t="shared" si="857"/>
        <v>1.8205742728656777</v>
      </c>
      <c r="HF119" s="10">
        <f t="shared" si="858"/>
        <v>290.51163754156596</v>
      </c>
      <c r="HG119" s="539">
        <f t="shared" si="859"/>
        <v>3224.6791767113818</v>
      </c>
      <c r="HH119" s="19">
        <f t="shared" si="860"/>
        <v>20.33581462790962</v>
      </c>
      <c r="HI119" s="10">
        <f t="shared" si="861"/>
        <v>1.8320553718837496</v>
      </c>
      <c r="HJ119" s="10">
        <f t="shared" si="862"/>
        <v>292.34369291344973</v>
      </c>
      <c r="HK119" s="539">
        <f t="shared" si="863"/>
        <v>3245.014991339292</v>
      </c>
      <c r="HL119" s="19">
        <f t="shared" si="864"/>
        <v>20.464058503941484</v>
      </c>
      <c r="HM119" s="10">
        <f t="shared" si="865"/>
        <v>1.8436088742289625</v>
      </c>
      <c r="HN119" s="10">
        <f t="shared" si="866"/>
        <v>294.18730178767868</v>
      </c>
      <c r="HO119" s="539">
        <f t="shared" si="867"/>
        <v>3265.479049843233</v>
      </c>
      <c r="HP119" s="19">
        <f t="shared" si="868"/>
        <v>20.593111125137508</v>
      </c>
      <c r="HQ119" s="10">
        <f t="shared" si="869"/>
        <v>1.8552352364988747</v>
      </c>
      <c r="HR119" s="10">
        <f t="shared" si="870"/>
        <v>296.04253702417753</v>
      </c>
      <c r="HS119" s="539">
        <f t="shared" si="871"/>
        <v>3286.0721609683706</v>
      </c>
      <c r="HT119" s="19">
        <f t="shared" si="872"/>
        <v>20.72297759169243</v>
      </c>
      <c r="HU119" s="10">
        <f t="shared" si="873"/>
        <v>1.8669349181704893</v>
      </c>
      <c r="HV119" s="10">
        <f t="shared" si="874"/>
        <v>297.90947194234803</v>
      </c>
      <c r="HW119" s="539">
        <f t="shared" si="875"/>
        <v>3306.7951385600632</v>
      </c>
      <c r="HX119" s="19">
        <f t="shared" si="876"/>
        <v>20.853663035964363</v>
      </c>
      <c r="HY119" s="10">
        <f t="shared" si="877"/>
        <v>1.8787083816184111</v>
      </c>
      <c r="HZ119" s="10">
        <f t="shared" si="878"/>
        <v>299.78818032396646</v>
      </c>
      <c r="IA119" s="539">
        <f t="shared" si="879"/>
        <v>3327.6488015960276</v>
      </c>
      <c r="IB119" s="19">
        <f t="shared" si="880"/>
        <v>20.985172622677656</v>
      </c>
      <c r="IF119" s="11"/>
      <c r="IM119" s="11"/>
      <c r="IN119" s="19"/>
      <c r="IO119" s="20"/>
      <c r="IP119" s="10"/>
    </row>
    <row r="120" spans="1:250">
      <c r="A120" s="11"/>
      <c r="B120" s="20"/>
      <c r="C120" s="826" t="s">
        <v>2348</v>
      </c>
      <c r="D120" s="47" t="s">
        <v>80</v>
      </c>
      <c r="E120" s="396">
        <f t="shared" si="931"/>
        <v>22.106300000000001</v>
      </c>
      <c r="F120" s="242">
        <f>14.1041+0.0022</f>
        <v>14.106300000000001</v>
      </c>
      <c r="G120" s="48">
        <f>'Update Stock Prices'!S120</f>
        <v>75392670.157068059</v>
      </c>
      <c r="H120" s="991">
        <f t="shared" si="610"/>
        <v>1.8710439583333336E-7</v>
      </c>
      <c r="I120" s="49">
        <f>'Update Stock Prices'!D120</f>
        <v>38.200000000000003</v>
      </c>
      <c r="J120" s="49">
        <f t="shared" si="404"/>
        <v>538.86066000000005</v>
      </c>
      <c r="K120" s="30">
        <v>336.09</v>
      </c>
      <c r="L120" s="49">
        <f t="shared" si="611"/>
        <v>202.77066000000008</v>
      </c>
      <c r="M120" s="50">
        <f t="shared" si="613"/>
        <v>0.60332250290100897</v>
      </c>
      <c r="N120" s="49">
        <f t="shared" si="612"/>
        <v>23.825524765530293</v>
      </c>
      <c r="O120" s="48">
        <f t="shared" si="932"/>
        <v>8</v>
      </c>
      <c r="P120" s="49">
        <f>IF(($B$11-$B$12)-(O120*I120)&lt;0,0,($B$11-$B$12)-(O120*I120))</f>
        <v>15.409999999999968</v>
      </c>
      <c r="Q120" s="30">
        <f>0.09*4</f>
        <v>0.36</v>
      </c>
      <c r="R120" s="49">
        <f t="shared" si="242"/>
        <v>1.3903540041067763E-2</v>
      </c>
      <c r="S120" s="49">
        <f t="shared" si="935"/>
        <v>5.0782680000000004</v>
      </c>
      <c r="T120" s="49">
        <f t="shared" si="399"/>
        <v>0.42318900000000004</v>
      </c>
      <c r="U120" s="49" t="s">
        <v>54</v>
      </c>
      <c r="V120" s="50">
        <f t="shared" si="937"/>
        <v>9.424083769633506E-3</v>
      </c>
      <c r="W120" s="50">
        <f t="shared" si="575"/>
        <v>1.5109845577077572E-2</v>
      </c>
      <c r="X120" s="49">
        <f>12*((E120*Q120)/12-T120)</f>
        <v>2.88</v>
      </c>
      <c r="Y120" s="49">
        <f t="shared" si="654"/>
        <v>1.2695670000000001</v>
      </c>
      <c r="Z120" s="860">
        <f t="shared" si="939"/>
        <v>0</v>
      </c>
      <c r="AA120" s="860">
        <f t="shared" si="940"/>
        <v>410.33814444444454</v>
      </c>
      <c r="AB120" s="49">
        <f t="shared" si="941"/>
        <v>15674.917117777783</v>
      </c>
      <c r="AC120" s="48">
        <v>1</v>
      </c>
      <c r="AD120" s="47" t="str">
        <f t="shared" si="942"/>
        <v>TR</v>
      </c>
      <c r="AE120" s="49">
        <f t="shared" si="943"/>
        <v>538.86066000000005</v>
      </c>
      <c r="AF120" s="50" t="e">
        <f t="shared" si="692"/>
        <v>#REF!</v>
      </c>
      <c r="AG120" s="890" t="e">
        <f t="shared" si="910"/>
        <v>#REF!</v>
      </c>
      <c r="AH120" s="207" t="s">
        <v>378</v>
      </c>
      <c r="AI120" s="240">
        <f t="shared" si="693"/>
        <v>0.6591758527757885</v>
      </c>
      <c r="AJ120" s="11">
        <f t="shared" si="595"/>
        <v>2</v>
      </c>
      <c r="AK120" s="11"/>
      <c r="AL120" s="11"/>
      <c r="AM120" s="11"/>
      <c r="AN120" s="11"/>
      <c r="AO120" s="11">
        <v>1</v>
      </c>
      <c r="AP120" s="11"/>
      <c r="AQ120" s="11" t="str">
        <f>'Update Stock Prices'!Q120</f>
        <v>mid</v>
      </c>
      <c r="AR120" s="11"/>
      <c r="AS120" s="11"/>
      <c r="AT120" s="1473">
        <v>75753.53</v>
      </c>
      <c r="AU120" s="224" t="s">
        <v>814</v>
      </c>
      <c r="AV120" s="19">
        <f ca="1">AY152+AV291+AY188</f>
        <v>105.0085357048618</v>
      </c>
      <c r="AW120" s="15" t="e">
        <f t="shared" ca="1" si="974"/>
        <v>#REF!</v>
      </c>
      <c r="AX120" s="19">
        <f t="shared" ca="1" si="973"/>
        <v>8.7507113087384827</v>
      </c>
      <c r="AY120" s="186" t="e">
        <f t="shared" ca="1" si="975"/>
        <v>#REF!</v>
      </c>
      <c r="AZ120" s="847" t="e">
        <f t="shared" ca="1" si="953"/>
        <v>#REF!</v>
      </c>
      <c r="BA120" s="445" t="s">
        <v>1194</v>
      </c>
      <c r="BB120" s="19">
        <f>BB121/12</f>
        <v>5958.94</v>
      </c>
      <c r="BC120" s="186"/>
      <c r="BD120" s="713">
        <v>0.05</v>
      </c>
      <c r="BE120" s="658"/>
      <c r="BF120" s="27"/>
      <c r="BG120" s="234" t="s">
        <v>2812</v>
      </c>
      <c r="BH120" s="19"/>
      <c r="BI120" s="221">
        <v>39817</v>
      </c>
      <c r="BJ120" s="46"/>
      <c r="BK120" s="19">
        <v>75537</v>
      </c>
      <c r="BL120" s="183">
        <f t="shared" si="957"/>
        <v>4.6856810244470415E-2</v>
      </c>
      <c r="BM120" s="16">
        <f t="shared" si="954"/>
        <v>1.5076342733968027</v>
      </c>
      <c r="BN120" s="19">
        <f t="shared" si="955"/>
        <v>206.80903490759755</v>
      </c>
      <c r="BO120" s="938" t="str">
        <f t="shared" si="956"/>
        <v/>
      </c>
      <c r="BS120" s="420" t="str">
        <f t="shared" si="715"/>
        <v>TR</v>
      </c>
      <c r="BT120" s="425">
        <f t="shared" si="716"/>
        <v>14.106300000000001</v>
      </c>
      <c r="BU120" s="19">
        <f t="shared" si="717"/>
        <v>38.200000000000003</v>
      </c>
      <c r="BV120" s="19">
        <f t="shared" si="718"/>
        <v>538.86066000000005</v>
      </c>
      <c r="BW120" s="539">
        <f t="shared" si="719"/>
        <v>0.36</v>
      </c>
      <c r="BX120" s="19">
        <f t="shared" si="720"/>
        <v>5.0782680000000004</v>
      </c>
      <c r="BY120" s="10">
        <f t="shared" si="721"/>
        <v>0.13293895287958116</v>
      </c>
      <c r="BZ120" s="10">
        <f t="shared" si="722"/>
        <v>14.239238952879582</v>
      </c>
      <c r="CA120" s="539">
        <f t="shared" si="723"/>
        <v>543.93892800000003</v>
      </c>
      <c r="CB120" s="19">
        <f t="shared" si="724"/>
        <v>5.1261260230366492</v>
      </c>
      <c r="CC120" s="10">
        <f t="shared" si="725"/>
        <v>0.13419178070776569</v>
      </c>
      <c r="CD120" s="10">
        <f t="shared" si="726"/>
        <v>14.373430733587348</v>
      </c>
      <c r="CE120" s="539">
        <f t="shared" si="727"/>
        <v>549.06505402303674</v>
      </c>
      <c r="CF120" s="19">
        <f t="shared" si="728"/>
        <v>5.1744350640914449</v>
      </c>
      <c r="CG120" s="10">
        <f t="shared" si="729"/>
        <v>0.13545641529035196</v>
      </c>
      <c r="CH120" s="10">
        <f t="shared" si="730"/>
        <v>14.508887148877701</v>
      </c>
      <c r="CI120" s="539">
        <f t="shared" si="731"/>
        <v>554.23948908712816</v>
      </c>
      <c r="CJ120" s="19">
        <f t="shared" si="732"/>
        <v>5.2231993735959721</v>
      </c>
      <c r="CK120" s="10">
        <f t="shared" si="733"/>
        <v>0.13673296789518249</v>
      </c>
      <c r="CL120" s="10">
        <f t="shared" si="734"/>
        <v>14.645620116772884</v>
      </c>
      <c r="CM120" s="539">
        <f t="shared" si="735"/>
        <v>559.46268846072417</v>
      </c>
      <c r="CN120" s="19">
        <f t="shared" si="736"/>
        <v>5.2724232420382382</v>
      </c>
      <c r="CO120" s="10">
        <f t="shared" si="737"/>
        <v>0.13802155083869733</v>
      </c>
      <c r="CP120" s="10">
        <f t="shared" si="738"/>
        <v>14.783641667611581</v>
      </c>
      <c r="CQ120" s="539">
        <f t="shared" si="739"/>
        <v>564.73511170276242</v>
      </c>
      <c r="CR120" s="19">
        <f t="shared" si="740"/>
        <v>5.3221110003401693</v>
      </c>
      <c r="CS120" s="10">
        <f t="shared" si="741"/>
        <v>0.13932227749581594</v>
      </c>
      <c r="CT120" s="10">
        <f t="shared" si="742"/>
        <v>14.922963945107398</v>
      </c>
      <c r="CU120" s="539">
        <f t="shared" si="743"/>
        <v>570.05722270310264</v>
      </c>
      <c r="CV120" s="19">
        <f t="shared" si="744"/>
        <v>5.3722670202386631</v>
      </c>
      <c r="CW120" s="10">
        <f t="shared" si="745"/>
        <v>0.14063526230991263</v>
      </c>
      <c r="CX120" s="10">
        <f t="shared" si="746"/>
        <v>15.06359920741731</v>
      </c>
      <c r="CY120" s="539">
        <f t="shared" si="747"/>
        <v>575.42948972334125</v>
      </c>
      <c r="CZ120" s="19">
        <f t="shared" si="748"/>
        <v>5.422895714670231</v>
      </c>
      <c r="DA120" s="10">
        <f t="shared" si="749"/>
        <v>0.14196062080288563</v>
      </c>
      <c r="DB120" s="10">
        <f t="shared" si="750"/>
        <v>15.205559828220196</v>
      </c>
      <c r="DC120" s="539">
        <f t="shared" si="751"/>
        <v>580.85238543801154</v>
      </c>
      <c r="DD120" s="19">
        <f t="shared" si="752"/>
        <v>5.4740015381592704</v>
      </c>
      <c r="DE120" s="10">
        <f t="shared" si="753"/>
        <v>0.14329846958532119</v>
      </c>
      <c r="DF120" s="10">
        <f t="shared" si="754"/>
        <v>15.348858297805517</v>
      </c>
      <c r="DG120" s="539">
        <f t="shared" si="755"/>
        <v>586.32638697617074</v>
      </c>
      <c r="DH120" s="19">
        <f t="shared" si="756"/>
        <v>5.5255889872099857</v>
      </c>
      <c r="DI120" s="10">
        <f t="shared" si="757"/>
        <v>0.14464892636675356</v>
      </c>
      <c r="DJ120" s="10">
        <f t="shared" si="758"/>
        <v>15.493507224172271</v>
      </c>
      <c r="DK120" s="539">
        <f t="shared" si="759"/>
        <v>591.85197596338082</v>
      </c>
      <c r="DL120" s="19">
        <f t="shared" si="760"/>
        <v>5.5776626007020171</v>
      </c>
      <c r="DM120" s="10">
        <f t="shared" si="761"/>
        <v>0.14601210996602138</v>
      </c>
      <c r="DN120" s="10">
        <f t="shared" si="762"/>
        <v>15.639519334138292</v>
      </c>
      <c r="DO120" s="539">
        <f t="shared" si="763"/>
        <v>597.42963856408278</v>
      </c>
      <c r="DP120" s="19">
        <f t="shared" si="764"/>
        <v>5.630226960289785</v>
      </c>
      <c r="DQ120" s="10">
        <f t="shared" si="765"/>
        <v>0.14738814032172212</v>
      </c>
      <c r="DR120" s="10">
        <f t="shared" si="766"/>
        <v>15.786907474460014</v>
      </c>
      <c r="DS120" s="539">
        <f t="shared" si="767"/>
        <v>603.05986552437253</v>
      </c>
      <c r="DT120" s="19">
        <f t="shared" si="768"/>
        <v>5.6832866908056046</v>
      </c>
      <c r="DU120" s="10">
        <f t="shared" si="769"/>
        <v>0.1487771385027645</v>
      </c>
      <c r="DV120" s="10">
        <f t="shared" si="770"/>
        <v>15.935684612962778</v>
      </c>
      <c r="DW120" s="539">
        <f t="shared" si="771"/>
        <v>608.74315221517816</v>
      </c>
      <c r="DX120" s="19">
        <f t="shared" si="772"/>
        <v>5.7368464606665999</v>
      </c>
      <c r="DY120" s="10">
        <f t="shared" si="773"/>
        <v>0.15017922671902093</v>
      </c>
      <c r="DZ120" s="10">
        <f t="shared" si="774"/>
        <v>16.085863839681799</v>
      </c>
      <c r="EA120" s="539">
        <f t="shared" si="775"/>
        <v>614.47999867584474</v>
      </c>
      <c r="EB120" s="19">
        <f t="shared" si="776"/>
        <v>5.7909109822854479</v>
      </c>
      <c r="EC120" s="10">
        <f t="shared" si="777"/>
        <v>0.15159452833207979</v>
      </c>
      <c r="ED120" s="10">
        <f t="shared" si="778"/>
        <v>16.237458368013879</v>
      </c>
      <c r="EE120" s="539">
        <f t="shared" si="779"/>
        <v>620.27090965813022</v>
      </c>
      <c r="EF120" s="19">
        <f t="shared" si="780"/>
        <v>5.8454850124849962</v>
      </c>
      <c r="EG120" s="10">
        <f t="shared" si="781"/>
        <v>0.15302316786609937</v>
      </c>
      <c r="EH120" s="10">
        <f t="shared" si="782"/>
        <v>16.390481535879978</v>
      </c>
      <c r="EI120" s="539">
        <f t="shared" si="783"/>
        <v>626.11639467061525</v>
      </c>
      <c r="EJ120" s="19">
        <f t="shared" si="784"/>
        <v>5.9005733529167923</v>
      </c>
      <c r="EK120" s="10">
        <f t="shared" si="785"/>
        <v>0.15446527101876417</v>
      </c>
      <c r="EL120" s="10">
        <f t="shared" si="786"/>
        <v>16.544946806898743</v>
      </c>
      <c r="EM120" s="539">
        <f t="shared" si="787"/>
        <v>632.01696802353206</v>
      </c>
      <c r="EN120" s="19">
        <f t="shared" si="788"/>
        <v>5.9561808504835474</v>
      </c>
      <c r="EO120" s="10">
        <f t="shared" si="789"/>
        <v>0.15592096467234415</v>
      </c>
      <c r="EP120" s="10">
        <f t="shared" si="790"/>
        <v>16.700867771571087</v>
      </c>
      <c r="EQ120" s="539">
        <f t="shared" si="791"/>
        <v>637.97314887401558</v>
      </c>
      <c r="ER120" s="19">
        <f t="shared" si="792"/>
        <v>6.0123123977655908</v>
      </c>
      <c r="ES120" s="10">
        <f t="shared" si="793"/>
        <v>0.15739037690485838</v>
      </c>
      <c r="ET120" s="10">
        <f t="shared" si="794"/>
        <v>16.858258148475944</v>
      </c>
      <c r="EU120" s="539">
        <f t="shared" si="795"/>
        <v>643.98546127178111</v>
      </c>
      <c r="EV120" s="19">
        <f t="shared" si="796"/>
        <v>6.0689729334513398</v>
      </c>
      <c r="EW120" s="10">
        <f t="shared" si="797"/>
        <v>0.15887363700134396</v>
      </c>
      <c r="EX120" s="10">
        <f t="shared" si="798"/>
        <v>17.017131785477289</v>
      </c>
      <c r="EY120" s="539">
        <f t="shared" si="799"/>
        <v>650.0544342052325</v>
      </c>
      <c r="EZ120" s="19">
        <f t="shared" si="800"/>
        <v>6.1261674427718242</v>
      </c>
      <c r="FA120" s="10">
        <f t="shared" si="801"/>
        <v>0.16037087546523099</v>
      </c>
      <c r="FB120" s="10">
        <f t="shared" si="802"/>
        <v>17.177502660942519</v>
      </c>
      <c r="FC120" s="539">
        <f t="shared" si="803"/>
        <v>656.18060164800431</v>
      </c>
      <c r="FD120" s="19">
        <f t="shared" si="804"/>
        <v>6.1839009579393069</v>
      </c>
      <c r="FE120" s="10">
        <f t="shared" si="805"/>
        <v>0.16188222402982477</v>
      </c>
      <c r="FF120" s="10">
        <f t="shared" si="806"/>
        <v>17.339384884972343</v>
      </c>
      <c r="FG120" s="539">
        <f t="shared" si="807"/>
        <v>662.36450260594358</v>
      </c>
      <c r="FH120" s="19">
        <f t="shared" si="808"/>
        <v>6.2421785585900436</v>
      </c>
      <c r="FI120" s="10">
        <f t="shared" si="809"/>
        <v>0.16340781566989643</v>
      </c>
      <c r="FJ120" s="10">
        <f t="shared" si="810"/>
        <v>17.502792700642239</v>
      </c>
      <c r="FK120" s="539">
        <f t="shared" si="811"/>
        <v>668.6066811645336</v>
      </c>
      <c r="FL120" s="19">
        <f t="shared" si="812"/>
        <v>6.3010053722312058</v>
      </c>
      <c r="FM120" s="10">
        <f t="shared" si="813"/>
        <v>0.16494778461338233</v>
      </c>
      <c r="FN120" s="10">
        <f t="shared" si="814"/>
        <v>17.667740485255621</v>
      </c>
      <c r="FO120" s="539">
        <f t="shared" si="815"/>
        <v>674.9076865367648</v>
      </c>
      <c r="FP120" s="19">
        <f t="shared" si="816"/>
        <v>6.360386574692023</v>
      </c>
      <c r="FQ120" s="10">
        <f t="shared" si="817"/>
        <v>0.16650226635319432</v>
      </c>
      <c r="FR120" s="10">
        <f t="shared" si="818"/>
        <v>17.834242751608816</v>
      </c>
      <c r="FS120" s="539">
        <f t="shared" si="819"/>
        <v>681.26807311145683</v>
      </c>
      <c r="FT120" s="19">
        <f t="shared" si="820"/>
        <v>6.4203273905791738</v>
      </c>
      <c r="FU120" s="10">
        <f t="shared" si="821"/>
        <v>0.16807139765914067</v>
      </c>
      <c r="FV120" s="10">
        <f t="shared" si="822"/>
        <v>18.002314149267956</v>
      </c>
      <c r="FW120" s="539">
        <f t="shared" si="823"/>
        <v>687.68840050203596</v>
      </c>
      <c r="FX120" s="19">
        <f t="shared" si="824"/>
        <v>6.4808330937364644</v>
      </c>
      <c r="FY120" s="10">
        <f t="shared" si="825"/>
        <v>0.16965531658995978</v>
      </c>
      <c r="FZ120" s="10">
        <f t="shared" si="826"/>
        <v>18.171969465857917</v>
      </c>
      <c r="GA120" s="539">
        <f t="shared" si="827"/>
        <v>694.16923359577243</v>
      </c>
      <c r="GB120" s="19">
        <f t="shared" si="828"/>
        <v>6.54190900770885</v>
      </c>
      <c r="GC120" s="10">
        <f t="shared" si="829"/>
        <v>0.17125416250546727</v>
      </c>
      <c r="GD120" s="10">
        <f t="shared" si="830"/>
        <v>18.343223628363383</v>
      </c>
      <c r="GE120" s="539">
        <f t="shared" si="831"/>
        <v>700.71114260348122</v>
      </c>
      <c r="GF120" s="19">
        <f t="shared" si="832"/>
        <v>6.6035605062108171</v>
      </c>
      <c r="GG120" s="10">
        <f t="shared" si="833"/>
        <v>0.17286807607881718</v>
      </c>
      <c r="GH120" s="10">
        <f t="shared" si="834"/>
        <v>18.5160917044422</v>
      </c>
      <c r="GI120" s="539">
        <f t="shared" si="835"/>
        <v>707.31470310969212</v>
      </c>
      <c r="GJ120" s="19">
        <f t="shared" si="836"/>
        <v>6.6657930135991919</v>
      </c>
      <c r="GK120" s="10">
        <f t="shared" si="837"/>
        <v>0.17449719930887936</v>
      </c>
      <c r="GL120" s="10">
        <f t="shared" si="838"/>
        <v>18.690588903751081</v>
      </c>
      <c r="GM120" s="539">
        <f t="shared" si="839"/>
        <v>713.98049612329135</v>
      </c>
      <c r="GN120" s="19">
        <f t="shared" si="840"/>
        <v>6.7286120053503886</v>
      </c>
      <c r="GO120" s="10">
        <f t="shared" si="841"/>
        <v>0.17614167553273266</v>
      </c>
      <c r="GP120" s="10">
        <f t="shared" si="842"/>
        <v>18.866730579283814</v>
      </c>
      <c r="GQ120" s="539">
        <f t="shared" si="843"/>
        <v>720.70910812864179</v>
      </c>
      <c r="GR120" s="19">
        <f t="shared" si="844"/>
        <v>6.7920230085421727</v>
      </c>
      <c r="GS120" s="10">
        <f t="shared" si="845"/>
        <v>0.17780164943827675</v>
      </c>
      <c r="GT120" s="10">
        <f t="shared" si="846"/>
        <v>19.04453222872209</v>
      </c>
      <c r="GU120" s="539">
        <f t="shared" si="847"/>
        <v>727.50113113718396</v>
      </c>
      <c r="GV120" s="19">
        <f t="shared" si="848"/>
        <v>6.8560316023399519</v>
      </c>
      <c r="GW120" s="10">
        <f t="shared" si="849"/>
        <v>0.17947726707696207</v>
      </c>
      <c r="GX120" s="10">
        <f t="shared" si="850"/>
        <v>19.224009495799052</v>
      </c>
      <c r="GY120" s="539">
        <f t="shared" si="851"/>
        <v>734.3571627395238</v>
      </c>
      <c r="GZ120" s="19">
        <f t="shared" si="852"/>
        <v>6.9206434184876588</v>
      </c>
      <c r="HA120" s="10">
        <f t="shared" si="853"/>
        <v>0.18116867587664026</v>
      </c>
      <c r="HB120" s="10">
        <f t="shared" si="854"/>
        <v>19.405178171675693</v>
      </c>
      <c r="HC120" s="539">
        <f t="shared" si="855"/>
        <v>741.27780615801157</v>
      </c>
      <c r="HD120" s="19">
        <f t="shared" si="856"/>
        <v>6.9858641418032494</v>
      </c>
      <c r="HE120" s="10">
        <f t="shared" si="857"/>
        <v>0.18287602465453531</v>
      </c>
      <c r="HF120" s="10">
        <f t="shared" si="858"/>
        <v>19.58805419633023</v>
      </c>
      <c r="HG120" s="539">
        <f t="shared" si="859"/>
        <v>748.26367029981486</v>
      </c>
      <c r="HH120" s="19">
        <f t="shared" si="860"/>
        <v>7.0516995106788825</v>
      </c>
      <c r="HI120" s="10">
        <f t="shared" si="861"/>
        <v>0.18459946363033722</v>
      </c>
      <c r="HJ120" s="10">
        <f t="shared" si="862"/>
        <v>19.772653659960568</v>
      </c>
      <c r="HK120" s="539">
        <f t="shared" si="863"/>
        <v>755.31536981049373</v>
      </c>
      <c r="HL120" s="19">
        <f t="shared" si="864"/>
        <v>7.1181553175858046</v>
      </c>
      <c r="HM120" s="10">
        <f t="shared" si="865"/>
        <v>0.18633914443941896</v>
      </c>
      <c r="HN120" s="10">
        <f t="shared" si="866"/>
        <v>19.958992804399987</v>
      </c>
      <c r="HO120" s="539">
        <f t="shared" si="867"/>
        <v>762.43352512807951</v>
      </c>
      <c r="HP120" s="19">
        <f t="shared" si="868"/>
        <v>7.185237409583995</v>
      </c>
      <c r="HQ120" s="10">
        <f t="shared" si="869"/>
        <v>0.18809522014617786</v>
      </c>
      <c r="HR120" s="10">
        <f t="shared" si="870"/>
        <v>20.147088024546164</v>
      </c>
      <c r="HS120" s="539">
        <f t="shared" si="871"/>
        <v>769.61876253766354</v>
      </c>
      <c r="HT120" s="19">
        <f t="shared" si="872"/>
        <v>7.2529516888366192</v>
      </c>
      <c r="HU120" s="10">
        <f t="shared" si="873"/>
        <v>0.18986784525750311</v>
      </c>
      <c r="HV120" s="10">
        <f t="shared" si="874"/>
        <v>20.336955869803667</v>
      </c>
      <c r="HW120" s="539">
        <f t="shared" si="875"/>
        <v>776.8717142265001</v>
      </c>
      <c r="HX120" s="19">
        <f t="shared" si="876"/>
        <v>7.3213041131293197</v>
      </c>
      <c r="HY120" s="10">
        <f t="shared" si="877"/>
        <v>0.19165717573636962</v>
      </c>
      <c r="HZ120" s="10">
        <f t="shared" si="878"/>
        <v>20.528613045540038</v>
      </c>
      <c r="IA120" s="539">
        <f t="shared" si="879"/>
        <v>784.19301833962948</v>
      </c>
      <c r="IB120" s="19">
        <f t="shared" si="880"/>
        <v>7.3903006963944131</v>
      </c>
      <c r="IG120" s="11"/>
      <c r="IM120" s="11"/>
      <c r="IN120" s="19"/>
      <c r="IO120" s="20"/>
      <c r="IP120" s="10"/>
    </row>
    <row r="121" spans="1:250">
      <c r="A121" s="11"/>
      <c r="B121" s="20"/>
      <c r="C121" s="826" t="s">
        <v>2342</v>
      </c>
      <c r="D121" s="47" t="s">
        <v>2638</v>
      </c>
      <c r="E121" s="396">
        <f t="shared" ref="E121" si="976">F121+O121</f>
        <v>113.0707</v>
      </c>
      <c r="F121" s="242">
        <v>1.0707</v>
      </c>
      <c r="G121" s="48">
        <f>'Update Stock Prices'!S121</f>
        <v>30673684.210526314</v>
      </c>
      <c r="H121" s="991">
        <f t="shared" ref="H121" si="977">F121/G121</f>
        <v>3.4906142759094034E-8</v>
      </c>
      <c r="I121" s="49">
        <f>'Update Stock Prices'!D121</f>
        <v>2.85</v>
      </c>
      <c r="J121" s="49">
        <f t="shared" ref="J121" si="978">F121*I121</f>
        <v>3.0514950000000001</v>
      </c>
      <c r="K121" s="30">
        <v>20.57</v>
      </c>
      <c r="L121" s="49">
        <f t="shared" ref="L121" si="979">J121-K121</f>
        <v>-17.518505000000001</v>
      </c>
      <c r="M121" s="50">
        <f t="shared" ref="M121" si="980">L121/K121</f>
        <v>-0.85165313563441913</v>
      </c>
      <c r="N121" s="49">
        <f t="shared" ref="N121" si="981">K121/F121</f>
        <v>19.21173064350425</v>
      </c>
      <c r="O121" s="48">
        <f t="shared" ref="O121" si="982">IF(INT(($B$11-$B$12)/I121)&lt;0,0,INT(($B$11-$B$12)/I121))</f>
        <v>112</v>
      </c>
      <c r="P121" s="49">
        <f>IF(($B$11-$B$12)-(O121*I121)&lt;0,0,($B$11-$B$12)-(O121*I121))</f>
        <v>1.8100000000000023</v>
      </c>
      <c r="Q121" s="30">
        <f>0.08*4</f>
        <v>0.32</v>
      </c>
      <c r="R121" s="49">
        <f t="shared" ref="R121" si="983">S121/365.25</f>
        <v>9.3805338809034903E-4</v>
      </c>
      <c r="S121" s="49">
        <f t="shared" ref="S121" si="984">F121*Q121</f>
        <v>0.34262399999999998</v>
      </c>
      <c r="T121" s="49">
        <f t="shared" ref="T121" si="985">S121/12</f>
        <v>2.8551999999999998E-2</v>
      </c>
      <c r="U121" s="49" t="s">
        <v>54</v>
      </c>
      <c r="V121" s="50">
        <f t="shared" ref="V121" si="986">Q121/I121</f>
        <v>0.11228070175438597</v>
      </c>
      <c r="W121" s="50">
        <f t="shared" ref="W121" si="987">S121/K121</f>
        <v>1.6656490034030139E-2</v>
      </c>
      <c r="X121" s="49">
        <f>12*((E121*Q121)/12-T121)</f>
        <v>35.840000000000003</v>
      </c>
      <c r="Y121" s="49">
        <f t="shared" ref="Y121" si="988">IF(U121="Q",3*T121,IF(U121="Y",12*T121,IF(U121="B",6*T121,IF(U121="M",T121,0))))</f>
        <v>8.5655999999999996E-2</v>
      </c>
      <c r="Z121" s="860">
        <f t="shared" ref="Z121" si="989">IF(Y121/I121&gt;1,1,0)</f>
        <v>0</v>
      </c>
      <c r="AA121" s="860">
        <f t="shared" ref="AA121" si="990">IF(Z121=1,"",IF(AND(U121&lt;&gt;"",Z121=0),I121/(Y121/F121)-F121,""))</f>
        <v>34.554299999999998</v>
      </c>
      <c r="AB121" s="49">
        <f t="shared" ref="AB121" si="991">IF(AA121&lt;&gt;"",AA121*I121,"")</f>
        <v>98.479754999999997</v>
      </c>
      <c r="AC121" s="48">
        <v>1</v>
      </c>
      <c r="AD121" s="47" t="str">
        <f t="shared" ref="AD121" si="992">D121</f>
        <v>UDFI</v>
      </c>
      <c r="AE121" s="49">
        <f t="shared" ref="AE121" si="993">J121</f>
        <v>3.0514950000000001</v>
      </c>
      <c r="AF121" s="50" t="e">
        <f t="shared" si="692"/>
        <v>#REF!</v>
      </c>
      <c r="AG121" s="890" t="e">
        <f t="shared" ref="AG121" si="994">(100*AF121)^2</f>
        <v>#REF!</v>
      </c>
      <c r="AH121" s="207" t="s">
        <v>2639</v>
      </c>
      <c r="AI121" s="240">
        <f t="shared" si="693"/>
        <v>2.1138475244733788E-5</v>
      </c>
      <c r="AJ121" s="11">
        <f t="shared" ref="AJ121" si="995">LEN(D121)</f>
        <v>4</v>
      </c>
      <c r="AK121" s="11"/>
      <c r="AL121" s="11"/>
      <c r="AM121" s="11"/>
      <c r="AN121" s="11"/>
      <c r="AO121" s="11"/>
      <c r="AP121" s="11"/>
      <c r="AQ121" s="11" t="str">
        <f>'Update Stock Prices'!Q121</f>
        <v>micro</v>
      </c>
      <c r="AR121" s="11"/>
      <c r="AS121" s="11"/>
      <c r="AT121" s="1473">
        <f>2*AT120</f>
        <v>151507.06</v>
      </c>
      <c r="AU121" s="224" t="s">
        <v>2426</v>
      </c>
      <c r="AV121" s="19">
        <f ca="1">AV299</f>
        <v>2.5017123287671233E-2</v>
      </c>
      <c r="AW121" s="15" t="e">
        <f t="shared" ca="1" si="974"/>
        <v>#REF!</v>
      </c>
      <c r="AX121" s="19">
        <f t="shared" ca="1" si="973"/>
        <v>2.0847602739726026E-3</v>
      </c>
      <c r="AY121" s="186" t="e">
        <f t="shared" ca="1" si="975"/>
        <v>#REF!</v>
      </c>
      <c r="AZ121" s="847" t="e">
        <f t="shared" ca="1" si="953"/>
        <v>#REF!</v>
      </c>
      <c r="BA121" s="445" t="s">
        <v>1196</v>
      </c>
      <c r="BB121" s="19">
        <f>BB119*26</f>
        <v>71507.28</v>
      </c>
      <c r="BC121" s="15" t="s">
        <v>2655</v>
      </c>
      <c r="BD121" s="225">
        <f>2*BB115*(BD120/26)</f>
        <v>413.21153846153851</v>
      </c>
      <c r="BE121" s="654" t="s">
        <v>1297</v>
      </c>
      <c r="BG121" s="234">
        <f ca="1">BG112/BB112</f>
        <v>1.1046138071444289</v>
      </c>
      <c r="BI121" s="221">
        <v>39873</v>
      </c>
      <c r="BJ121" s="46"/>
      <c r="BK121" s="19">
        <v>77973</v>
      </c>
      <c r="BL121" s="183">
        <f t="shared" si="957"/>
        <v>3.224909646927987E-2</v>
      </c>
      <c r="BM121" s="16">
        <f t="shared" si="954"/>
        <v>1.5562541165199688</v>
      </c>
      <c r="BN121" s="19">
        <f t="shared" si="955"/>
        <v>213.47843942505133</v>
      </c>
      <c r="BO121" s="938" t="str">
        <f t="shared" si="956"/>
        <v/>
      </c>
      <c r="BS121" s="420" t="str">
        <f t="shared" si="715"/>
        <v>UDFI</v>
      </c>
      <c r="BT121" s="425">
        <f t="shared" si="716"/>
        <v>1.0707</v>
      </c>
      <c r="BU121" s="19">
        <f t="shared" si="717"/>
        <v>2.85</v>
      </c>
      <c r="BV121" s="19">
        <f t="shared" si="718"/>
        <v>3.0514950000000001</v>
      </c>
      <c r="BW121" s="539">
        <f t="shared" si="719"/>
        <v>0.32</v>
      </c>
      <c r="BX121" s="19">
        <f t="shared" si="720"/>
        <v>0.34262399999999998</v>
      </c>
      <c r="BY121" s="10">
        <f t="shared" si="721"/>
        <v>0.12021894736842105</v>
      </c>
      <c r="BZ121" s="10">
        <f t="shared" si="722"/>
        <v>1.190918947368421</v>
      </c>
      <c r="CA121" s="539">
        <f t="shared" si="723"/>
        <v>3.3941189999999999</v>
      </c>
      <c r="CB121" s="19">
        <f t="shared" si="724"/>
        <v>0.38109406315789474</v>
      </c>
      <c r="CC121" s="10">
        <f t="shared" si="725"/>
        <v>0.13371721514312096</v>
      </c>
      <c r="CD121" s="10">
        <f t="shared" si="726"/>
        <v>1.3246361625115419</v>
      </c>
      <c r="CE121" s="539">
        <f t="shared" si="727"/>
        <v>3.7752130631578944</v>
      </c>
      <c r="CF121" s="19">
        <f t="shared" si="728"/>
        <v>0.42388357200369342</v>
      </c>
      <c r="CG121" s="10">
        <f t="shared" si="729"/>
        <v>0.14873107789603277</v>
      </c>
      <c r="CH121" s="10">
        <f t="shared" si="730"/>
        <v>1.4733672404075746</v>
      </c>
      <c r="CI121" s="539">
        <f t="shared" si="731"/>
        <v>4.1990966351615882</v>
      </c>
      <c r="CJ121" s="19">
        <f t="shared" si="732"/>
        <v>0.47147751693042389</v>
      </c>
      <c r="CK121" s="10">
        <f t="shared" si="733"/>
        <v>0.16543070769488558</v>
      </c>
      <c r="CL121" s="10">
        <f t="shared" si="734"/>
        <v>1.6387979481024602</v>
      </c>
      <c r="CM121" s="539">
        <f t="shared" si="735"/>
        <v>4.6705741520920112</v>
      </c>
      <c r="CN121" s="19">
        <f t="shared" si="736"/>
        <v>0.52441534339278728</v>
      </c>
      <c r="CO121" s="10">
        <f t="shared" si="737"/>
        <v>0.18400538364659202</v>
      </c>
      <c r="CP121" s="10">
        <f t="shared" si="738"/>
        <v>1.8228033317490522</v>
      </c>
      <c r="CQ121" s="539">
        <f t="shared" si="739"/>
        <v>5.1949894954847986</v>
      </c>
      <c r="CR121" s="19">
        <f t="shared" si="740"/>
        <v>0.58329706615969668</v>
      </c>
      <c r="CS121" s="10">
        <f t="shared" si="741"/>
        <v>0.20466563724901637</v>
      </c>
      <c r="CT121" s="10">
        <f t="shared" si="742"/>
        <v>2.0274689689980687</v>
      </c>
      <c r="CU121" s="539">
        <f t="shared" si="743"/>
        <v>5.7782865616444958</v>
      </c>
      <c r="CV121" s="19">
        <f t="shared" si="744"/>
        <v>0.64879007007938205</v>
      </c>
      <c r="CW121" s="10">
        <f t="shared" si="745"/>
        <v>0.22764563862434456</v>
      </c>
      <c r="CX121" s="10">
        <f t="shared" si="746"/>
        <v>2.2551146076224131</v>
      </c>
      <c r="CY121" s="539">
        <f t="shared" si="747"/>
        <v>6.4270766317238772</v>
      </c>
      <c r="CZ121" s="19">
        <f t="shared" si="748"/>
        <v>0.72163667443917223</v>
      </c>
      <c r="DA121" s="10">
        <f t="shared" si="749"/>
        <v>0.25320585068041129</v>
      </c>
      <c r="DB121" s="10">
        <f t="shared" si="750"/>
        <v>2.5083204583028245</v>
      </c>
      <c r="DC121" s="539">
        <f t="shared" si="751"/>
        <v>7.1487133061630503</v>
      </c>
      <c r="DD121" s="19">
        <f t="shared" si="752"/>
        <v>0.80266254665690384</v>
      </c>
      <c r="DE121" s="10">
        <f t="shared" si="753"/>
        <v>0.28163598128312417</v>
      </c>
      <c r="DF121" s="10">
        <f t="shared" si="754"/>
        <v>2.7899564395859486</v>
      </c>
      <c r="DG121" s="539">
        <f t="shared" si="755"/>
        <v>7.9513758528199538</v>
      </c>
      <c r="DH121" s="19">
        <f t="shared" si="756"/>
        <v>0.89278606066750354</v>
      </c>
      <c r="DI121" s="10">
        <f t="shared" si="757"/>
        <v>0.31325826690087843</v>
      </c>
      <c r="DJ121" s="10">
        <f t="shared" si="758"/>
        <v>3.1032147064868272</v>
      </c>
      <c r="DK121" s="539">
        <f t="shared" si="759"/>
        <v>8.8441619134874578</v>
      </c>
      <c r="DL121" s="19">
        <f t="shared" si="760"/>
        <v>0.99302870607578475</v>
      </c>
      <c r="DM121" s="10">
        <f t="shared" si="761"/>
        <v>0.34843112493887185</v>
      </c>
      <c r="DN121" s="10">
        <f t="shared" si="762"/>
        <v>3.451645831425699</v>
      </c>
      <c r="DO121" s="539">
        <f t="shared" si="763"/>
        <v>9.837190619563243</v>
      </c>
      <c r="DP121" s="19">
        <f t="shared" si="764"/>
        <v>1.1045266660562236</v>
      </c>
      <c r="DQ121" s="10">
        <f t="shared" si="765"/>
        <v>0.38755321616007843</v>
      </c>
      <c r="DR121" s="10">
        <f t="shared" si="766"/>
        <v>3.8391990475857773</v>
      </c>
      <c r="DS121" s="539">
        <f t="shared" si="767"/>
        <v>10.941717285619466</v>
      </c>
      <c r="DT121" s="19">
        <f t="shared" si="768"/>
        <v>1.2285436952274489</v>
      </c>
      <c r="DU121" s="10">
        <f t="shared" si="769"/>
        <v>0.43106796323770136</v>
      </c>
      <c r="DV121" s="10">
        <f t="shared" si="770"/>
        <v>4.2702670108234786</v>
      </c>
      <c r="DW121" s="539">
        <f t="shared" si="771"/>
        <v>12.170260980846914</v>
      </c>
      <c r="DX121" s="19">
        <f t="shared" si="772"/>
        <v>1.3664854434635132</v>
      </c>
      <c r="DY121" s="10">
        <f t="shared" si="773"/>
        <v>0.47946857665386428</v>
      </c>
      <c r="DZ121" s="10">
        <f t="shared" si="774"/>
        <v>4.7497355874773426</v>
      </c>
      <c r="EA121" s="539">
        <f t="shared" si="775"/>
        <v>13.536746424310428</v>
      </c>
      <c r="EB121" s="19">
        <f t="shared" si="776"/>
        <v>1.5199153879927496</v>
      </c>
      <c r="EC121" s="10">
        <f t="shared" si="777"/>
        <v>0.5333036449097367</v>
      </c>
      <c r="ED121" s="10">
        <f t="shared" si="778"/>
        <v>5.283039232387079</v>
      </c>
      <c r="EE121" s="539">
        <f t="shared" si="779"/>
        <v>15.056661812303176</v>
      </c>
      <c r="EF121" s="19">
        <f t="shared" si="780"/>
        <v>1.6905725543638652</v>
      </c>
      <c r="EG121" s="10">
        <f t="shared" si="781"/>
        <v>0.59318335240837372</v>
      </c>
      <c r="EH121" s="10">
        <f t="shared" si="782"/>
        <v>5.8762225847954523</v>
      </c>
      <c r="EI121" s="539">
        <f t="shared" si="783"/>
        <v>16.74723436666704</v>
      </c>
      <c r="EJ121" s="19">
        <f t="shared" si="784"/>
        <v>1.8803912271345449</v>
      </c>
      <c r="EK121" s="10">
        <f t="shared" si="785"/>
        <v>0.6597863954858052</v>
      </c>
      <c r="EL121" s="10">
        <f t="shared" si="786"/>
        <v>6.5360089802812578</v>
      </c>
      <c r="EM121" s="539">
        <f t="shared" si="787"/>
        <v>18.627625593801586</v>
      </c>
      <c r="EN121" s="19">
        <f t="shared" si="788"/>
        <v>2.0915228736900024</v>
      </c>
      <c r="EO121" s="10">
        <f t="shared" si="789"/>
        <v>0.73386767497894823</v>
      </c>
      <c r="EP121" s="10">
        <f t="shared" si="790"/>
        <v>7.2698766552602061</v>
      </c>
      <c r="EQ121" s="539">
        <f t="shared" si="791"/>
        <v>20.719148467491589</v>
      </c>
      <c r="ER121" s="19">
        <f t="shared" si="792"/>
        <v>2.3263605296832659</v>
      </c>
      <c r="ES121" s="10">
        <f t="shared" si="793"/>
        <v>0.81626685252044417</v>
      </c>
      <c r="ET121" s="10">
        <f t="shared" si="794"/>
        <v>8.0861435077806512</v>
      </c>
      <c r="EU121" s="539">
        <f t="shared" si="795"/>
        <v>23.045508997174856</v>
      </c>
      <c r="EV121" s="19">
        <f t="shared" si="796"/>
        <v>2.5875659224898082</v>
      </c>
      <c r="EW121" s="10">
        <f t="shared" si="797"/>
        <v>0.90791786754028359</v>
      </c>
      <c r="EX121" s="10">
        <f t="shared" si="798"/>
        <v>8.9940613753209355</v>
      </c>
      <c r="EY121" s="539">
        <f t="shared" si="799"/>
        <v>25.633074919664669</v>
      </c>
      <c r="EZ121" s="19">
        <f t="shared" si="800"/>
        <v>2.8780996401026995</v>
      </c>
      <c r="FA121" s="10">
        <f t="shared" si="801"/>
        <v>1.0098595228430525</v>
      </c>
      <c r="FB121" s="10">
        <f t="shared" si="802"/>
        <v>10.003920898163988</v>
      </c>
      <c r="FC121" s="539">
        <f t="shared" si="803"/>
        <v>28.511174559767369</v>
      </c>
      <c r="FD121" s="19">
        <f t="shared" si="804"/>
        <v>3.2012546874124763</v>
      </c>
      <c r="FE121" s="10">
        <f t="shared" si="805"/>
        <v>1.1232472587412197</v>
      </c>
      <c r="FF121" s="10">
        <f t="shared" si="806"/>
        <v>11.127168156905208</v>
      </c>
      <c r="FG121" s="539">
        <f t="shared" si="807"/>
        <v>31.712429247179845</v>
      </c>
      <c r="FH121" s="19">
        <f t="shared" si="808"/>
        <v>3.5606938102096666</v>
      </c>
      <c r="FI121" s="10">
        <f t="shared" si="809"/>
        <v>1.2493662491963742</v>
      </c>
      <c r="FJ121" s="10">
        <f t="shared" si="810"/>
        <v>12.376534406101582</v>
      </c>
      <c r="FK121" s="539">
        <f t="shared" si="811"/>
        <v>35.273123057389512</v>
      </c>
      <c r="FL121" s="19">
        <f t="shared" si="812"/>
        <v>3.9604910099525061</v>
      </c>
      <c r="FM121" s="10">
        <f t="shared" si="813"/>
        <v>1.389645968404388</v>
      </c>
      <c r="FN121" s="10">
        <f t="shared" si="814"/>
        <v>13.76618037450597</v>
      </c>
      <c r="FO121" s="539">
        <f t="shared" si="815"/>
        <v>39.233614067342018</v>
      </c>
      <c r="FP121" s="19">
        <f t="shared" si="816"/>
        <v>4.4051777198419106</v>
      </c>
      <c r="FQ121" s="10">
        <f t="shared" si="817"/>
        <v>1.5456763929269861</v>
      </c>
      <c r="FR121" s="10">
        <f t="shared" si="818"/>
        <v>15.311856767432955</v>
      </c>
      <c r="FS121" s="539">
        <f t="shared" si="819"/>
        <v>43.638791787183926</v>
      </c>
      <c r="FT121" s="19">
        <f t="shared" si="820"/>
        <v>4.8997941655785455</v>
      </c>
      <c r="FU121" s="10">
        <f t="shared" si="821"/>
        <v>1.7192260230100158</v>
      </c>
      <c r="FV121" s="10">
        <f t="shared" si="822"/>
        <v>17.031082790442969</v>
      </c>
      <c r="FW121" s="539">
        <f t="shared" si="823"/>
        <v>48.538585952762467</v>
      </c>
      <c r="FX121" s="19">
        <f t="shared" si="824"/>
        <v>5.4499464929417503</v>
      </c>
      <c r="FY121" s="10">
        <f t="shared" si="825"/>
        <v>1.9122619273479824</v>
      </c>
      <c r="FZ121" s="10">
        <f t="shared" si="826"/>
        <v>18.94334471779095</v>
      </c>
      <c r="GA121" s="539">
        <f t="shared" si="827"/>
        <v>53.988532445704209</v>
      </c>
      <c r="GB121" s="19">
        <f t="shared" si="828"/>
        <v>6.0618703096931039</v>
      </c>
      <c r="GC121" s="10">
        <f t="shared" si="829"/>
        <v>2.1269720384888084</v>
      </c>
      <c r="GD121" s="10">
        <f t="shared" si="830"/>
        <v>21.070316756279759</v>
      </c>
      <c r="GE121" s="539">
        <f t="shared" si="831"/>
        <v>60.050402755397315</v>
      </c>
      <c r="GF121" s="19">
        <f t="shared" si="832"/>
        <v>6.7425013620095227</v>
      </c>
      <c r="GG121" s="10">
        <f t="shared" si="833"/>
        <v>2.3657899515822884</v>
      </c>
      <c r="GH121" s="10">
        <f t="shared" si="834"/>
        <v>23.436106707862049</v>
      </c>
      <c r="GI121" s="539">
        <f t="shared" si="835"/>
        <v>66.792904117406835</v>
      </c>
      <c r="GJ121" s="19">
        <f t="shared" si="836"/>
        <v>7.4995541465158553</v>
      </c>
      <c r="GK121" s="10">
        <f t="shared" si="837"/>
        <v>2.6314225075494226</v>
      </c>
      <c r="GL121" s="10">
        <f t="shared" si="838"/>
        <v>26.067529215411472</v>
      </c>
      <c r="GM121" s="539">
        <f t="shared" si="839"/>
        <v>74.292458263922697</v>
      </c>
      <c r="GN121" s="19">
        <f t="shared" si="840"/>
        <v>8.3416093489316712</v>
      </c>
      <c r="GO121" s="10">
        <f t="shared" si="841"/>
        <v>2.9268804733093581</v>
      </c>
      <c r="GP121" s="10">
        <f t="shared" si="842"/>
        <v>28.994409688720829</v>
      </c>
      <c r="GQ121" s="539">
        <f t="shared" si="843"/>
        <v>82.634067612854366</v>
      </c>
      <c r="GR121" s="19">
        <f t="shared" si="844"/>
        <v>9.2782111003906653</v>
      </c>
      <c r="GS121" s="10">
        <f t="shared" si="845"/>
        <v>3.255512666803742</v>
      </c>
      <c r="GT121" s="10">
        <f t="shared" si="846"/>
        <v>32.249922355524568</v>
      </c>
      <c r="GU121" s="539">
        <f t="shared" si="847"/>
        <v>91.912278713245016</v>
      </c>
      <c r="GV121" s="19">
        <f t="shared" si="848"/>
        <v>10.319975153767862</v>
      </c>
      <c r="GW121" s="10">
        <f t="shared" si="849"/>
        <v>3.6210439136027586</v>
      </c>
      <c r="GX121" s="10">
        <f t="shared" si="850"/>
        <v>35.870966269127329</v>
      </c>
      <c r="GY121" s="539">
        <f t="shared" si="851"/>
        <v>102.23225386701289</v>
      </c>
      <c r="GZ121" s="19">
        <f t="shared" si="852"/>
        <v>11.478709206120746</v>
      </c>
      <c r="HA121" s="10">
        <f t="shared" si="853"/>
        <v>4.0276172653055244</v>
      </c>
      <c r="HB121" s="10">
        <f t="shared" si="854"/>
        <v>39.898583534432852</v>
      </c>
      <c r="HC121" s="539">
        <f t="shared" si="855"/>
        <v>113.71096307313363</v>
      </c>
      <c r="HD121" s="19">
        <f t="shared" si="856"/>
        <v>12.767546731018513</v>
      </c>
      <c r="HE121" s="10">
        <f t="shared" si="857"/>
        <v>4.4798409582521099</v>
      </c>
      <c r="HF121" s="10">
        <f t="shared" si="858"/>
        <v>44.378424492684964</v>
      </c>
      <c r="HG121" s="539">
        <f t="shared" si="859"/>
        <v>126.47850980415215</v>
      </c>
      <c r="HH121" s="19">
        <f t="shared" si="860"/>
        <v>14.201095837659189</v>
      </c>
      <c r="HI121" s="10">
        <f t="shared" si="861"/>
        <v>4.9828406447926978</v>
      </c>
      <c r="HJ121" s="10">
        <f t="shared" si="862"/>
        <v>49.361265137477659</v>
      </c>
      <c r="HK121" s="539">
        <f t="shared" si="863"/>
        <v>140.67960564181132</v>
      </c>
      <c r="HL121" s="19">
        <f t="shared" si="864"/>
        <v>15.795604843992852</v>
      </c>
      <c r="HM121" s="10">
        <f t="shared" si="865"/>
        <v>5.5423174891202986</v>
      </c>
      <c r="HN121" s="10">
        <f t="shared" si="866"/>
        <v>54.903582626597959</v>
      </c>
      <c r="HO121" s="539">
        <f t="shared" si="867"/>
        <v>156.47521048580418</v>
      </c>
      <c r="HP121" s="19">
        <f t="shared" si="868"/>
        <v>17.569146440511346</v>
      </c>
      <c r="HQ121" s="10">
        <f t="shared" si="869"/>
        <v>6.1646127861443318</v>
      </c>
      <c r="HR121" s="10">
        <f t="shared" si="870"/>
        <v>61.068195412742291</v>
      </c>
      <c r="HS121" s="539">
        <f t="shared" si="871"/>
        <v>174.04435692631554</v>
      </c>
      <c r="HT121" s="19">
        <f t="shared" si="872"/>
        <v>19.541822532077532</v>
      </c>
      <c r="HU121" s="10">
        <f t="shared" si="873"/>
        <v>6.8567798358166776</v>
      </c>
      <c r="HV121" s="10">
        <f t="shared" si="874"/>
        <v>67.924975248558965</v>
      </c>
      <c r="HW121" s="539">
        <f t="shared" si="875"/>
        <v>193.58617945839305</v>
      </c>
      <c r="HX121" s="19">
        <f t="shared" si="876"/>
        <v>21.735992079538871</v>
      </c>
      <c r="HY121" s="10">
        <f t="shared" si="877"/>
        <v>7.6266638875574984</v>
      </c>
      <c r="HZ121" s="10">
        <f t="shared" si="878"/>
        <v>75.551639136116464</v>
      </c>
      <c r="IA121" s="539">
        <f t="shared" si="879"/>
        <v>215.32217153793192</v>
      </c>
      <c r="IB121" s="19">
        <f t="shared" si="880"/>
        <v>24.176524523557269</v>
      </c>
      <c r="II121" s="11"/>
      <c r="IJ121" s="11"/>
      <c r="IM121" s="11"/>
      <c r="IN121" s="19"/>
      <c r="IO121" s="20"/>
      <c r="IP121" s="10"/>
    </row>
    <row r="122" spans="1:250" ht="13.5" thickBot="1">
      <c r="A122" s="11"/>
      <c r="B122" s="20"/>
      <c r="C122" s="826" t="s">
        <v>2348</v>
      </c>
      <c r="D122" s="47" t="s">
        <v>1128</v>
      </c>
      <c r="E122" s="396">
        <f t="shared" si="931"/>
        <v>8.0321999999999996</v>
      </c>
      <c r="F122" s="242">
        <v>1.0322</v>
      </c>
      <c r="G122" s="48">
        <f>'Update Stock Prices'!S122</f>
        <v>2976311336.7174282</v>
      </c>
      <c r="H122" s="991">
        <f t="shared" si="610"/>
        <v>3.4680511654349061E-10</v>
      </c>
      <c r="I122" s="49">
        <f>'Update Stock Prices'!D122</f>
        <v>41.37</v>
      </c>
      <c r="J122" s="49">
        <f t="shared" si="404"/>
        <v>42.702113999999995</v>
      </c>
      <c r="K122" s="30">
        <v>42.65</v>
      </c>
      <c r="L122" s="49">
        <f t="shared" si="611"/>
        <v>5.2113999999995997E-2</v>
      </c>
      <c r="M122" s="50">
        <f t="shared" si="613"/>
        <v>1.2218991793668465E-3</v>
      </c>
      <c r="N122" s="49">
        <f t="shared" si="612"/>
        <v>41.319511722534394</v>
      </c>
      <c r="O122" s="48">
        <f t="shared" si="932"/>
        <v>7</v>
      </c>
      <c r="P122" s="49">
        <f t="shared" si="933"/>
        <v>31.420000000000016</v>
      </c>
      <c r="Q122" s="30">
        <f>0.36*4</f>
        <v>1.44</v>
      </c>
      <c r="R122" s="49">
        <f t="shared" ref="R122" si="996">S122/365.25</f>
        <v>4.0694537987679665E-3</v>
      </c>
      <c r="S122" s="49">
        <f t="shared" si="935"/>
        <v>1.4863679999999999</v>
      </c>
      <c r="T122" s="49">
        <f t="shared" ref="T122" si="997">S122/12</f>
        <v>0.12386399999999999</v>
      </c>
      <c r="U122" s="49" t="s">
        <v>54</v>
      </c>
      <c r="V122" s="50">
        <f t="shared" si="937"/>
        <v>3.4807831762146482E-2</v>
      </c>
      <c r="W122" s="50">
        <f t="shared" si="575"/>
        <v>3.485036342321219E-2</v>
      </c>
      <c r="X122" s="49">
        <f t="shared" si="938"/>
        <v>10.08</v>
      </c>
      <c r="Y122" s="49">
        <f t="shared" si="654"/>
        <v>0.37159199999999998</v>
      </c>
      <c r="Z122" s="860">
        <f t="shared" si="939"/>
        <v>0</v>
      </c>
      <c r="AA122" s="860">
        <f t="shared" si="940"/>
        <v>113.88446666666665</v>
      </c>
      <c r="AB122" s="49">
        <f t="shared" si="941"/>
        <v>4711.4003859999993</v>
      </c>
      <c r="AC122" s="48">
        <v>1</v>
      </c>
      <c r="AD122" s="47" t="str">
        <f t="shared" si="942"/>
        <v>UL</v>
      </c>
      <c r="AE122" s="49">
        <f t="shared" si="943"/>
        <v>42.702113999999995</v>
      </c>
      <c r="AF122" s="50" t="e">
        <f t="shared" si="692"/>
        <v>#REF!</v>
      </c>
      <c r="AG122" s="890" t="e">
        <f t="shared" si="910"/>
        <v>#REF!</v>
      </c>
      <c r="AH122" s="207" t="s">
        <v>1129</v>
      </c>
      <c r="AI122" s="240">
        <f t="shared" si="693"/>
        <v>4.1394923427531521E-3</v>
      </c>
      <c r="AJ122" s="11">
        <f t="shared" si="595"/>
        <v>2</v>
      </c>
      <c r="AK122" s="11"/>
      <c r="AL122" s="11"/>
      <c r="AM122" s="11"/>
      <c r="AN122" s="11"/>
      <c r="AO122" s="11"/>
      <c r="AP122" s="11"/>
      <c r="AQ122" s="11" t="str">
        <f>'Update Stock Prices'!Q122</f>
        <v>mega</v>
      </c>
      <c r="AR122" s="11"/>
      <c r="AS122" s="11"/>
      <c r="AT122" s="1474" t="e">
        <f ca="1">AV128/AT121</f>
        <v>#REF!</v>
      </c>
      <c r="AU122" s="226" t="s">
        <v>1280</v>
      </c>
      <c r="AV122" s="20">
        <f ca="1">AV220</f>
        <v>0</v>
      </c>
      <c r="AW122" s="15" t="e">
        <f t="shared" ca="1" si="974"/>
        <v>#REF!</v>
      </c>
      <c r="AX122" s="19">
        <f t="shared" ca="1" si="973"/>
        <v>0</v>
      </c>
      <c r="AY122" s="186" t="e">
        <f t="shared" ca="1" si="975"/>
        <v>#REF!</v>
      </c>
      <c r="AZ122" s="847" t="e">
        <f t="shared" ca="1" si="953"/>
        <v>#REF!</v>
      </c>
      <c r="BA122" s="445"/>
      <c r="BB122" s="19"/>
      <c r="BC122" s="847">
        <f>BB121/BB115</f>
        <v>0.66558644761949082</v>
      </c>
      <c r="BD122" s="225"/>
      <c r="BE122" s="654"/>
      <c r="BF122" s="20"/>
      <c r="BG122" s="236"/>
      <c r="BI122" s="221">
        <v>39887</v>
      </c>
      <c r="BJ122" s="46"/>
      <c r="BK122" s="19">
        <v>78543</v>
      </c>
      <c r="BL122" s="183">
        <f t="shared" si="957"/>
        <v>7.3102227694201716E-3</v>
      </c>
      <c r="BM122" s="16">
        <f t="shared" si="954"/>
        <v>1.5676306807975571</v>
      </c>
      <c r="BN122" s="19">
        <f t="shared" si="955"/>
        <v>215.03901437371664</v>
      </c>
      <c r="BO122" s="938" t="str">
        <f t="shared" si="956"/>
        <v/>
      </c>
      <c r="BS122" s="420" t="str">
        <f t="shared" si="715"/>
        <v>UL</v>
      </c>
      <c r="BT122" s="425">
        <f t="shared" si="716"/>
        <v>1.0322</v>
      </c>
      <c r="BU122" s="19">
        <f t="shared" si="717"/>
        <v>41.37</v>
      </c>
      <c r="BV122" s="19">
        <f t="shared" si="718"/>
        <v>42.702113999999995</v>
      </c>
      <c r="BW122" s="539">
        <f t="shared" si="719"/>
        <v>1.44</v>
      </c>
      <c r="BX122" s="19">
        <f t="shared" si="720"/>
        <v>1.4863679999999999</v>
      </c>
      <c r="BY122" s="10">
        <f t="shared" si="721"/>
        <v>3.5928643944887602E-2</v>
      </c>
      <c r="BZ122" s="10">
        <f t="shared" si="722"/>
        <v>1.0681286439448876</v>
      </c>
      <c r="CA122" s="539">
        <f t="shared" si="723"/>
        <v>44.188482</v>
      </c>
      <c r="CB122" s="19">
        <f t="shared" si="724"/>
        <v>1.538105247280638</v>
      </c>
      <c r="CC122" s="10">
        <f t="shared" si="725"/>
        <v>3.7179242138763308E-2</v>
      </c>
      <c r="CD122" s="10">
        <f t="shared" si="726"/>
        <v>1.1053078860836509</v>
      </c>
      <c r="CE122" s="539">
        <f t="shared" si="727"/>
        <v>45.726587247280634</v>
      </c>
      <c r="CF122" s="19">
        <f t="shared" si="728"/>
        <v>1.5916433559604573</v>
      </c>
      <c r="CG122" s="10">
        <f t="shared" si="729"/>
        <v>3.8473370944173489E-2</v>
      </c>
      <c r="CH122" s="10">
        <f t="shared" si="730"/>
        <v>1.1437812570278245</v>
      </c>
      <c r="CI122" s="539">
        <f t="shared" si="731"/>
        <v>47.318230603241098</v>
      </c>
      <c r="CJ122" s="19">
        <f t="shared" si="732"/>
        <v>1.6470450101200673</v>
      </c>
      <c r="CK122" s="10">
        <f t="shared" si="733"/>
        <v>3.9812545567320945E-2</v>
      </c>
      <c r="CL122" s="10">
        <f t="shared" si="734"/>
        <v>1.1835938025951456</v>
      </c>
      <c r="CM122" s="539">
        <f t="shared" si="735"/>
        <v>48.965275613361172</v>
      </c>
      <c r="CN122" s="19">
        <f t="shared" si="736"/>
        <v>1.7043750757370095</v>
      </c>
      <c r="CO122" s="10">
        <f t="shared" si="737"/>
        <v>4.1198333955451041E-2</v>
      </c>
      <c r="CP122" s="10">
        <f t="shared" si="738"/>
        <v>1.2247921365505967</v>
      </c>
      <c r="CQ122" s="539">
        <f t="shared" si="739"/>
        <v>50.669650689098184</v>
      </c>
      <c r="CR122" s="19">
        <f t="shared" si="740"/>
        <v>1.7637006766328591</v>
      </c>
      <c r="CS122" s="10">
        <f t="shared" si="741"/>
        <v>4.2632358632653113E-2</v>
      </c>
      <c r="CT122" s="10">
        <f t="shared" si="742"/>
        <v>1.2674244951832498</v>
      </c>
      <c r="CU122" s="539">
        <f t="shared" si="743"/>
        <v>52.433351365731042</v>
      </c>
      <c r="CV122" s="19">
        <f t="shared" si="744"/>
        <v>1.8250912730638797</v>
      </c>
      <c r="CW122" s="10">
        <f t="shared" si="745"/>
        <v>4.4116298599561996E-2</v>
      </c>
      <c r="CX122" s="10">
        <f t="shared" si="746"/>
        <v>1.3115407937828119</v>
      </c>
      <c r="CY122" s="539">
        <f t="shared" si="747"/>
        <v>54.258442638794925</v>
      </c>
      <c r="CZ122" s="19">
        <f t="shared" si="748"/>
        <v>1.888618743047249</v>
      </c>
      <c r="DA122" s="10">
        <f t="shared" si="749"/>
        <v>4.565189129918417E-2</v>
      </c>
      <c r="DB122" s="10">
        <f t="shared" si="750"/>
        <v>1.357192685081996</v>
      </c>
      <c r="DC122" s="539">
        <f t="shared" si="751"/>
        <v>56.147061381842171</v>
      </c>
      <c r="DD122" s="19">
        <f t="shared" si="752"/>
        <v>1.9543574665180741</v>
      </c>
      <c r="DE122" s="10">
        <f t="shared" si="753"/>
        <v>4.7240934651149966E-2</v>
      </c>
      <c r="DF122" s="10">
        <f t="shared" si="754"/>
        <v>1.404433619733146</v>
      </c>
      <c r="DG122" s="539">
        <f t="shared" si="755"/>
        <v>58.101418848360247</v>
      </c>
      <c r="DH122" s="19">
        <f t="shared" si="756"/>
        <v>2.0223844124157302</v>
      </c>
      <c r="DI122" s="10">
        <f t="shared" si="757"/>
        <v>4.8885289156773759E-2</v>
      </c>
      <c r="DJ122" s="10">
        <f t="shared" si="758"/>
        <v>1.4533189088899197</v>
      </c>
      <c r="DK122" s="539">
        <f t="shared" si="759"/>
        <v>60.123803260775972</v>
      </c>
      <c r="DL122" s="19">
        <f t="shared" si="760"/>
        <v>2.0927792288014841</v>
      </c>
      <c r="DM122" s="10">
        <f t="shared" si="761"/>
        <v>5.0586880077386619E-2</v>
      </c>
      <c r="DN122" s="10">
        <f t="shared" si="762"/>
        <v>1.5039057889673062</v>
      </c>
      <c r="DO122" s="539">
        <f t="shared" si="763"/>
        <v>62.216582489577455</v>
      </c>
      <c r="DP122" s="19">
        <f t="shared" si="764"/>
        <v>2.1656243361129208</v>
      </c>
      <c r="DQ122" s="10">
        <f t="shared" si="765"/>
        <v>5.2347699688492171E-2</v>
      </c>
      <c r="DR122" s="10">
        <f t="shared" si="766"/>
        <v>1.5562534886557984</v>
      </c>
      <c r="DS122" s="539">
        <f t="shared" si="767"/>
        <v>64.382206825690375</v>
      </c>
      <c r="DT122" s="19">
        <f t="shared" si="768"/>
        <v>2.2410050236643495</v>
      </c>
      <c r="DU122" s="10">
        <f t="shared" si="769"/>
        <v>5.4169809612384573E-2</v>
      </c>
      <c r="DV122" s="10">
        <f t="shared" si="770"/>
        <v>1.610423298268183</v>
      </c>
      <c r="DW122" s="539">
        <f t="shared" si="771"/>
        <v>66.623211849354732</v>
      </c>
      <c r="DX122" s="19">
        <f t="shared" si="772"/>
        <v>2.3190095495061835</v>
      </c>
      <c r="DY122" s="10">
        <f t="shared" si="773"/>
        <v>5.6055343231959966E-2</v>
      </c>
      <c r="DZ122" s="10">
        <f t="shared" si="774"/>
        <v>1.6664786415001429</v>
      </c>
      <c r="EA122" s="539">
        <f t="shared" si="775"/>
        <v>68.942221398860909</v>
      </c>
      <c r="EB122" s="19">
        <f t="shared" si="776"/>
        <v>2.3997292437602056</v>
      </c>
      <c r="EC122" s="10">
        <f t="shared" si="777"/>
        <v>5.8006508188547398E-2</v>
      </c>
      <c r="ED122" s="10">
        <f t="shared" si="778"/>
        <v>1.7244851496886904</v>
      </c>
      <c r="EE122" s="539">
        <f t="shared" si="779"/>
        <v>71.341950642621114</v>
      </c>
      <c r="EF122" s="19">
        <f t="shared" si="780"/>
        <v>2.4832586155517142</v>
      </c>
      <c r="EG122" s="10">
        <f t="shared" si="781"/>
        <v>6.0025588966683932E-2</v>
      </c>
      <c r="EH122" s="10">
        <f t="shared" si="782"/>
        <v>1.7845107386553742</v>
      </c>
      <c r="EI122" s="539">
        <f t="shared" si="783"/>
        <v>73.825209258172833</v>
      </c>
      <c r="EJ122" s="19">
        <f t="shared" si="784"/>
        <v>2.5696954636637388</v>
      </c>
      <c r="EK122" s="10">
        <f t="shared" si="785"/>
        <v>6.2114949568860017E-2</v>
      </c>
      <c r="EL122" s="10">
        <f t="shared" si="786"/>
        <v>1.8466256882242342</v>
      </c>
      <c r="EM122" s="539">
        <f t="shared" si="787"/>
        <v>76.394904721836568</v>
      </c>
      <c r="EN122" s="19">
        <f t="shared" si="788"/>
        <v>2.6591409910428974</v>
      </c>
      <c r="EO122" s="10">
        <f t="shared" si="789"/>
        <v>6.4277036283367117E-2</v>
      </c>
      <c r="EP122" s="10">
        <f t="shared" si="790"/>
        <v>1.9109027245076013</v>
      </c>
      <c r="EQ122" s="539">
        <f t="shared" si="791"/>
        <v>79.054045712879457</v>
      </c>
      <c r="ER122" s="19">
        <f t="shared" si="792"/>
        <v>2.7516999232909458</v>
      </c>
      <c r="ES122" s="10">
        <f t="shared" si="793"/>
        <v>6.6514380548487934E-2</v>
      </c>
      <c r="ET122" s="10">
        <f t="shared" si="794"/>
        <v>1.9774171050560894</v>
      </c>
      <c r="EU122" s="539">
        <f t="shared" si="795"/>
        <v>81.805745636170414</v>
      </c>
      <c r="EV122" s="19">
        <f t="shared" si="796"/>
        <v>2.8474806312807686</v>
      </c>
      <c r="EW122" s="10">
        <f t="shared" si="797"/>
        <v>6.8829601916383099E-2</v>
      </c>
      <c r="EX122" s="10">
        <f t="shared" si="798"/>
        <v>2.0462467069724726</v>
      </c>
      <c r="EY122" s="539">
        <f t="shared" si="799"/>
        <v>84.653226267451188</v>
      </c>
      <c r="EZ122" s="19">
        <f t="shared" si="800"/>
        <v>2.9465952580403605</v>
      </c>
      <c r="FA122" s="10">
        <f t="shared" si="801"/>
        <v>7.1225411120144078E-2</v>
      </c>
      <c r="FB122" s="10">
        <f t="shared" si="802"/>
        <v>2.1174721180926168</v>
      </c>
      <c r="FC122" s="539">
        <f t="shared" si="803"/>
        <v>87.599821525491549</v>
      </c>
      <c r="FD122" s="19">
        <f t="shared" si="804"/>
        <v>3.0491598500533681</v>
      </c>
      <c r="FE122" s="10">
        <f t="shared" si="805"/>
        <v>7.3704613247603773E-2</v>
      </c>
      <c r="FF122" s="10">
        <f t="shared" si="806"/>
        <v>2.1911767313402204</v>
      </c>
      <c r="FG122" s="539">
        <f t="shared" si="807"/>
        <v>90.648981375544906</v>
      </c>
      <c r="FH122" s="19">
        <f t="shared" si="808"/>
        <v>3.1552944931299174</v>
      </c>
      <c r="FI122" s="10">
        <f t="shared" si="809"/>
        <v>7.6270111025620438E-2</v>
      </c>
      <c r="FJ122" s="10">
        <f t="shared" si="810"/>
        <v>2.2674468423658407</v>
      </c>
      <c r="FK122" s="539">
        <f t="shared" si="811"/>
        <v>93.804275868674821</v>
      </c>
      <c r="FL122" s="19">
        <f t="shared" si="812"/>
        <v>3.2651234530068103</v>
      </c>
      <c r="FM122" s="10">
        <f t="shared" si="813"/>
        <v>7.8924908218680451E-2</v>
      </c>
      <c r="FN122" s="10">
        <f t="shared" si="814"/>
        <v>2.3463717505845212</v>
      </c>
      <c r="FO122" s="539">
        <f t="shared" si="815"/>
        <v>97.06939932168163</v>
      </c>
      <c r="FP122" s="19">
        <f t="shared" si="816"/>
        <v>3.3787753208417102</v>
      </c>
      <c r="FQ122" s="10">
        <f t="shared" si="817"/>
        <v>8.1672113145799141E-2</v>
      </c>
      <c r="FR122" s="10">
        <f t="shared" si="818"/>
        <v>2.4280438637303203</v>
      </c>
      <c r="FS122" s="539">
        <f t="shared" si="819"/>
        <v>100.44817464252334</v>
      </c>
      <c r="FT122" s="19">
        <f t="shared" si="820"/>
        <v>3.4963831637716614</v>
      </c>
      <c r="FU122" s="10">
        <f t="shared" si="821"/>
        <v>8.4514942319837125E-2</v>
      </c>
      <c r="FV122" s="10">
        <f t="shared" si="822"/>
        <v>2.5125588060501576</v>
      </c>
      <c r="FW122" s="539">
        <f t="shared" si="823"/>
        <v>103.94455780629501</v>
      </c>
      <c r="FX122" s="19">
        <f t="shared" si="824"/>
        <v>3.6180846807122267</v>
      </c>
      <c r="FY122" s="10">
        <f t="shared" si="825"/>
        <v>8.7456724213493514E-2</v>
      </c>
      <c r="FZ122" s="10">
        <f t="shared" si="826"/>
        <v>2.6000155302636512</v>
      </c>
      <c r="GA122" s="539">
        <f t="shared" si="827"/>
        <v>107.56264248700724</v>
      </c>
      <c r="GB122" s="19">
        <f t="shared" si="828"/>
        <v>3.7440223635796577</v>
      </c>
      <c r="GC122" s="10">
        <f t="shared" si="829"/>
        <v>9.050090315638526E-2</v>
      </c>
      <c r="GD122" s="10">
        <f t="shared" si="830"/>
        <v>2.6905164334200364</v>
      </c>
      <c r="GE122" s="539">
        <f t="shared" si="831"/>
        <v>111.3066648505869</v>
      </c>
      <c r="GF122" s="19">
        <f t="shared" si="832"/>
        <v>3.8743436641248525</v>
      </c>
      <c r="GG122" s="10">
        <f t="shared" si="833"/>
        <v>9.3651043367775022E-2</v>
      </c>
      <c r="GH122" s="10">
        <f t="shared" si="834"/>
        <v>2.7841674767878115</v>
      </c>
      <c r="GI122" s="539">
        <f t="shared" si="835"/>
        <v>115.18100851471175</v>
      </c>
      <c r="GJ122" s="19">
        <f t="shared" si="836"/>
        <v>4.0092011665744485</v>
      </c>
      <c r="GK122" s="10">
        <f t="shared" si="837"/>
        <v>9.6910833129670026E-2</v>
      </c>
      <c r="GL122" s="10">
        <f t="shared" si="838"/>
        <v>2.8810783099174815</v>
      </c>
      <c r="GM122" s="539">
        <f t="shared" si="839"/>
        <v>119.19020968128621</v>
      </c>
      <c r="GN122" s="19">
        <f t="shared" si="840"/>
        <v>4.1487527662811736</v>
      </c>
      <c r="GO122" s="10">
        <f t="shared" si="841"/>
        <v>0.10028408910517703</v>
      </c>
      <c r="GP122" s="10">
        <f t="shared" si="842"/>
        <v>2.9813623990226583</v>
      </c>
      <c r="GQ122" s="539">
        <f t="shared" si="843"/>
        <v>123.33896244756737</v>
      </c>
      <c r="GR122" s="19">
        <f t="shared" si="844"/>
        <v>4.2931618545926282</v>
      </c>
      <c r="GS122" s="10">
        <f t="shared" si="845"/>
        <v>0.10377476080717013</v>
      </c>
      <c r="GT122" s="10">
        <f t="shared" si="846"/>
        <v>3.0851371598298285</v>
      </c>
      <c r="GU122" s="539">
        <f t="shared" si="847"/>
        <v>127.63212430215999</v>
      </c>
      <c r="GV122" s="19">
        <f t="shared" si="848"/>
        <v>4.4425975101549531</v>
      </c>
      <c r="GW122" s="10">
        <f t="shared" si="849"/>
        <v>0.1073869352225031</v>
      </c>
      <c r="GX122" s="10">
        <f t="shared" si="850"/>
        <v>3.1925240950523315</v>
      </c>
      <c r="GY122" s="539">
        <f t="shared" si="851"/>
        <v>132.07472181231495</v>
      </c>
      <c r="GZ122" s="19">
        <f t="shared" si="852"/>
        <v>4.5972346968753568</v>
      </c>
      <c r="HA122" s="10">
        <f t="shared" si="853"/>
        <v>0.1111248415971805</v>
      </c>
      <c r="HB122" s="10">
        <f t="shared" si="854"/>
        <v>3.3036489366495121</v>
      </c>
      <c r="HC122" s="539">
        <f t="shared" si="855"/>
        <v>136.6719565091903</v>
      </c>
      <c r="HD122" s="19">
        <f t="shared" si="856"/>
        <v>4.7572544687752973</v>
      </c>
      <c r="HE122" s="10">
        <f t="shared" si="857"/>
        <v>0.11499285638809034</v>
      </c>
      <c r="HF122" s="10">
        <f t="shared" si="858"/>
        <v>3.4186417930376023</v>
      </c>
      <c r="HG122" s="539">
        <f t="shared" si="859"/>
        <v>141.4292109779656</v>
      </c>
      <c r="HH122" s="19">
        <f t="shared" si="860"/>
        <v>4.9228441819741473</v>
      </c>
      <c r="HI122" s="10">
        <f t="shared" si="861"/>
        <v>0.11899550838709566</v>
      </c>
      <c r="HJ122" s="10">
        <f t="shared" si="862"/>
        <v>3.5376373014246978</v>
      </c>
      <c r="HK122" s="539">
        <f t="shared" si="863"/>
        <v>146.35205515993974</v>
      </c>
      <c r="HL122" s="19">
        <f t="shared" si="864"/>
        <v>5.0941977140515649</v>
      </c>
      <c r="HM122" s="10">
        <f t="shared" si="865"/>
        <v>0.12313748402348478</v>
      </c>
      <c r="HN122" s="10">
        <f t="shared" si="866"/>
        <v>3.6607747854481825</v>
      </c>
      <c r="HO122" s="539">
        <f t="shared" si="867"/>
        <v>151.44625287399131</v>
      </c>
      <c r="HP122" s="19">
        <f t="shared" si="868"/>
        <v>5.2715156910453826</v>
      </c>
      <c r="HQ122" s="10">
        <f t="shared" si="869"/>
        <v>0.12742363285098823</v>
      </c>
      <c r="HR122" s="10">
        <f t="shared" si="870"/>
        <v>3.7881984182991708</v>
      </c>
      <c r="HS122" s="539">
        <f t="shared" si="871"/>
        <v>156.71776856503669</v>
      </c>
      <c r="HT122" s="19">
        <f t="shared" si="872"/>
        <v>5.4550057223508057</v>
      </c>
      <c r="HU122" s="10">
        <f t="shared" si="873"/>
        <v>0.13185897322578694</v>
      </c>
      <c r="HV122" s="10">
        <f t="shared" si="874"/>
        <v>3.9200573915249577</v>
      </c>
      <c r="HW122" s="539">
        <f t="shared" si="875"/>
        <v>162.17277428738748</v>
      </c>
      <c r="HX122" s="19">
        <f t="shared" si="876"/>
        <v>5.6448826437959392</v>
      </c>
      <c r="HY122" s="10">
        <f t="shared" si="877"/>
        <v>0.13644869818215952</v>
      </c>
      <c r="HZ122" s="10">
        <f t="shared" si="878"/>
        <v>4.056506089707117</v>
      </c>
      <c r="IA122" s="539">
        <f t="shared" si="879"/>
        <v>167.81765693118342</v>
      </c>
      <c r="IB122" s="19">
        <f t="shared" si="880"/>
        <v>5.8413687691782483</v>
      </c>
      <c r="IH122" s="11"/>
      <c r="IM122" s="11"/>
      <c r="IN122" s="19"/>
      <c r="IO122" s="20"/>
      <c r="IP122" s="10"/>
    </row>
    <row r="123" spans="1:250">
      <c r="A123" s="11"/>
      <c r="B123" s="20"/>
      <c r="C123" s="826" t="s">
        <v>2347</v>
      </c>
      <c r="D123" s="47" t="s">
        <v>87</v>
      </c>
      <c r="E123" s="396">
        <f t="shared" si="931"/>
        <v>244.70959999999999</v>
      </c>
      <c r="F123" s="242">
        <v>68.709599999999995</v>
      </c>
      <c r="G123" s="48">
        <f>'Update Stock Prices'!S123</f>
        <v>2516483516.4835162</v>
      </c>
      <c r="H123" s="991">
        <f t="shared" si="610"/>
        <v>2.7303814847161572E-8</v>
      </c>
      <c r="I123" s="49">
        <f>'Update Stock Prices'!D123</f>
        <v>1.82</v>
      </c>
      <c r="J123" s="49">
        <f t="shared" si="404"/>
        <v>125.05147199999999</v>
      </c>
      <c r="K123" s="30">
        <v>149.69</v>
      </c>
      <c r="L123" s="49">
        <f t="shared" si="611"/>
        <v>-24.638528000000008</v>
      </c>
      <c r="M123" s="50">
        <f t="shared" si="613"/>
        <v>-0.16459702050905209</v>
      </c>
      <c r="N123" s="49">
        <f t="shared" si="612"/>
        <v>2.1785893092086113</v>
      </c>
      <c r="O123" s="48">
        <f t="shared" si="932"/>
        <v>176</v>
      </c>
      <c r="P123" s="49">
        <f>IF(($B$11-$B$12)-(O123*I123)&lt;0,0,($B$11-$B$12)-(O123*I123))</f>
        <v>0.68999999999999773</v>
      </c>
      <c r="Q123" s="30">
        <f>0.07351</f>
        <v>7.3510000000000006E-2</v>
      </c>
      <c r="R123" s="49">
        <f>S123/365.25</f>
        <v>1.3828453650924026E-2</v>
      </c>
      <c r="S123" s="49">
        <f t="shared" si="935"/>
        <v>5.0508426960000001</v>
      </c>
      <c r="T123" s="49">
        <f>S123/12</f>
        <v>0.42090355800000001</v>
      </c>
      <c r="U123" s="49" t="s">
        <v>57</v>
      </c>
      <c r="V123" s="50">
        <f t="shared" si="937"/>
        <v>4.0390109890109889E-2</v>
      </c>
      <c r="W123" s="50">
        <f t="shared" si="575"/>
        <v>3.3742018144164609E-2</v>
      </c>
      <c r="X123" s="49">
        <f>12*((E123*Q123)/12-T123)</f>
        <v>12.937760000000001</v>
      </c>
      <c r="Y123" s="49">
        <f t="shared" si="654"/>
        <v>5.0508426960000001</v>
      </c>
      <c r="Z123" s="860">
        <f t="shared" si="939"/>
        <v>1</v>
      </c>
      <c r="AA123" s="860" t="str">
        <f t="shared" si="940"/>
        <v/>
      </c>
      <c r="AB123" s="49" t="str">
        <f t="shared" si="941"/>
        <v/>
      </c>
      <c r="AC123" s="48">
        <v>1</v>
      </c>
      <c r="AD123" s="47" t="str">
        <f t="shared" si="942"/>
        <v>UMC</v>
      </c>
      <c r="AE123" s="49">
        <f t="shared" si="943"/>
        <v>125.05147199999999</v>
      </c>
      <c r="AF123" s="50" t="e">
        <f t="shared" si="692"/>
        <v>#REF!</v>
      </c>
      <c r="AG123" s="890" t="e">
        <f t="shared" si="910"/>
        <v>#REF!</v>
      </c>
      <c r="AH123" s="207" t="s">
        <v>88</v>
      </c>
      <c r="AI123" s="240">
        <f t="shared" si="693"/>
        <v>3.5499803472321921E-2</v>
      </c>
      <c r="AJ123" s="11">
        <f t="shared" si="595"/>
        <v>3</v>
      </c>
      <c r="AK123" s="11"/>
      <c r="AL123" s="11"/>
      <c r="AM123" s="11"/>
      <c r="AN123" s="11"/>
      <c r="AO123" s="11"/>
      <c r="AP123" s="11"/>
      <c r="AQ123" s="11" t="str">
        <f>'Update Stock Prices'!Q123</f>
        <v>mid</v>
      </c>
      <c r="AR123" s="11">
        <v>1</v>
      </c>
      <c r="AS123" s="11"/>
      <c r="AU123" s="226" t="s">
        <v>2441</v>
      </c>
      <c r="AV123" s="20">
        <f ca="1">AV370</f>
        <v>54.034694656488547</v>
      </c>
      <c r="AW123" s="15" t="e">
        <f t="shared" ca="1" si="974"/>
        <v>#REF!</v>
      </c>
      <c r="AX123" s="19">
        <f t="shared" ca="1" si="973"/>
        <v>4.5028912213740453</v>
      </c>
      <c r="AY123" s="186" t="e">
        <f t="shared" ca="1" si="975"/>
        <v>#REF!</v>
      </c>
      <c r="AZ123" s="847" t="e">
        <f t="shared" ca="1" si="953"/>
        <v>#REF!</v>
      </c>
      <c r="BA123" s="224"/>
      <c r="BB123" s="20"/>
      <c r="BC123" s="883"/>
      <c r="BD123" s="225">
        <f>BD121*2</f>
        <v>826.42307692307702</v>
      </c>
      <c r="BE123" s="654" t="s">
        <v>1428</v>
      </c>
      <c r="BF123" s="1299" t="s">
        <v>1742</v>
      </c>
      <c r="BG123" s="235"/>
      <c r="BI123" s="221">
        <v>40181</v>
      </c>
      <c r="BJ123" s="46"/>
      <c r="BK123" s="19">
        <v>79864</v>
      </c>
      <c r="BL123" s="183">
        <f t="shared" si="957"/>
        <v>1.6818812624931567E-2</v>
      </c>
      <c r="BM123" s="16">
        <f t="shared" si="954"/>
        <v>1.5939963674829851</v>
      </c>
      <c r="BN123" s="19">
        <f t="shared" si="955"/>
        <v>218.65571526351815</v>
      </c>
      <c r="BO123" s="938" t="str">
        <f t="shared" si="956"/>
        <v/>
      </c>
      <c r="BS123" s="420" t="str">
        <f t="shared" si="715"/>
        <v>UMC</v>
      </c>
      <c r="BT123" s="425">
        <f t="shared" si="716"/>
        <v>68.709599999999995</v>
      </c>
      <c r="BU123" s="19">
        <f t="shared" si="717"/>
        <v>1.82</v>
      </c>
      <c r="BV123" s="19">
        <f t="shared" si="718"/>
        <v>125.05147199999999</v>
      </c>
      <c r="BW123" s="539">
        <f t="shared" si="719"/>
        <v>7.3510000000000006E-2</v>
      </c>
      <c r="BX123" s="19">
        <f t="shared" si="720"/>
        <v>5.0508426960000001</v>
      </c>
      <c r="BY123" s="10">
        <f t="shared" si="721"/>
        <v>2.7751882945054946</v>
      </c>
      <c r="BZ123" s="10">
        <f t="shared" si="722"/>
        <v>71.484788294505492</v>
      </c>
      <c r="CA123" s="539">
        <f t="shared" si="723"/>
        <v>130.10231469600001</v>
      </c>
      <c r="CB123" s="19">
        <f t="shared" si="724"/>
        <v>5.2548467875290994</v>
      </c>
      <c r="CC123" s="10">
        <f t="shared" si="725"/>
        <v>2.8872784546863182</v>
      </c>
      <c r="CD123" s="10">
        <f t="shared" si="726"/>
        <v>74.372066749191816</v>
      </c>
      <c r="CE123" s="539">
        <f t="shared" si="727"/>
        <v>135.3571614835291</v>
      </c>
      <c r="CF123" s="19">
        <f t="shared" si="728"/>
        <v>5.467090626733091</v>
      </c>
      <c r="CG123" s="10">
        <f t="shared" si="729"/>
        <v>3.0038959487544457</v>
      </c>
      <c r="CH123" s="10">
        <f t="shared" si="730"/>
        <v>77.375962697946264</v>
      </c>
      <c r="CI123" s="539">
        <f t="shared" si="731"/>
        <v>140.82425211026219</v>
      </c>
      <c r="CJ123" s="19">
        <f t="shared" si="732"/>
        <v>5.6879070179260305</v>
      </c>
      <c r="CK123" s="10">
        <f t="shared" si="733"/>
        <v>3.1252236362230934</v>
      </c>
      <c r="CL123" s="10">
        <f t="shared" si="734"/>
        <v>80.501186334169361</v>
      </c>
      <c r="CM123" s="539">
        <f t="shared" si="735"/>
        <v>146.51215912818824</v>
      </c>
      <c r="CN123" s="19">
        <f t="shared" si="736"/>
        <v>5.9176422074247901</v>
      </c>
      <c r="CO123" s="10">
        <f t="shared" si="737"/>
        <v>3.2514517623213131</v>
      </c>
      <c r="CP123" s="10">
        <f t="shared" si="738"/>
        <v>83.752638096490671</v>
      </c>
      <c r="CQ123" s="539">
        <f t="shared" si="739"/>
        <v>152.42980133561304</v>
      </c>
      <c r="CR123" s="19">
        <f t="shared" si="740"/>
        <v>6.1566564264730301</v>
      </c>
      <c r="CS123" s="10">
        <f t="shared" si="741"/>
        <v>3.3827782563038626</v>
      </c>
      <c r="CT123" s="10">
        <f t="shared" si="742"/>
        <v>87.135416352794536</v>
      </c>
      <c r="CU123" s="539">
        <f t="shared" si="743"/>
        <v>158.58645776208607</v>
      </c>
      <c r="CV123" s="19">
        <f t="shared" si="744"/>
        <v>6.4053244560939264</v>
      </c>
      <c r="CW123" s="10">
        <f t="shared" si="745"/>
        <v>3.5194090418098494</v>
      </c>
      <c r="CX123" s="10">
        <f t="shared" si="746"/>
        <v>90.654825394604387</v>
      </c>
      <c r="CY123" s="539">
        <f t="shared" si="747"/>
        <v>164.99178221817999</v>
      </c>
      <c r="CZ123" s="19">
        <f t="shared" si="748"/>
        <v>6.6640362147573686</v>
      </c>
      <c r="DA123" s="10">
        <f t="shared" si="749"/>
        <v>3.6615583597567958</v>
      </c>
      <c r="DB123" s="10">
        <f t="shared" si="750"/>
        <v>94.316383754361183</v>
      </c>
      <c r="DC123" s="539">
        <f t="shared" si="751"/>
        <v>171.65581843293737</v>
      </c>
      <c r="DD123" s="19">
        <f t="shared" si="752"/>
        <v>6.9331973697830911</v>
      </c>
      <c r="DE123" s="10">
        <f t="shared" si="753"/>
        <v>3.8094491042764234</v>
      </c>
      <c r="DF123" s="10">
        <f t="shared" si="754"/>
        <v>98.125832858637608</v>
      </c>
      <c r="DG123" s="539">
        <f t="shared" si="755"/>
        <v>178.58901580272044</v>
      </c>
      <c r="DH123" s="19">
        <f t="shared" si="756"/>
        <v>7.2132299734384508</v>
      </c>
      <c r="DI123" s="10">
        <f t="shared" si="757"/>
        <v>3.9633131722189288</v>
      </c>
      <c r="DJ123" s="10">
        <f t="shared" si="758"/>
        <v>102.08914603085654</v>
      </c>
      <c r="DK123" s="539">
        <f t="shared" si="759"/>
        <v>185.80224577615891</v>
      </c>
      <c r="DL123" s="19">
        <f t="shared" si="760"/>
        <v>7.5045731247282648</v>
      </c>
      <c r="DM123" s="10">
        <f t="shared" si="761"/>
        <v>4.1233918267737719</v>
      </c>
      <c r="DN123" s="10">
        <f t="shared" si="762"/>
        <v>106.21253785763031</v>
      </c>
      <c r="DO123" s="539">
        <f t="shared" si="763"/>
        <v>193.30681890088718</v>
      </c>
      <c r="DP123" s="19">
        <f t="shared" si="764"/>
        <v>7.8076836579144047</v>
      </c>
      <c r="DQ123" s="10">
        <f t="shared" si="765"/>
        <v>4.2899360757771454</v>
      </c>
      <c r="DR123" s="10">
        <f t="shared" si="766"/>
        <v>110.50247393340746</v>
      </c>
      <c r="DS123" s="539">
        <f t="shared" si="767"/>
        <v>201.11450255880158</v>
      </c>
      <c r="DT123" s="19">
        <f t="shared" si="768"/>
        <v>8.1230368588447828</v>
      </c>
      <c r="DU123" s="10">
        <f t="shared" si="769"/>
        <v>4.463207065299331</v>
      </c>
      <c r="DV123" s="10">
        <f t="shared" si="770"/>
        <v>114.96568099870679</v>
      </c>
      <c r="DW123" s="539">
        <f t="shared" si="771"/>
        <v>209.23753941764636</v>
      </c>
      <c r="DX123" s="19">
        <f t="shared" si="772"/>
        <v>8.4511272102149366</v>
      </c>
      <c r="DY123" s="10">
        <f t="shared" si="773"/>
        <v>4.6434764891290863</v>
      </c>
      <c r="DZ123" s="10">
        <f t="shared" si="774"/>
        <v>119.60915748783587</v>
      </c>
      <c r="EA123" s="539">
        <f t="shared" si="775"/>
        <v>217.68866662786129</v>
      </c>
      <c r="EB123" s="19">
        <f t="shared" si="776"/>
        <v>8.7924691669308164</v>
      </c>
      <c r="EC123" s="10">
        <f t="shared" si="777"/>
        <v>4.8310270147971517</v>
      </c>
      <c r="ED123" s="10">
        <f t="shared" si="778"/>
        <v>124.44018450263303</v>
      </c>
      <c r="EE123" s="539">
        <f t="shared" si="779"/>
        <v>226.48113579479212</v>
      </c>
      <c r="EF123" s="19">
        <f t="shared" si="780"/>
        <v>9.147597962788554</v>
      </c>
      <c r="EG123" s="10">
        <f t="shared" si="781"/>
        <v>5.026152726806898</v>
      </c>
      <c r="EH123" s="10">
        <f t="shared" si="782"/>
        <v>129.46633722943992</v>
      </c>
      <c r="EI123" s="539">
        <f t="shared" si="783"/>
        <v>235.62873375758065</v>
      </c>
      <c r="EJ123" s="19">
        <f t="shared" si="784"/>
        <v>9.5170704497361296</v>
      </c>
      <c r="EK123" s="10">
        <f t="shared" si="785"/>
        <v>5.2291595877671044</v>
      </c>
      <c r="EL123" s="10">
        <f t="shared" si="786"/>
        <v>134.69549681720702</v>
      </c>
      <c r="EM123" s="539">
        <f t="shared" si="787"/>
        <v>245.14580420731679</v>
      </c>
      <c r="EN123" s="19">
        <f t="shared" si="788"/>
        <v>9.9014659710328878</v>
      </c>
      <c r="EO123" s="10">
        <f t="shared" si="789"/>
        <v>5.4403659181499382</v>
      </c>
      <c r="EP123" s="10">
        <f t="shared" si="790"/>
        <v>140.13586273535697</v>
      </c>
      <c r="EQ123" s="539">
        <f t="shared" si="791"/>
        <v>255.04727017834969</v>
      </c>
      <c r="ER123" s="19">
        <f t="shared" si="792"/>
        <v>10.301387269676091</v>
      </c>
      <c r="ES123" s="10">
        <f t="shared" si="793"/>
        <v>5.6601028954264239</v>
      </c>
      <c r="ET123" s="10">
        <f t="shared" si="794"/>
        <v>145.7959656307834</v>
      </c>
      <c r="EU123" s="539">
        <f t="shared" si="795"/>
        <v>265.34865744802579</v>
      </c>
      <c r="EV123" s="19">
        <f t="shared" si="796"/>
        <v>10.717461433518888</v>
      </c>
      <c r="EW123" s="10">
        <f t="shared" si="797"/>
        <v>5.8887150733620262</v>
      </c>
      <c r="EX123" s="10">
        <f t="shared" si="798"/>
        <v>151.68468070414542</v>
      </c>
      <c r="EY123" s="539">
        <f t="shared" si="799"/>
        <v>276.0661188815447</v>
      </c>
      <c r="EZ123" s="19">
        <f t="shared" si="800"/>
        <v>11.15034087856173</v>
      </c>
      <c r="FA123" s="10">
        <f t="shared" si="801"/>
        <v>6.1265609222866644</v>
      </c>
      <c r="FB123" s="10">
        <f t="shared" si="802"/>
        <v>157.81124162643209</v>
      </c>
      <c r="FC123" s="539">
        <f t="shared" si="803"/>
        <v>287.21645976010643</v>
      </c>
      <c r="FD123" s="19">
        <f t="shared" si="804"/>
        <v>11.600704371959024</v>
      </c>
      <c r="FE123" s="10">
        <f t="shared" si="805"/>
        <v>6.3740133911862769</v>
      </c>
      <c r="FF123" s="10">
        <f t="shared" si="806"/>
        <v>164.18525501761837</v>
      </c>
      <c r="FG123" s="539">
        <f t="shared" si="807"/>
        <v>298.81716413206544</v>
      </c>
      <c r="FH123" s="19">
        <f t="shared" si="808"/>
        <v>12.069258096345127</v>
      </c>
      <c r="FI123" s="10">
        <f t="shared" si="809"/>
        <v>6.6314604924973226</v>
      </c>
      <c r="FJ123" s="10">
        <f t="shared" si="810"/>
        <v>170.8167155101157</v>
      </c>
      <c r="FK123" s="539">
        <f t="shared" si="811"/>
        <v>310.88642222841059</v>
      </c>
      <c r="FL123" s="19">
        <f t="shared" si="812"/>
        <v>12.556736757148606</v>
      </c>
      <c r="FM123" s="10">
        <f t="shared" si="813"/>
        <v>6.8993059105212122</v>
      </c>
      <c r="FN123" s="10">
        <f t="shared" si="814"/>
        <v>177.71602142063691</v>
      </c>
      <c r="FO123" s="539">
        <f t="shared" si="815"/>
        <v>323.44315898555919</v>
      </c>
      <c r="FP123" s="19">
        <f t="shared" si="816"/>
        <v>13.06390473463102</v>
      </c>
      <c r="FQ123" s="10">
        <f t="shared" si="817"/>
        <v>7.1779696344126478</v>
      </c>
      <c r="FR123" s="10">
        <f t="shared" si="818"/>
        <v>184.89399105504955</v>
      </c>
      <c r="FS123" s="539">
        <f t="shared" si="819"/>
        <v>336.50706372019022</v>
      </c>
      <c r="FT123" s="19">
        <f t="shared" si="820"/>
        <v>13.591557282456694</v>
      </c>
      <c r="FU123" s="10">
        <f t="shared" si="821"/>
        <v>7.4678886167344469</v>
      </c>
      <c r="FV123" s="10">
        <f t="shared" si="822"/>
        <v>192.36187967178401</v>
      </c>
      <c r="FW123" s="539">
        <f t="shared" si="823"/>
        <v>350.09862100264689</v>
      </c>
      <c r="FX123" s="19">
        <f t="shared" si="824"/>
        <v>14.140521774672843</v>
      </c>
      <c r="FY123" s="10">
        <f t="shared" si="825"/>
        <v>7.7695174586114515</v>
      </c>
      <c r="FZ123" s="10">
        <f t="shared" si="826"/>
        <v>200.13139713039547</v>
      </c>
      <c r="GA123" s="539">
        <f t="shared" si="827"/>
        <v>364.23914277731978</v>
      </c>
      <c r="GB123" s="19">
        <f t="shared" si="828"/>
        <v>14.711659003055372</v>
      </c>
      <c r="GC123" s="10">
        <f t="shared" si="829"/>
        <v>8.0833291225578972</v>
      </c>
      <c r="GD123" s="10">
        <f t="shared" si="830"/>
        <v>208.21472625295337</v>
      </c>
      <c r="GE123" s="539">
        <f t="shared" si="831"/>
        <v>378.95080178037517</v>
      </c>
      <c r="GF123" s="19">
        <f t="shared" si="832"/>
        <v>15.305864526854604</v>
      </c>
      <c r="GG123" s="10">
        <f t="shared" si="833"/>
        <v>8.4098156740959364</v>
      </c>
      <c r="GH123" s="10">
        <f t="shared" si="834"/>
        <v>216.62454192704931</v>
      </c>
      <c r="GI123" s="539">
        <f t="shared" si="835"/>
        <v>394.25666630722975</v>
      </c>
      <c r="GJ123" s="19">
        <f t="shared" si="836"/>
        <v>15.924070077057396</v>
      </c>
      <c r="GK123" s="10">
        <f t="shared" si="837"/>
        <v>8.7494890533282383</v>
      </c>
      <c r="GL123" s="10">
        <f t="shared" si="838"/>
        <v>225.37403098037754</v>
      </c>
      <c r="GM123" s="539">
        <f t="shared" si="839"/>
        <v>410.18073638428712</v>
      </c>
      <c r="GN123" s="19">
        <f t="shared" si="840"/>
        <v>16.567245017367554</v>
      </c>
      <c r="GO123" s="10">
        <f t="shared" si="841"/>
        <v>9.1028818776744806</v>
      </c>
      <c r="GP123" s="10">
        <f t="shared" si="842"/>
        <v>234.47691285805203</v>
      </c>
      <c r="GQ123" s="539">
        <f t="shared" si="843"/>
        <v>426.74798140165473</v>
      </c>
      <c r="GR123" s="19">
        <f t="shared" si="844"/>
        <v>17.236397864195407</v>
      </c>
      <c r="GS123" s="10">
        <f t="shared" si="845"/>
        <v>9.4705482770304439</v>
      </c>
      <c r="GT123" s="10">
        <f t="shared" si="846"/>
        <v>243.94746113508248</v>
      </c>
      <c r="GU123" s="539">
        <f t="shared" si="847"/>
        <v>443.98437926585012</v>
      </c>
      <c r="GV123" s="19">
        <f t="shared" si="848"/>
        <v>17.932577868039914</v>
      </c>
      <c r="GW123" s="10">
        <f t="shared" si="849"/>
        <v>9.8530647626592938</v>
      </c>
      <c r="GX123" s="10">
        <f t="shared" si="850"/>
        <v>253.80052589774178</v>
      </c>
      <c r="GY123" s="539">
        <f t="shared" si="851"/>
        <v>461.91695713389004</v>
      </c>
      <c r="GZ123" s="19">
        <f t="shared" si="852"/>
        <v>18.656876658742998</v>
      </c>
      <c r="HA123" s="10">
        <f t="shared" si="853"/>
        <v>10.251031131177472</v>
      </c>
      <c r="HB123" s="10">
        <f t="shared" si="854"/>
        <v>264.05155702891926</v>
      </c>
      <c r="HC123" s="539">
        <f t="shared" si="855"/>
        <v>480.57383379263308</v>
      </c>
      <c r="HD123" s="19">
        <f t="shared" si="856"/>
        <v>19.410429957195856</v>
      </c>
      <c r="HE123" s="10">
        <f t="shared" si="857"/>
        <v>10.665071405052668</v>
      </c>
      <c r="HF123" s="10">
        <f t="shared" si="858"/>
        <v>274.71662843397195</v>
      </c>
      <c r="HG123" s="539">
        <f t="shared" si="859"/>
        <v>499.98426374982898</v>
      </c>
      <c r="HH123" s="19">
        <f t="shared" si="860"/>
        <v>20.194419356181278</v>
      </c>
      <c r="HI123" s="10">
        <f t="shared" si="861"/>
        <v>11.095834811088613</v>
      </c>
      <c r="HJ123" s="10">
        <f t="shared" si="862"/>
        <v>285.81246324506054</v>
      </c>
      <c r="HK123" s="539">
        <f t="shared" si="863"/>
        <v>520.17868310601023</v>
      </c>
      <c r="HL123" s="19">
        <f t="shared" si="864"/>
        <v>21.010074173144403</v>
      </c>
      <c r="HM123" s="10">
        <f t="shared" si="865"/>
        <v>11.543996798430991</v>
      </c>
      <c r="HN123" s="10">
        <f t="shared" si="866"/>
        <v>297.35646004349155</v>
      </c>
      <c r="HO123" s="539">
        <f t="shared" si="867"/>
        <v>541.18875727915463</v>
      </c>
      <c r="HP123" s="19">
        <f t="shared" si="868"/>
        <v>21.858673377797064</v>
      </c>
      <c r="HQ123" s="10">
        <f t="shared" si="869"/>
        <v>12.010260097690693</v>
      </c>
      <c r="HR123" s="10">
        <f t="shared" si="870"/>
        <v>309.36672014118227</v>
      </c>
      <c r="HS123" s="539">
        <f t="shared" si="871"/>
        <v>563.04743065695175</v>
      </c>
      <c r="HT123" s="19">
        <f t="shared" si="872"/>
        <v>22.741547597578311</v>
      </c>
      <c r="HU123" s="10">
        <f t="shared" si="873"/>
        <v>12.495355822845225</v>
      </c>
      <c r="HV123" s="10">
        <f t="shared" si="874"/>
        <v>321.8620759640275</v>
      </c>
      <c r="HW123" s="539">
        <f t="shared" si="875"/>
        <v>585.78897825453009</v>
      </c>
      <c r="HX123" s="19">
        <f t="shared" si="876"/>
        <v>23.660081204115663</v>
      </c>
      <c r="HY123" s="10">
        <f t="shared" si="877"/>
        <v>13.000044617645969</v>
      </c>
      <c r="HZ123" s="10">
        <f t="shared" si="878"/>
        <v>334.86212058167348</v>
      </c>
      <c r="IA123" s="539">
        <f t="shared" si="879"/>
        <v>609.44905945864571</v>
      </c>
      <c r="IB123" s="19">
        <f t="shared" si="880"/>
        <v>24.615714483958818</v>
      </c>
      <c r="IM123" s="11"/>
      <c r="IN123" s="19"/>
      <c r="IO123" s="20"/>
      <c r="IP123" s="10"/>
    </row>
    <row r="124" spans="1:250" ht="13.5" thickBot="1">
      <c r="A124" s="11"/>
      <c r="B124" s="20"/>
      <c r="C124" s="826" t="s">
        <v>2344</v>
      </c>
      <c r="D124" s="47" t="s">
        <v>1291</v>
      </c>
      <c r="E124" s="396">
        <f t="shared" si="931"/>
        <v>4.0105000000000004</v>
      </c>
      <c r="F124" s="242">
        <v>1.0105</v>
      </c>
      <c r="G124" s="48">
        <f>'Update Stock Prices'!S124</f>
        <v>2433782527.881041</v>
      </c>
      <c r="H124" s="991">
        <f t="shared" si="610"/>
        <v>4.1519732696897368E-10</v>
      </c>
      <c r="I124" s="49">
        <f>'Update Stock Prices'!D124</f>
        <v>86.08</v>
      </c>
      <c r="J124" s="49">
        <f t="shared" si="404"/>
        <v>86.983840000000001</v>
      </c>
      <c r="K124" s="30">
        <v>66.930000000000007</v>
      </c>
      <c r="L124" s="49">
        <f t="shared" si="611"/>
        <v>20.053839999999994</v>
      </c>
      <c r="M124" s="50">
        <f t="shared" si="613"/>
        <v>0.29962408486478398</v>
      </c>
      <c r="N124" s="49">
        <f t="shared" si="612"/>
        <v>66.234537357743704</v>
      </c>
      <c r="O124" s="48">
        <f t="shared" si="932"/>
        <v>3</v>
      </c>
      <c r="P124" s="49">
        <f t="shared" si="933"/>
        <v>62.769999999999982</v>
      </c>
      <c r="Q124" s="30">
        <f>0.165*4</f>
        <v>0.66</v>
      </c>
      <c r="R124" s="49">
        <f>S124/365.25</f>
        <v>1.8259548254620124E-3</v>
      </c>
      <c r="S124" s="49">
        <f t="shared" si="935"/>
        <v>0.66693000000000002</v>
      </c>
      <c r="T124" s="49">
        <f>S124/12</f>
        <v>5.5577500000000002E-2</v>
      </c>
      <c r="U124" s="49" t="s">
        <v>54</v>
      </c>
      <c r="V124" s="50">
        <f t="shared" si="937"/>
        <v>7.6672862453531603E-3</v>
      </c>
      <c r="W124" s="50">
        <f t="shared" si="575"/>
        <v>9.9645898700134461E-3</v>
      </c>
      <c r="X124" s="49">
        <f t="shared" si="938"/>
        <v>1.98</v>
      </c>
      <c r="Y124" s="49">
        <f t="shared" ref="Y124" si="998">IF(U124="Q",3*T124,IF(U124="Y",12*T124,IF(U124="B",6*T124,IF(U124="M",T124,0))))</f>
        <v>0.16673250000000001</v>
      </c>
      <c r="Z124" s="860">
        <f t="shared" si="939"/>
        <v>0</v>
      </c>
      <c r="AA124" s="860">
        <f t="shared" si="940"/>
        <v>520.68646969696965</v>
      </c>
      <c r="AB124" s="49">
        <f t="shared" si="941"/>
        <v>44820.691311515147</v>
      </c>
      <c r="AC124" s="48">
        <v>1</v>
      </c>
      <c r="AD124" s="47" t="str">
        <f t="shared" si="942"/>
        <v>V</v>
      </c>
      <c r="AE124" s="49">
        <f t="shared" si="943"/>
        <v>86.983840000000001</v>
      </c>
      <c r="AF124" s="50" t="e">
        <f t="shared" si="692"/>
        <v>#REF!</v>
      </c>
      <c r="AG124" s="890" t="e">
        <f t="shared" si="910"/>
        <v>#REF!</v>
      </c>
      <c r="AH124" s="207" t="s">
        <v>1292</v>
      </c>
      <c r="AI124" s="240">
        <f t="shared" si="693"/>
        <v>1.7176136573050803E-2</v>
      </c>
      <c r="AJ124" s="11">
        <f t="shared" si="595"/>
        <v>1</v>
      </c>
      <c r="AK124" s="11"/>
      <c r="AL124" s="11"/>
      <c r="AM124" s="11"/>
      <c r="AN124" s="11"/>
      <c r="AO124" s="11"/>
      <c r="AP124" s="11"/>
      <c r="AQ124" s="11" t="str">
        <f>'Update Stock Prices'!Q124</f>
        <v>mega</v>
      </c>
      <c r="AR124" s="11"/>
      <c r="AS124" s="11"/>
      <c r="AT124" s="233"/>
      <c r="AU124" s="226" t="s">
        <v>1281</v>
      </c>
      <c r="AV124" s="20" t="e">
        <f ca="1">AV253</f>
        <v>#REF!</v>
      </c>
      <c r="AW124" s="15" t="e">
        <f t="shared" ca="1" si="974"/>
        <v>#REF!</v>
      </c>
      <c r="AX124" s="19" t="e">
        <f t="shared" ca="1" si="973"/>
        <v>#REF!</v>
      </c>
      <c r="AY124" s="186" t="e">
        <f t="shared" ca="1" si="975"/>
        <v>#REF!</v>
      </c>
      <c r="AZ124" s="847" t="e">
        <f t="shared" ca="1" si="953"/>
        <v>#REF!</v>
      </c>
      <c r="BA124" s="445" t="s">
        <v>1195</v>
      </c>
      <c r="BB124" s="589">
        <f>AE187+BB119</f>
        <v>14892.140000000001</v>
      </c>
      <c r="BC124" s="234"/>
      <c r="BD124" s="222">
        <f>BD121*26</f>
        <v>10743.500000000002</v>
      </c>
      <c r="BE124" s="655" t="s">
        <v>1298</v>
      </c>
      <c r="BF124" s="19">
        <f>BD128-BD121</f>
        <v>11.900492307692275</v>
      </c>
      <c r="BG124" s="236" t="s">
        <v>1653</v>
      </c>
      <c r="BI124" s="221">
        <v>40237</v>
      </c>
      <c r="BJ124" s="46"/>
      <c r="BK124" s="19">
        <v>82359</v>
      </c>
      <c r="BL124" s="183">
        <f t="shared" si="957"/>
        <v>3.1240609035360078E-2</v>
      </c>
      <c r="BM124" s="16">
        <f t="shared" si="954"/>
        <v>1.6437937848033053</v>
      </c>
      <c r="BN124" s="19">
        <f t="shared" si="955"/>
        <v>225.48665297741272</v>
      </c>
      <c r="BO124" s="938" t="str">
        <f t="shared" si="956"/>
        <v/>
      </c>
      <c r="BS124" s="420" t="str">
        <f t="shared" si="715"/>
        <v>V</v>
      </c>
      <c r="BT124" s="425">
        <f t="shared" si="716"/>
        <v>1.0105</v>
      </c>
      <c r="BU124" s="19">
        <f t="shared" si="717"/>
        <v>86.08</v>
      </c>
      <c r="BV124" s="19">
        <f t="shared" si="718"/>
        <v>86.983840000000001</v>
      </c>
      <c r="BW124" s="539">
        <f t="shared" si="719"/>
        <v>0.66</v>
      </c>
      <c r="BX124" s="19">
        <f t="shared" si="720"/>
        <v>0.66693000000000002</v>
      </c>
      <c r="BY124" s="10">
        <f t="shared" si="721"/>
        <v>7.747792750929368E-3</v>
      </c>
      <c r="BZ124" s="10">
        <f t="shared" si="722"/>
        <v>1.0182477927509292</v>
      </c>
      <c r="CA124" s="539">
        <f t="shared" si="723"/>
        <v>87.650769999999994</v>
      </c>
      <c r="CB124" s="19">
        <f t="shared" si="724"/>
        <v>0.67204354321561333</v>
      </c>
      <c r="CC124" s="10">
        <f t="shared" si="725"/>
        <v>7.8071972957204153E-3</v>
      </c>
      <c r="CD124" s="10">
        <f t="shared" si="726"/>
        <v>1.0260549900466496</v>
      </c>
      <c r="CE124" s="539">
        <f t="shared" si="727"/>
        <v>88.322813543215588</v>
      </c>
      <c r="CF124" s="19">
        <f t="shared" si="728"/>
        <v>0.6771962934307888</v>
      </c>
      <c r="CG124" s="10">
        <f t="shared" si="729"/>
        <v>7.86705731216065E-3</v>
      </c>
      <c r="CH124" s="10">
        <f t="shared" si="730"/>
        <v>1.0339220473588102</v>
      </c>
      <c r="CI124" s="539">
        <f t="shared" si="731"/>
        <v>89.000009836646385</v>
      </c>
      <c r="CJ124" s="19">
        <f t="shared" si="732"/>
        <v>0.68238855125681475</v>
      </c>
      <c r="CK124" s="10">
        <f t="shared" si="733"/>
        <v>7.927376292481584E-3</v>
      </c>
      <c r="CL124" s="10">
        <f t="shared" si="734"/>
        <v>1.0418494236512919</v>
      </c>
      <c r="CM124" s="539">
        <f t="shared" si="735"/>
        <v>89.682398387903206</v>
      </c>
      <c r="CN124" s="19">
        <f t="shared" si="736"/>
        <v>0.68762061960985266</v>
      </c>
      <c r="CO124" s="10">
        <f t="shared" si="737"/>
        <v>7.9881577556906672E-3</v>
      </c>
      <c r="CP124" s="10">
        <f t="shared" si="738"/>
        <v>1.0498375814069825</v>
      </c>
      <c r="CQ124" s="539">
        <f t="shared" si="739"/>
        <v>90.370019007513051</v>
      </c>
      <c r="CR124" s="19">
        <f t="shared" si="740"/>
        <v>0.69289280372860851</v>
      </c>
      <c r="CS124" s="10">
        <f t="shared" si="741"/>
        <v>8.0494052477765865E-3</v>
      </c>
      <c r="CT124" s="10">
        <f t="shared" si="742"/>
        <v>1.0578869866547591</v>
      </c>
      <c r="CU124" s="539">
        <f t="shared" si="743"/>
        <v>91.062911811241662</v>
      </c>
      <c r="CV124" s="19">
        <f t="shared" si="744"/>
        <v>0.69820541119214108</v>
      </c>
      <c r="CW124" s="10">
        <f t="shared" si="745"/>
        <v>8.1111223419161379E-3</v>
      </c>
      <c r="CX124" s="10">
        <f t="shared" si="746"/>
        <v>1.0659981089966752</v>
      </c>
      <c r="CY124" s="539">
        <f t="shared" si="747"/>
        <v>91.761117222433796</v>
      </c>
      <c r="CZ124" s="19">
        <f t="shared" si="748"/>
        <v>0.7035587519378057</v>
      </c>
      <c r="DA124" s="10">
        <f t="shared" si="749"/>
        <v>8.1733126386826869E-3</v>
      </c>
      <c r="DB124" s="10">
        <f t="shared" si="750"/>
        <v>1.0741714216353579</v>
      </c>
      <c r="DC124" s="539">
        <f t="shared" si="751"/>
        <v>92.464675974371616</v>
      </c>
      <c r="DD124" s="19">
        <f t="shared" si="752"/>
        <v>0.70895313827933626</v>
      </c>
      <c r="DE124" s="10">
        <f t="shared" si="753"/>
        <v>8.2359797662562295E-3</v>
      </c>
      <c r="DF124" s="10">
        <f t="shared" si="754"/>
        <v>1.0824074014016141</v>
      </c>
      <c r="DG124" s="539">
        <f t="shared" si="755"/>
        <v>93.173629112650943</v>
      </c>
      <c r="DH124" s="19">
        <f t="shared" si="756"/>
        <v>0.71438888492506536</v>
      </c>
      <c r="DI124" s="10">
        <f t="shared" si="757"/>
        <v>8.2991273806350529E-3</v>
      </c>
      <c r="DJ124" s="10">
        <f t="shared" si="758"/>
        <v>1.0907065287822491</v>
      </c>
      <c r="DK124" s="539">
        <f t="shared" si="759"/>
        <v>93.888017997576</v>
      </c>
      <c r="DL124" s="19">
        <f t="shared" si="760"/>
        <v>0.71986630899628445</v>
      </c>
      <c r="DM124" s="10">
        <f t="shared" si="761"/>
        <v>8.3627591658490298E-3</v>
      </c>
      <c r="DN124" s="10">
        <f t="shared" si="762"/>
        <v>1.0990692879480981</v>
      </c>
      <c r="DO124" s="539">
        <f t="shared" si="763"/>
        <v>94.607884306572288</v>
      </c>
      <c r="DP124" s="19">
        <f t="shared" si="764"/>
        <v>0.7253857300457448</v>
      </c>
      <c r="DQ124" s="10">
        <f t="shared" si="765"/>
        <v>8.4268788341745442E-3</v>
      </c>
      <c r="DR124" s="10">
        <f t="shared" si="766"/>
        <v>1.1074961667822727</v>
      </c>
      <c r="DS124" s="539">
        <f t="shared" si="767"/>
        <v>95.333270036618032</v>
      </c>
      <c r="DT124" s="19">
        <f t="shared" si="768"/>
        <v>0.73094747007630001</v>
      </c>
      <c r="DU124" s="10">
        <f t="shared" si="769"/>
        <v>8.4914901263510693E-3</v>
      </c>
      <c r="DV124" s="10">
        <f t="shared" si="770"/>
        <v>1.1159876569086238</v>
      </c>
      <c r="DW124" s="539">
        <f t="shared" si="771"/>
        <v>96.064217506694334</v>
      </c>
      <c r="DX124" s="19">
        <f t="shared" si="772"/>
        <v>0.73655185355969177</v>
      </c>
      <c r="DY124" s="10">
        <f t="shared" si="773"/>
        <v>8.556596811799393E-3</v>
      </c>
      <c r="DZ124" s="10">
        <f t="shared" si="774"/>
        <v>1.1245442537204231</v>
      </c>
      <c r="EA124" s="539">
        <f t="shared" si="775"/>
        <v>96.800769360254023</v>
      </c>
      <c r="EB124" s="19">
        <f t="shared" si="776"/>
        <v>0.74219920745547929</v>
      </c>
      <c r="EC124" s="10">
        <f t="shared" si="777"/>
        <v>8.6222026888415348E-3</v>
      </c>
      <c r="ED124" s="10">
        <f t="shared" si="778"/>
        <v>1.1331664564092647</v>
      </c>
      <c r="EE124" s="539">
        <f t="shared" si="779"/>
        <v>97.542968567709508</v>
      </c>
      <c r="EF124" s="19">
        <f t="shared" si="780"/>
        <v>0.74788986123011481</v>
      </c>
      <c r="EG124" s="10">
        <f t="shared" si="781"/>
        <v>8.6883115849223369E-3</v>
      </c>
      <c r="EH124" s="10">
        <f t="shared" si="782"/>
        <v>1.1418547679941871</v>
      </c>
      <c r="EI124" s="539">
        <f t="shared" si="783"/>
        <v>98.290858428939615</v>
      </c>
      <c r="EJ124" s="19">
        <f t="shared" si="784"/>
        <v>0.75362414687616353</v>
      </c>
      <c r="EK124" s="10">
        <f t="shared" si="785"/>
        <v>8.7549273568327552E-3</v>
      </c>
      <c r="EL124" s="10">
        <f t="shared" si="786"/>
        <v>1.1506096953510199</v>
      </c>
      <c r="EM124" s="539">
        <f t="shared" si="787"/>
        <v>99.044482575815792</v>
      </c>
      <c r="EN124" s="19">
        <f t="shared" si="788"/>
        <v>0.75940239893167316</v>
      </c>
      <c r="EO124" s="10">
        <f t="shared" si="789"/>
        <v>8.8220538909348657E-3</v>
      </c>
      <c r="EP124" s="10">
        <f t="shared" si="790"/>
        <v>1.1594317492419548</v>
      </c>
      <c r="EQ124" s="539">
        <f t="shared" si="791"/>
        <v>99.803884974747461</v>
      </c>
      <c r="ER124" s="19">
        <f t="shared" si="792"/>
        <v>0.76522495449969019</v>
      </c>
      <c r="ES124" s="10">
        <f t="shared" si="793"/>
        <v>8.8896951033885941E-3</v>
      </c>
      <c r="ET124" s="10">
        <f t="shared" si="794"/>
        <v>1.1683214443453434</v>
      </c>
      <c r="EU124" s="539">
        <f t="shared" si="795"/>
        <v>100.56910992924715</v>
      </c>
      <c r="EV124" s="19">
        <f t="shared" si="796"/>
        <v>0.77109215326792668</v>
      </c>
      <c r="EW124" s="10">
        <f t="shared" si="797"/>
        <v>8.9578549403801899E-3</v>
      </c>
      <c r="EX124" s="10">
        <f t="shared" si="798"/>
        <v>1.1772792992857235</v>
      </c>
      <c r="EY124" s="539">
        <f t="shared" si="799"/>
        <v>101.34020208251508</v>
      </c>
      <c r="EZ124" s="19">
        <f t="shared" si="800"/>
        <v>0.77700433752857756</v>
      </c>
      <c r="FA124" s="10">
        <f t="shared" si="801"/>
        <v>9.0265373783524339E-3</v>
      </c>
      <c r="FB124" s="10">
        <f t="shared" si="802"/>
        <v>1.186305836664076</v>
      </c>
      <c r="FC124" s="539">
        <f t="shared" si="803"/>
        <v>102.11720642004366</v>
      </c>
      <c r="FD124" s="19">
        <f t="shared" si="804"/>
        <v>0.78296185219829018</v>
      </c>
      <c r="FE124" s="10">
        <f t="shared" si="805"/>
        <v>9.0957464242366424E-3</v>
      </c>
      <c r="FF124" s="10">
        <f t="shared" si="806"/>
        <v>1.1954015830883127</v>
      </c>
      <c r="FG124" s="539">
        <f t="shared" si="807"/>
        <v>102.90016827224196</v>
      </c>
      <c r="FH124" s="19">
        <f t="shared" si="808"/>
        <v>0.78896504483828644</v>
      </c>
      <c r="FI124" s="10">
        <f t="shared" si="809"/>
        <v>9.165486115686414E-3</v>
      </c>
      <c r="FJ124" s="10">
        <f t="shared" si="810"/>
        <v>1.2045670692039991</v>
      </c>
      <c r="FK124" s="539">
        <f t="shared" si="811"/>
        <v>103.68913331708025</v>
      </c>
      <c r="FL124" s="19">
        <f t="shared" si="812"/>
        <v>0.79501426567463951</v>
      </c>
      <c r="FM124" s="10">
        <f t="shared" si="813"/>
        <v>9.2357605213131914E-3</v>
      </c>
      <c r="FN124" s="10">
        <f t="shared" si="814"/>
        <v>1.2138028297253123</v>
      </c>
      <c r="FO124" s="539">
        <f t="shared" si="815"/>
        <v>104.48414758275489</v>
      </c>
      <c r="FP124" s="19">
        <f t="shared" si="816"/>
        <v>0.80110986761870617</v>
      </c>
      <c r="FQ124" s="10">
        <f t="shared" si="817"/>
        <v>9.3065737409236318E-3</v>
      </c>
      <c r="FR124" s="10">
        <f t="shared" si="818"/>
        <v>1.223109403466236</v>
      </c>
      <c r="FS124" s="539">
        <f t="shared" si="819"/>
        <v>105.28525745037359</v>
      </c>
      <c r="FT124" s="19">
        <f t="shared" si="820"/>
        <v>0.80725220628771577</v>
      </c>
      <c r="FU124" s="10">
        <f t="shared" si="821"/>
        <v>9.3779299057587806E-3</v>
      </c>
      <c r="FV124" s="10">
        <f t="shared" si="822"/>
        <v>1.2324873333719948</v>
      </c>
      <c r="FW124" s="539">
        <f t="shared" si="823"/>
        <v>106.09250965666131</v>
      </c>
      <c r="FX124" s="19">
        <f t="shared" si="824"/>
        <v>0.81344164002551655</v>
      </c>
      <c r="FY124" s="10">
        <f t="shared" si="825"/>
        <v>9.4498331787350905E-3</v>
      </c>
      <c r="FZ124" s="10">
        <f t="shared" si="826"/>
        <v>1.2419371665507299</v>
      </c>
      <c r="GA124" s="539">
        <f t="shared" si="827"/>
        <v>106.90595129668684</v>
      </c>
      <c r="GB124" s="19">
        <f t="shared" si="828"/>
        <v>0.81967852992348178</v>
      </c>
      <c r="GC124" s="10">
        <f t="shared" si="829"/>
        <v>9.5222877546872892E-3</v>
      </c>
      <c r="GD124" s="10">
        <f t="shared" si="830"/>
        <v>1.2514594543054172</v>
      </c>
      <c r="GE124" s="539">
        <f t="shared" si="831"/>
        <v>107.7256298266103</v>
      </c>
      <c r="GF124" s="19">
        <f t="shared" si="832"/>
        <v>0.82596323984157538</v>
      </c>
      <c r="GG124" s="10">
        <f t="shared" si="833"/>
        <v>9.5952978606130973E-3</v>
      </c>
      <c r="GH124" s="10">
        <f t="shared" si="834"/>
        <v>1.2610547521660302</v>
      </c>
      <c r="GI124" s="539">
        <f t="shared" si="835"/>
        <v>108.55159306645189</v>
      </c>
      <c r="GJ124" s="19">
        <f t="shared" si="836"/>
        <v>0.83229613642958</v>
      </c>
      <c r="GK124" s="10">
        <f t="shared" si="837"/>
        <v>9.6688677559198417E-3</v>
      </c>
      <c r="GL124" s="10">
        <f t="shared" si="838"/>
        <v>1.27072361992195</v>
      </c>
      <c r="GM124" s="539">
        <f t="shared" si="839"/>
        <v>109.38388920288146</v>
      </c>
      <c r="GN124" s="19">
        <f t="shared" si="840"/>
        <v>0.83867758914848711</v>
      </c>
      <c r="GO124" s="10">
        <f t="shared" si="841"/>
        <v>9.743001732672946E-3</v>
      </c>
      <c r="GP124" s="10">
        <f t="shared" si="842"/>
        <v>1.280466621654623</v>
      </c>
      <c r="GQ124" s="539">
        <f t="shared" si="843"/>
        <v>110.22256679202995</v>
      </c>
      <c r="GR124" s="19">
        <f t="shared" si="844"/>
        <v>0.8451079702920512</v>
      </c>
      <c r="GS124" s="10">
        <f t="shared" si="845"/>
        <v>9.8177041158463204E-3</v>
      </c>
      <c r="GT124" s="10">
        <f t="shared" si="846"/>
        <v>1.2902843257704693</v>
      </c>
      <c r="GU124" s="539">
        <f t="shared" si="847"/>
        <v>111.06767476232199</v>
      </c>
      <c r="GV124" s="19">
        <f t="shared" si="848"/>
        <v>0.85158765500850975</v>
      </c>
      <c r="GW124" s="10">
        <f t="shared" si="849"/>
        <v>9.8929792635746947E-3</v>
      </c>
      <c r="GX124" s="10">
        <f t="shared" si="850"/>
        <v>1.3001773050340439</v>
      </c>
      <c r="GY124" s="539">
        <f t="shared" si="851"/>
        <v>111.9192624173305</v>
      </c>
      <c r="GZ124" s="19">
        <f t="shared" si="852"/>
        <v>0.85811702132246903</v>
      </c>
      <c r="HA124" s="10">
        <f t="shared" si="853"/>
        <v>9.9688315674078647E-3</v>
      </c>
      <c r="HB124" s="10">
        <f t="shared" si="854"/>
        <v>1.3101461366014517</v>
      </c>
      <c r="HC124" s="539">
        <f t="shared" si="855"/>
        <v>112.77737943865296</v>
      </c>
      <c r="HD124" s="19">
        <f t="shared" si="856"/>
        <v>0.86469645015695817</v>
      </c>
      <c r="HE124" s="10">
        <f t="shared" si="857"/>
        <v>1.0045265452566893E-2</v>
      </c>
      <c r="HF124" s="10">
        <f t="shared" si="858"/>
        <v>1.3201914020540186</v>
      </c>
      <c r="HG124" s="539">
        <f t="shared" si="859"/>
        <v>113.64207588880993</v>
      </c>
      <c r="HH124" s="19">
        <f t="shared" si="860"/>
        <v>0.87132632535565235</v>
      </c>
      <c r="HI124" s="10">
        <f t="shared" si="861"/>
        <v>1.0122285378202282E-2</v>
      </c>
      <c r="HJ124" s="10">
        <f t="shared" si="862"/>
        <v>1.330313687432221</v>
      </c>
      <c r="HK124" s="539">
        <f t="shared" si="863"/>
        <v>114.51340221416558</v>
      </c>
      <c r="HL124" s="19">
        <f t="shared" si="864"/>
        <v>0.87800703370526589</v>
      </c>
      <c r="HM124" s="10">
        <f t="shared" si="865"/>
        <v>1.0199895837654111E-2</v>
      </c>
      <c r="HN124" s="10">
        <f t="shared" si="866"/>
        <v>1.3405135832698751</v>
      </c>
      <c r="HO124" s="539">
        <f t="shared" si="867"/>
        <v>115.39140924787085</v>
      </c>
      <c r="HP124" s="19">
        <f t="shared" si="868"/>
        <v>0.88473896495811766</v>
      </c>
      <c r="HQ124" s="10">
        <f t="shared" si="869"/>
        <v>1.0278101358714192E-2</v>
      </c>
      <c r="HR124" s="10">
        <f t="shared" si="870"/>
        <v>1.3507916846285892</v>
      </c>
      <c r="HS124" s="539">
        <f t="shared" si="871"/>
        <v>116.27614821282896</v>
      </c>
      <c r="HT124" s="19">
        <f t="shared" si="872"/>
        <v>0.89152251185486897</v>
      </c>
      <c r="HU124" s="10">
        <f t="shared" si="873"/>
        <v>1.0356906503890206E-2</v>
      </c>
      <c r="HV124" s="10">
        <f t="shared" si="874"/>
        <v>1.3611485911324794</v>
      </c>
      <c r="HW124" s="539">
        <f t="shared" si="875"/>
        <v>117.16767072468383</v>
      </c>
      <c r="HX124" s="19">
        <f t="shared" si="876"/>
        <v>0.89835807014743652</v>
      </c>
      <c r="HY124" s="10">
        <f t="shared" si="877"/>
        <v>1.0436315870671892E-2</v>
      </c>
      <c r="HZ124" s="10">
        <f t="shared" si="878"/>
        <v>1.3715849070031514</v>
      </c>
      <c r="IA124" s="539">
        <f t="shared" si="879"/>
        <v>118.06602879483127</v>
      </c>
      <c r="IB124" s="19">
        <f t="shared" si="880"/>
        <v>0.90524603862207997</v>
      </c>
      <c r="IM124" s="11"/>
      <c r="IN124" s="19"/>
      <c r="IO124" s="20"/>
      <c r="IP124" s="10"/>
    </row>
    <row r="125" spans="1:250" ht="13.5" thickBot="1">
      <c r="A125" s="11"/>
      <c r="B125" s="1055"/>
      <c r="C125" s="826" t="s">
        <v>2342</v>
      </c>
      <c r="D125" s="47" t="s">
        <v>1481</v>
      </c>
      <c r="E125" s="396">
        <f t="shared" si="931"/>
        <v>39.131900000000002</v>
      </c>
      <c r="F125" s="242">
        <f>2.0639+0.068</f>
        <v>2.1318999999999999</v>
      </c>
      <c r="G125" s="48">
        <f>'Update Stock Prices'!S125</f>
        <v>979929161.74734366</v>
      </c>
      <c r="H125" s="991">
        <f t="shared" si="610"/>
        <v>2.1755654216867466E-9</v>
      </c>
      <c r="I125" s="49">
        <f>'Update Stock Prices'!D125</f>
        <v>8.4700000000000006</v>
      </c>
      <c r="J125" s="49">
        <f t="shared" si="404"/>
        <v>18.057193000000002</v>
      </c>
      <c r="K125" s="30">
        <v>28.75</v>
      </c>
      <c r="L125" s="49">
        <f t="shared" si="611"/>
        <v>-10.692806999999998</v>
      </c>
      <c r="M125" s="50">
        <f t="shared" si="613"/>
        <v>-0.37192372173913035</v>
      </c>
      <c r="N125" s="49">
        <f t="shared" si="612"/>
        <v>13.485623153055959</v>
      </c>
      <c r="O125" s="48">
        <f t="shared" si="932"/>
        <v>37</v>
      </c>
      <c r="P125" s="49">
        <f t="shared" si="933"/>
        <v>7.6199999999999477</v>
      </c>
      <c r="Q125" s="30">
        <f>0.1375*4</f>
        <v>0.55000000000000004</v>
      </c>
      <c r="R125" s="49">
        <f>S125/365.25</f>
        <v>3.2102532511978097E-3</v>
      </c>
      <c r="S125" s="49">
        <f t="shared" si="935"/>
        <v>1.1725449999999999</v>
      </c>
      <c r="T125" s="49">
        <f>S125/12</f>
        <v>9.7712083333333324E-2</v>
      </c>
      <c r="U125" s="49" t="s">
        <v>54</v>
      </c>
      <c r="V125" s="50">
        <f t="shared" si="937"/>
        <v>6.4935064935064929E-2</v>
      </c>
      <c r="W125" s="50">
        <f t="shared" si="575"/>
        <v>4.0784173913043474E-2</v>
      </c>
      <c r="X125" s="49">
        <f t="shared" si="938"/>
        <v>20.350000000000001</v>
      </c>
      <c r="Y125" s="49">
        <f t="shared" ref="Y125" si="999">IF(U125="Q",3*T125,IF(U125="Y",12*T125,IF(U125="B",6*T125,IF(U125="M",T125,0))))</f>
        <v>0.29313624999999999</v>
      </c>
      <c r="Z125" s="860">
        <f t="shared" si="939"/>
        <v>0</v>
      </c>
      <c r="AA125" s="860">
        <f t="shared" si="940"/>
        <v>59.4681</v>
      </c>
      <c r="AB125" s="49">
        <f t="shared" si="941"/>
        <v>503.69480700000003</v>
      </c>
      <c r="AC125" s="48">
        <v>1</v>
      </c>
      <c r="AD125" s="47" t="str">
        <f t="shared" si="942"/>
        <v>VER</v>
      </c>
      <c r="AE125" s="49">
        <f t="shared" si="943"/>
        <v>18.057193000000002</v>
      </c>
      <c r="AF125" s="50" t="e">
        <f t="shared" si="692"/>
        <v>#REF!</v>
      </c>
      <c r="AG125" s="890" t="e">
        <f t="shared" si="910"/>
        <v>#REF!</v>
      </c>
      <c r="AH125" s="207" t="s">
        <v>321</v>
      </c>
      <c r="AI125" s="240">
        <f t="shared" si="693"/>
        <v>7.4019954219989878E-4</v>
      </c>
      <c r="AJ125" s="11">
        <f t="shared" si="595"/>
        <v>3</v>
      </c>
      <c r="AK125" s="11"/>
      <c r="AL125" s="11"/>
      <c r="AM125" s="11"/>
      <c r="AN125" s="11"/>
      <c r="AO125" s="11"/>
      <c r="AP125" s="11"/>
      <c r="AQ125" s="11" t="str">
        <f>'Update Stock Prices'!Q125</f>
        <v>mid</v>
      </c>
      <c r="AR125" s="11"/>
      <c r="AS125" s="11"/>
      <c r="AU125" s="224" t="s">
        <v>1802</v>
      </c>
      <c r="AV125" s="19">
        <f ca="1">AV261</f>
        <v>2.5624869109947643</v>
      </c>
      <c r="AW125" s="15" t="e">
        <f ca="1">AV125/$AV$128</f>
        <v>#REF!</v>
      </c>
      <c r="AX125" s="19">
        <f t="shared" ref="AX125:AX127" ca="1" si="1000">AV125/12</f>
        <v>0.21354057591623035</v>
      </c>
      <c r="AY125" s="186" t="e">
        <f t="shared" ca="1" si="975"/>
        <v>#REF!</v>
      </c>
      <c r="AZ125" s="847" t="e">
        <f t="shared" ca="1" si="953"/>
        <v>#REF!</v>
      </c>
      <c r="BA125" s="445" t="s">
        <v>1440</v>
      </c>
      <c r="BB125" s="20">
        <f>AE187+2*BB119</f>
        <v>17642.420000000002</v>
      </c>
      <c r="BC125" s="591"/>
      <c r="BD125" s="74"/>
      <c r="BE125" s="74"/>
      <c r="BF125" s="225">
        <f t="shared" ref="BF125:BF126" si="1001">BD129-BD123</f>
        <v>23.80098461538455</v>
      </c>
      <c r="BG125" s="234" t="s">
        <v>1654</v>
      </c>
      <c r="BH125" s="19"/>
      <c r="BI125" s="221">
        <v>40335</v>
      </c>
      <c r="BJ125" s="46"/>
      <c r="BK125" s="19">
        <v>89033</v>
      </c>
      <c r="BL125" s="183">
        <f t="shared" si="957"/>
        <v>8.1035466676380175E-2</v>
      </c>
      <c r="BM125" s="16">
        <f t="shared" si="954"/>
        <v>1.7769993812745744</v>
      </c>
      <c r="BN125" s="19">
        <f t="shared" si="955"/>
        <v>243.75906913073237</v>
      </c>
      <c r="BO125" s="938" t="str">
        <f t="shared" si="956"/>
        <v/>
      </c>
      <c r="BS125" s="420" t="str">
        <f t="shared" si="715"/>
        <v>VER</v>
      </c>
      <c r="BT125" s="425">
        <f t="shared" si="716"/>
        <v>2.1318999999999999</v>
      </c>
      <c r="BU125" s="19">
        <f t="shared" si="717"/>
        <v>8.4700000000000006</v>
      </c>
      <c r="BV125" s="19">
        <f t="shared" si="718"/>
        <v>18.057193000000002</v>
      </c>
      <c r="BW125" s="539">
        <f t="shared" si="719"/>
        <v>0.55000000000000004</v>
      </c>
      <c r="BX125" s="19">
        <f t="shared" si="720"/>
        <v>1.1725449999999999</v>
      </c>
      <c r="BY125" s="10">
        <f t="shared" si="721"/>
        <v>0.13843506493506491</v>
      </c>
      <c r="BZ125" s="10">
        <f t="shared" si="722"/>
        <v>2.2703350649350647</v>
      </c>
      <c r="CA125" s="539">
        <f t="shared" si="723"/>
        <v>19.229737999999998</v>
      </c>
      <c r="CB125" s="19">
        <f t="shared" si="724"/>
        <v>1.2486842857142857</v>
      </c>
      <c r="CC125" s="10">
        <f t="shared" si="725"/>
        <v>0.14742435486591329</v>
      </c>
      <c r="CD125" s="10">
        <f t="shared" si="726"/>
        <v>2.4177594198009777</v>
      </c>
      <c r="CE125" s="539">
        <f t="shared" si="727"/>
        <v>20.478422285714284</v>
      </c>
      <c r="CF125" s="19">
        <f t="shared" si="728"/>
        <v>1.3297676808905379</v>
      </c>
      <c r="CG125" s="10">
        <f t="shared" si="729"/>
        <v>0.15699736492214142</v>
      </c>
      <c r="CH125" s="10">
        <f t="shared" si="730"/>
        <v>2.5747567847231192</v>
      </c>
      <c r="CI125" s="539">
        <f t="shared" si="731"/>
        <v>21.808189966604822</v>
      </c>
      <c r="CJ125" s="19">
        <f t="shared" si="732"/>
        <v>1.4161162315977156</v>
      </c>
      <c r="CK125" s="10">
        <f t="shared" si="733"/>
        <v>0.16719199900799475</v>
      </c>
      <c r="CL125" s="10">
        <f t="shared" si="734"/>
        <v>2.7419487837311141</v>
      </c>
      <c r="CM125" s="539">
        <f t="shared" si="735"/>
        <v>23.224306198202537</v>
      </c>
      <c r="CN125" s="19">
        <f t="shared" si="736"/>
        <v>1.5080718310521128</v>
      </c>
      <c r="CO125" s="10">
        <f t="shared" si="737"/>
        <v>0.17804862232020222</v>
      </c>
      <c r="CP125" s="10">
        <f t="shared" si="738"/>
        <v>2.9199974060513161</v>
      </c>
      <c r="CQ125" s="539">
        <f t="shared" si="739"/>
        <v>24.732378029254647</v>
      </c>
      <c r="CR125" s="19">
        <f t="shared" si="740"/>
        <v>1.605998573328224</v>
      </c>
      <c r="CS125" s="10">
        <f t="shared" si="741"/>
        <v>0.18961022117216339</v>
      </c>
      <c r="CT125" s="10">
        <f t="shared" si="742"/>
        <v>3.1096076272234794</v>
      </c>
      <c r="CU125" s="539">
        <f t="shared" si="743"/>
        <v>26.338376602582873</v>
      </c>
      <c r="CV125" s="19">
        <f t="shared" si="744"/>
        <v>1.7102841949729137</v>
      </c>
      <c r="CW125" s="10">
        <f t="shared" si="745"/>
        <v>0.20192257319632984</v>
      </c>
      <c r="CX125" s="10">
        <f t="shared" si="746"/>
        <v>3.3115302004198091</v>
      </c>
      <c r="CY125" s="539">
        <f t="shared" si="747"/>
        <v>28.048660797555783</v>
      </c>
      <c r="CZ125" s="19">
        <f t="shared" si="748"/>
        <v>1.821341610230895</v>
      </c>
      <c r="DA125" s="10">
        <f t="shared" si="749"/>
        <v>0.21503442859868888</v>
      </c>
      <c r="DB125" s="10">
        <f t="shared" si="750"/>
        <v>3.5265646290184978</v>
      </c>
      <c r="DC125" s="539">
        <f t="shared" si="751"/>
        <v>29.870002407786679</v>
      </c>
      <c r="DD125" s="19">
        <f t="shared" si="752"/>
        <v>1.939610545960174</v>
      </c>
      <c r="DE125" s="10">
        <f t="shared" si="753"/>
        <v>0.22899770318301935</v>
      </c>
      <c r="DF125" s="10">
        <f t="shared" si="754"/>
        <v>3.7555623322015173</v>
      </c>
      <c r="DG125" s="539">
        <f t="shared" si="755"/>
        <v>31.809612953746853</v>
      </c>
      <c r="DH125" s="19">
        <f t="shared" si="756"/>
        <v>2.0655592827108347</v>
      </c>
      <c r="DI125" s="10">
        <f t="shared" si="757"/>
        <v>0.24386768390918945</v>
      </c>
      <c r="DJ125" s="10">
        <f t="shared" si="758"/>
        <v>3.9994300161107068</v>
      </c>
      <c r="DK125" s="539">
        <f t="shared" si="759"/>
        <v>33.875172236457686</v>
      </c>
      <c r="DL125" s="19">
        <f t="shared" si="760"/>
        <v>2.1996865088608888</v>
      </c>
      <c r="DM125" s="10">
        <f t="shared" si="761"/>
        <v>0.25970324779939652</v>
      </c>
      <c r="DN125" s="10">
        <f t="shared" si="762"/>
        <v>4.2591332639101029</v>
      </c>
      <c r="DO125" s="539">
        <f t="shared" si="763"/>
        <v>36.074858745318572</v>
      </c>
      <c r="DP125" s="19">
        <f t="shared" si="764"/>
        <v>2.3425232951505568</v>
      </c>
      <c r="DQ125" s="10">
        <f t="shared" si="765"/>
        <v>0.2765670950590976</v>
      </c>
      <c r="DR125" s="10">
        <f t="shared" si="766"/>
        <v>4.5357003589692004</v>
      </c>
      <c r="DS125" s="539">
        <f t="shared" si="767"/>
        <v>38.417382040469128</v>
      </c>
      <c r="DT125" s="19">
        <f t="shared" si="768"/>
        <v>2.4946351974330603</v>
      </c>
      <c r="DU125" s="10">
        <f t="shared" si="769"/>
        <v>0.29452599733566237</v>
      </c>
      <c r="DV125" s="10">
        <f t="shared" si="770"/>
        <v>4.8302263563048626</v>
      </c>
      <c r="DW125" s="539">
        <f t="shared" si="771"/>
        <v>40.912017237902191</v>
      </c>
      <c r="DX125" s="19">
        <f t="shared" si="772"/>
        <v>2.6566244959676748</v>
      </c>
      <c r="DY125" s="10">
        <f t="shared" si="773"/>
        <v>0.31365106209771837</v>
      </c>
      <c r="DZ125" s="10">
        <f t="shared" si="774"/>
        <v>5.1438774184025808</v>
      </c>
      <c r="EA125" s="539">
        <f t="shared" si="775"/>
        <v>43.56864173386986</v>
      </c>
      <c r="EB125" s="19">
        <f t="shared" si="776"/>
        <v>2.8291325801214198</v>
      </c>
      <c r="EC125" s="10">
        <f t="shared" si="777"/>
        <v>0.33401801418198579</v>
      </c>
      <c r="ED125" s="10">
        <f t="shared" si="778"/>
        <v>5.4778954325845666</v>
      </c>
      <c r="EE125" s="539">
        <f t="shared" si="779"/>
        <v>46.397774313991285</v>
      </c>
      <c r="EF125" s="19">
        <f t="shared" si="780"/>
        <v>3.0128424879215117</v>
      </c>
      <c r="EG125" s="10">
        <f t="shared" si="781"/>
        <v>0.35570749562237441</v>
      </c>
      <c r="EH125" s="10">
        <f t="shared" si="782"/>
        <v>5.8336029282069406</v>
      </c>
      <c r="EI125" s="539">
        <f t="shared" si="783"/>
        <v>49.410616801912788</v>
      </c>
      <c r="EJ125" s="19">
        <f t="shared" si="784"/>
        <v>3.2084816105138176</v>
      </c>
      <c r="EK125" s="10">
        <f t="shared" si="785"/>
        <v>0.37880538494850263</v>
      </c>
      <c r="EL125" s="10">
        <f t="shared" si="786"/>
        <v>6.2124083131554428</v>
      </c>
      <c r="EM125" s="539">
        <f t="shared" si="787"/>
        <v>52.619098412426602</v>
      </c>
      <c r="EN125" s="19">
        <f t="shared" si="788"/>
        <v>3.4168245722354937</v>
      </c>
      <c r="EO125" s="10">
        <f t="shared" si="789"/>
        <v>0.4034031372178859</v>
      </c>
      <c r="EP125" s="10">
        <f t="shared" si="790"/>
        <v>6.6158114503733287</v>
      </c>
      <c r="EQ125" s="539">
        <f t="shared" si="791"/>
        <v>56.035922984662101</v>
      </c>
      <c r="ER125" s="19">
        <f t="shared" si="792"/>
        <v>3.638696297705331</v>
      </c>
      <c r="ES125" s="10">
        <f t="shared" si="793"/>
        <v>0.42959814612813824</v>
      </c>
      <c r="ET125" s="10">
        <f t="shared" si="794"/>
        <v>7.0454095965014671</v>
      </c>
      <c r="EU125" s="539">
        <f t="shared" si="795"/>
        <v>59.674619282367431</v>
      </c>
      <c r="EV125" s="19">
        <f t="shared" si="796"/>
        <v>3.8749752780758073</v>
      </c>
      <c r="EW125" s="10">
        <f t="shared" si="797"/>
        <v>0.45749412964295244</v>
      </c>
      <c r="EX125" s="10">
        <f t="shared" si="798"/>
        <v>7.5029037261444191</v>
      </c>
      <c r="EY125" s="539">
        <f t="shared" si="799"/>
        <v>63.549594560443232</v>
      </c>
      <c r="EZ125" s="19">
        <f t="shared" si="800"/>
        <v>4.1265970493794306</v>
      </c>
      <c r="FA125" s="10">
        <f t="shared" si="801"/>
        <v>0.4872015406587285</v>
      </c>
      <c r="FB125" s="10">
        <f t="shared" si="802"/>
        <v>7.9901052668031474</v>
      </c>
      <c r="FC125" s="539">
        <f t="shared" si="803"/>
        <v>67.676191609822666</v>
      </c>
      <c r="FD125" s="19">
        <f t="shared" si="804"/>
        <v>4.3945578967417314</v>
      </c>
      <c r="FE125" s="10">
        <f t="shared" si="805"/>
        <v>0.51883800433786675</v>
      </c>
      <c r="FF125" s="10">
        <f t="shared" si="806"/>
        <v>8.508943271141014</v>
      </c>
      <c r="FG125" s="539">
        <f t="shared" si="807"/>
        <v>72.070749506564397</v>
      </c>
      <c r="FH125" s="19">
        <f t="shared" si="808"/>
        <v>4.6799187991275577</v>
      </c>
      <c r="FI125" s="10">
        <f t="shared" si="809"/>
        <v>0.55252878384032555</v>
      </c>
      <c r="FJ125" s="10">
        <f t="shared" si="810"/>
        <v>9.0614720549813388</v>
      </c>
      <c r="FK125" s="539">
        <f t="shared" si="811"/>
        <v>76.750668305691946</v>
      </c>
      <c r="FL125" s="19">
        <f t="shared" si="812"/>
        <v>4.9838096302397368</v>
      </c>
      <c r="FM125" s="10">
        <f t="shared" si="813"/>
        <v>0.58840727629748957</v>
      </c>
      <c r="FN125" s="10">
        <f t="shared" si="814"/>
        <v>9.6498793312788287</v>
      </c>
      <c r="FO125" s="539">
        <f t="shared" si="815"/>
        <v>81.734477935931679</v>
      </c>
      <c r="FP125" s="19">
        <f t="shared" si="816"/>
        <v>5.307433632203356</v>
      </c>
      <c r="FQ125" s="10">
        <f t="shared" si="817"/>
        <v>0.62661554099213168</v>
      </c>
      <c r="FR125" s="10">
        <f t="shared" si="818"/>
        <v>10.276494872270961</v>
      </c>
      <c r="FS125" s="539">
        <f t="shared" si="819"/>
        <v>87.041911568135049</v>
      </c>
      <c r="FT125" s="19">
        <f t="shared" si="820"/>
        <v>5.6520721797490285</v>
      </c>
      <c r="FU125" s="10">
        <f t="shared" si="821"/>
        <v>0.66730486183577664</v>
      </c>
      <c r="FV125" s="10">
        <f t="shared" si="822"/>
        <v>10.943799734106737</v>
      </c>
      <c r="FW125" s="539">
        <f t="shared" si="823"/>
        <v>92.693983747884062</v>
      </c>
      <c r="FX125" s="19">
        <f t="shared" si="824"/>
        <v>6.0190898537587056</v>
      </c>
      <c r="FY125" s="10">
        <f t="shared" si="825"/>
        <v>0.71063634637056727</v>
      </c>
      <c r="FZ125" s="10">
        <f t="shared" si="826"/>
        <v>11.654436080477304</v>
      </c>
      <c r="GA125" s="539">
        <f t="shared" si="827"/>
        <v>98.713073601642762</v>
      </c>
      <c r="GB125" s="19">
        <f t="shared" si="828"/>
        <v>6.4099398442625173</v>
      </c>
      <c r="GC125" s="10">
        <f t="shared" si="829"/>
        <v>0.75678156366735738</v>
      </c>
      <c r="GD125" s="10">
        <f t="shared" si="830"/>
        <v>12.41121764414466</v>
      </c>
      <c r="GE125" s="539">
        <f t="shared" si="831"/>
        <v>105.12301344590527</v>
      </c>
      <c r="GF125" s="19">
        <f t="shared" si="832"/>
        <v>6.8261697042795637</v>
      </c>
      <c r="GG125" s="10">
        <f t="shared" si="833"/>
        <v>0.80592322364575719</v>
      </c>
      <c r="GH125" s="10">
        <f t="shared" si="834"/>
        <v>13.217140867790418</v>
      </c>
      <c r="GI125" s="539">
        <f t="shared" si="835"/>
        <v>111.94918315018485</v>
      </c>
      <c r="GJ125" s="19">
        <f t="shared" si="836"/>
        <v>7.2694274772847303</v>
      </c>
      <c r="GK125" s="10">
        <f t="shared" si="837"/>
        <v>0.85825590050587131</v>
      </c>
      <c r="GL125" s="10">
        <f t="shared" si="838"/>
        <v>14.075396768296288</v>
      </c>
      <c r="GM125" s="539">
        <f t="shared" si="839"/>
        <v>119.21861062746957</v>
      </c>
      <c r="GN125" s="19">
        <f t="shared" si="840"/>
        <v>7.7414682225629594</v>
      </c>
      <c r="GO125" s="10">
        <f t="shared" si="841"/>
        <v>0.91398680313612268</v>
      </c>
      <c r="GP125" s="10">
        <f t="shared" si="842"/>
        <v>14.989383571432411</v>
      </c>
      <c r="GQ125" s="539">
        <f t="shared" si="843"/>
        <v>126.96007885003253</v>
      </c>
      <c r="GR125" s="19">
        <f t="shared" si="844"/>
        <v>8.2441609642878273</v>
      </c>
      <c r="GS125" s="10">
        <f t="shared" si="845"/>
        <v>0.97333659554755925</v>
      </c>
      <c r="GT125" s="10">
        <f t="shared" si="846"/>
        <v>15.96272016697997</v>
      </c>
      <c r="GU125" s="539">
        <f t="shared" si="847"/>
        <v>135.20423981432035</v>
      </c>
      <c r="GV125" s="19">
        <f t="shared" si="848"/>
        <v>8.7794960918389844</v>
      </c>
      <c r="GW125" s="10">
        <f t="shared" si="849"/>
        <v>1.036540270583115</v>
      </c>
      <c r="GX125" s="10">
        <f t="shared" si="850"/>
        <v>16.999260437563084</v>
      </c>
      <c r="GY125" s="539">
        <f t="shared" si="851"/>
        <v>143.98373590615932</v>
      </c>
      <c r="GZ125" s="19">
        <f t="shared" si="852"/>
        <v>9.3495932406596971</v>
      </c>
      <c r="HA125" s="10">
        <f t="shared" si="853"/>
        <v>1.1038480803612392</v>
      </c>
      <c r="HB125" s="10">
        <f t="shared" si="854"/>
        <v>18.103108517924323</v>
      </c>
      <c r="HC125" s="539">
        <f t="shared" si="855"/>
        <v>153.33332914681901</v>
      </c>
      <c r="HD125" s="19">
        <f t="shared" si="856"/>
        <v>9.956709684858378</v>
      </c>
      <c r="HE125" s="10">
        <f t="shared" si="857"/>
        <v>1.1755265271379429</v>
      </c>
      <c r="HF125" s="10">
        <f t="shared" si="858"/>
        <v>19.278635045062266</v>
      </c>
      <c r="HG125" s="539">
        <f t="shared" si="859"/>
        <v>163.29003883167741</v>
      </c>
      <c r="HH125" s="19">
        <f t="shared" si="860"/>
        <v>10.603249274784247</v>
      </c>
      <c r="HI125" s="10">
        <f t="shared" si="861"/>
        <v>1.2518594185105367</v>
      </c>
      <c r="HJ125" s="10">
        <f t="shared" si="862"/>
        <v>20.530494463572804</v>
      </c>
      <c r="HK125" s="539">
        <f t="shared" si="863"/>
        <v>173.89328810646165</v>
      </c>
      <c r="HL125" s="19">
        <f t="shared" si="864"/>
        <v>11.291771954965043</v>
      </c>
      <c r="HM125" s="10">
        <f t="shared" si="865"/>
        <v>1.3331489911410912</v>
      </c>
      <c r="HN125" s="10">
        <f t="shared" si="866"/>
        <v>21.863643454713895</v>
      </c>
      <c r="HO125" s="539">
        <f t="shared" si="867"/>
        <v>185.1850600614267</v>
      </c>
      <c r="HP125" s="19">
        <f t="shared" si="868"/>
        <v>12.025003900092644</v>
      </c>
      <c r="HQ125" s="10">
        <f t="shared" si="869"/>
        <v>1.4197171074489543</v>
      </c>
      <c r="HR125" s="10">
        <f t="shared" si="870"/>
        <v>23.283360562162848</v>
      </c>
      <c r="HS125" s="539">
        <f t="shared" si="871"/>
        <v>197.21006396151932</v>
      </c>
      <c r="HT125" s="19">
        <f t="shared" si="872"/>
        <v>12.805848309189567</v>
      </c>
      <c r="HU125" s="10">
        <f t="shared" si="873"/>
        <v>1.5119065300105745</v>
      </c>
      <c r="HV125" s="10">
        <f t="shared" si="874"/>
        <v>24.795267092173422</v>
      </c>
      <c r="HW125" s="539">
        <f t="shared" si="875"/>
        <v>210.0159122707089</v>
      </c>
      <c r="HX125" s="19">
        <f t="shared" si="876"/>
        <v>13.637396900695384</v>
      </c>
      <c r="HY125" s="10">
        <f t="shared" si="877"/>
        <v>1.6100822787125599</v>
      </c>
      <c r="HZ125" s="10">
        <f t="shared" si="878"/>
        <v>26.405349370885983</v>
      </c>
      <c r="IA125" s="539">
        <f t="shared" si="879"/>
        <v>223.65330917140429</v>
      </c>
      <c r="IB125" s="19">
        <f t="shared" si="880"/>
        <v>14.522942153987291</v>
      </c>
      <c r="IM125" s="11"/>
      <c r="IN125" s="19"/>
      <c r="IO125" s="20"/>
      <c r="IP125" s="10"/>
    </row>
    <row r="126" spans="1:250" ht="13.5" thickBot="1">
      <c r="A126" s="11"/>
      <c r="B126" s="1149"/>
      <c r="C126" s="826" t="s">
        <v>2345</v>
      </c>
      <c r="D126" s="47" t="s">
        <v>360</v>
      </c>
      <c r="E126" s="396">
        <f t="shared" si="931"/>
        <v>8</v>
      </c>
      <c r="F126" s="242">
        <v>1</v>
      </c>
      <c r="G126" s="48">
        <f>'Update Stock Prices'!S126</f>
        <v>117647058.82352942</v>
      </c>
      <c r="H126" s="991">
        <f t="shared" si="610"/>
        <v>8.5E-9</v>
      </c>
      <c r="I126" s="49">
        <f>'Update Stock Prices'!D126</f>
        <v>40.97</v>
      </c>
      <c r="J126" s="49">
        <f t="shared" si="404"/>
        <v>40.97</v>
      </c>
      <c r="K126" s="30">
        <v>49.25</v>
      </c>
      <c r="L126" s="49">
        <f t="shared" si="611"/>
        <v>-8.2800000000000011</v>
      </c>
      <c r="M126" s="50">
        <f t="shared" si="613"/>
        <v>-0.16812182741116755</v>
      </c>
      <c r="N126" s="49">
        <f t="shared" si="612"/>
        <v>49.25</v>
      </c>
      <c r="O126" s="48">
        <f t="shared" si="932"/>
        <v>7</v>
      </c>
      <c r="P126" s="49">
        <f>IF(($B$11-$B$12)-(O126*I126)&lt;0,0,($B$11-$B$12)-(O126*I126))</f>
        <v>34.220000000000027</v>
      </c>
      <c r="Q126" s="30">
        <f>0.2*12</f>
        <v>2.4000000000000004</v>
      </c>
      <c r="R126" s="49">
        <f t="shared" si="242"/>
        <v>6.5708418891170439E-3</v>
      </c>
      <c r="S126" s="49">
        <f t="shared" si="935"/>
        <v>2.4000000000000004</v>
      </c>
      <c r="T126" s="49">
        <f t="shared" si="399"/>
        <v>0.20000000000000004</v>
      </c>
      <c r="U126" s="49" t="s">
        <v>56</v>
      </c>
      <c r="V126" s="50">
        <f t="shared" si="937"/>
        <v>5.8579448376861125E-2</v>
      </c>
      <c r="W126" s="50">
        <f t="shared" si="575"/>
        <v>4.8730964467005082E-2</v>
      </c>
      <c r="X126" s="49">
        <f t="shared" ref="X126:X131" si="1002">12*((E126*Q126)/12-T126)</f>
        <v>16.800000000000004</v>
      </c>
      <c r="Y126" s="49">
        <f t="shared" si="654"/>
        <v>0.20000000000000004</v>
      </c>
      <c r="Z126" s="860">
        <f t="shared" si="939"/>
        <v>0</v>
      </c>
      <c r="AA126" s="860">
        <f t="shared" si="940"/>
        <v>203.84999999999997</v>
      </c>
      <c r="AB126" s="49">
        <f t="shared" si="941"/>
        <v>8351.7344999999987</v>
      </c>
      <c r="AC126" s="48">
        <v>1</v>
      </c>
      <c r="AD126" s="47" t="str">
        <f t="shared" si="942"/>
        <v>VET</v>
      </c>
      <c r="AE126" s="49">
        <f t="shared" si="943"/>
        <v>40.97</v>
      </c>
      <c r="AF126" s="50" t="e">
        <f t="shared" si="692"/>
        <v>#REF!</v>
      </c>
      <c r="AG126" s="890" t="e">
        <f t="shared" si="910"/>
        <v>#REF!</v>
      </c>
      <c r="AH126" s="207" t="s">
        <v>322</v>
      </c>
      <c r="AI126" s="240">
        <f t="shared" si="693"/>
        <v>3.8104850338218674E-3</v>
      </c>
      <c r="AJ126" s="11">
        <f t="shared" si="595"/>
        <v>3</v>
      </c>
      <c r="AK126" s="11"/>
      <c r="AL126" s="11"/>
      <c r="AM126" s="11"/>
      <c r="AN126" s="11"/>
      <c r="AO126" s="11"/>
      <c r="AP126" s="11"/>
      <c r="AQ126" s="11" t="str">
        <f>'Update Stock Prices'!Q126</f>
        <v>mid</v>
      </c>
      <c r="AR126" s="11"/>
      <c r="AS126" s="11"/>
      <c r="AU126" s="224" t="s">
        <v>1832</v>
      </c>
      <c r="AV126" s="19">
        <f ca="1">AV269</f>
        <v>5.0588642659279781</v>
      </c>
      <c r="AW126" s="15" t="e">
        <f ca="1">AV126/$AV$128</f>
        <v>#REF!</v>
      </c>
      <c r="AX126" s="19">
        <f t="shared" ca="1" si="1000"/>
        <v>0.42157202216066486</v>
      </c>
      <c r="AY126" s="186" t="e">
        <f ca="1">AW126*$AU$131</f>
        <v>#REF!</v>
      </c>
      <c r="AZ126" s="847" t="e">
        <f t="shared" ca="1" si="953"/>
        <v>#REF!</v>
      </c>
      <c r="BA126" s="216" t="s">
        <v>2817</v>
      </c>
      <c r="BB126" s="231" t="s">
        <v>1192</v>
      </c>
      <c r="BC126" s="651" t="s">
        <v>1296</v>
      </c>
      <c r="BD126" s="809" t="s">
        <v>1643</v>
      </c>
      <c r="BE126" s="961"/>
      <c r="BF126" s="222">
        <f t="shared" si="1001"/>
        <v>309.41279999999824</v>
      </c>
      <c r="BG126" s="232" t="s">
        <v>1655</v>
      </c>
      <c r="BH126" s="19"/>
      <c r="BI126" s="219">
        <v>40699</v>
      </c>
      <c r="BJ126" s="482"/>
      <c r="BK126" s="19">
        <v>92001</v>
      </c>
      <c r="BL126" s="183">
        <f t="shared" si="957"/>
        <v>3.3335954084440678E-2</v>
      </c>
      <c r="BM126" s="16">
        <f t="shared" si="954"/>
        <v>1.8362373510568228</v>
      </c>
      <c r="BN126" s="19">
        <f t="shared" si="955"/>
        <v>251.88501026694044</v>
      </c>
      <c r="BO126" s="938" t="str">
        <f t="shared" si="956"/>
        <v/>
      </c>
      <c r="BS126" s="420" t="str">
        <f t="shared" si="715"/>
        <v>VET</v>
      </c>
      <c r="BT126" s="425">
        <f t="shared" si="716"/>
        <v>1</v>
      </c>
      <c r="BU126" s="19">
        <f t="shared" si="717"/>
        <v>40.97</v>
      </c>
      <c r="BV126" s="19">
        <f t="shared" si="718"/>
        <v>40.97</v>
      </c>
      <c r="BW126" s="539">
        <f t="shared" si="719"/>
        <v>2.4000000000000004</v>
      </c>
      <c r="BX126" s="19">
        <f t="shared" si="720"/>
        <v>2.4000000000000004</v>
      </c>
      <c r="BY126" s="10">
        <f t="shared" si="721"/>
        <v>5.8579448376861125E-2</v>
      </c>
      <c r="BZ126" s="10">
        <f t="shared" si="722"/>
        <v>1.0585794483768611</v>
      </c>
      <c r="CA126" s="539">
        <f t="shared" si="723"/>
        <v>43.37</v>
      </c>
      <c r="CB126" s="19">
        <f t="shared" si="724"/>
        <v>2.540590676104467</v>
      </c>
      <c r="CC126" s="10">
        <f t="shared" si="725"/>
        <v>6.2011000148998463E-2</v>
      </c>
      <c r="CD126" s="10">
        <f t="shared" si="726"/>
        <v>1.1205904485258595</v>
      </c>
      <c r="CE126" s="539">
        <f t="shared" si="727"/>
        <v>45.910590676104462</v>
      </c>
      <c r="CF126" s="19">
        <f t="shared" si="728"/>
        <v>2.6894170764620631</v>
      </c>
      <c r="CG126" s="10">
        <f t="shared" si="729"/>
        <v>6.5643570331024234E-2</v>
      </c>
      <c r="CH126" s="10">
        <f t="shared" si="730"/>
        <v>1.1862340188568838</v>
      </c>
      <c r="CI126" s="539">
        <f t="shared" si="731"/>
        <v>48.600007752566526</v>
      </c>
      <c r="CJ126" s="19">
        <f t="shared" si="732"/>
        <v>2.8469616452565218</v>
      </c>
      <c r="CK126" s="10">
        <f t="shared" si="733"/>
        <v>6.9488934470503347E-2</v>
      </c>
      <c r="CL126" s="10">
        <f t="shared" si="734"/>
        <v>1.2557229533273873</v>
      </c>
      <c r="CM126" s="539">
        <f t="shared" si="735"/>
        <v>51.446969397823054</v>
      </c>
      <c r="CN126" s="19">
        <f t="shared" si="736"/>
        <v>3.0137350879857299</v>
      </c>
      <c r="CO126" s="10">
        <f t="shared" si="737"/>
        <v>7.3559557920081273E-2</v>
      </c>
      <c r="CP126" s="10">
        <f t="shared" si="738"/>
        <v>1.3292825112474684</v>
      </c>
      <c r="CQ126" s="539">
        <f t="shared" si="739"/>
        <v>54.460704485808783</v>
      </c>
      <c r="CR126" s="19">
        <f t="shared" si="740"/>
        <v>3.1902780269939246</v>
      </c>
      <c r="CS126" s="10">
        <f t="shared" si="741"/>
        <v>7.78686362458854E-2</v>
      </c>
      <c r="CT126" s="10">
        <f t="shared" si="742"/>
        <v>1.4071511474933538</v>
      </c>
      <c r="CU126" s="539">
        <f t="shared" si="743"/>
        <v>57.650982512802706</v>
      </c>
      <c r="CV126" s="19">
        <f t="shared" si="744"/>
        <v>3.3771627539840496</v>
      </c>
      <c r="CW126" s="10">
        <f t="shared" si="745"/>
        <v>8.2430138003027814E-2</v>
      </c>
      <c r="CX126" s="10">
        <f t="shared" si="746"/>
        <v>1.4895812854963817</v>
      </c>
      <c r="CY126" s="539">
        <f t="shared" si="747"/>
        <v>61.028145266786758</v>
      </c>
      <c r="CZ126" s="19">
        <f t="shared" si="748"/>
        <v>3.5749950851913166</v>
      </c>
      <c r="DA126" s="10">
        <f t="shared" si="749"/>
        <v>8.7258850016873724E-2</v>
      </c>
      <c r="DB126" s="10">
        <f t="shared" si="750"/>
        <v>1.5768401355132555</v>
      </c>
      <c r="DC126" s="539">
        <f t="shared" si="751"/>
        <v>64.603140351978084</v>
      </c>
      <c r="DD126" s="19">
        <f t="shared" si="752"/>
        <v>3.7844163252318137</v>
      </c>
      <c r="DE126" s="10">
        <f t="shared" si="753"/>
        <v>9.237042531686146E-2</v>
      </c>
      <c r="DF126" s="10">
        <f t="shared" si="754"/>
        <v>1.6692105608301171</v>
      </c>
      <c r="DG126" s="539">
        <f t="shared" si="755"/>
        <v>68.387556677209901</v>
      </c>
      <c r="DH126" s="19">
        <f t="shared" si="756"/>
        <v>4.0061053459922817</v>
      </c>
      <c r="DI126" s="10">
        <f t="shared" si="757"/>
        <v>9.7781433878259258E-2</v>
      </c>
      <c r="DJ126" s="10">
        <f t="shared" si="758"/>
        <v>1.7669919947083763</v>
      </c>
      <c r="DK126" s="539">
        <f t="shared" si="759"/>
        <v>72.393662023202182</v>
      </c>
      <c r="DL126" s="19">
        <f t="shared" si="760"/>
        <v>4.2407807873001042</v>
      </c>
      <c r="DM126" s="10">
        <f t="shared" si="761"/>
        <v>0.10350941633634621</v>
      </c>
      <c r="DN126" s="10">
        <f t="shared" si="762"/>
        <v>1.8705014110447225</v>
      </c>
      <c r="DO126" s="539">
        <f t="shared" si="763"/>
        <v>76.634442810502279</v>
      </c>
      <c r="DP126" s="19">
        <f t="shared" si="764"/>
        <v>4.4892033865073344</v>
      </c>
      <c r="DQ126" s="10">
        <f t="shared" si="765"/>
        <v>0.10957294084714021</v>
      </c>
      <c r="DR126" s="10">
        <f t="shared" si="766"/>
        <v>1.9800743518918626</v>
      </c>
      <c r="DS126" s="539">
        <f t="shared" si="767"/>
        <v>81.123646197009606</v>
      </c>
      <c r="DT126" s="19">
        <f t="shared" si="768"/>
        <v>4.7521784445404709</v>
      </c>
      <c r="DU126" s="10">
        <f t="shared" si="769"/>
        <v>0.11599166327899613</v>
      </c>
      <c r="DV126" s="10">
        <f t="shared" si="770"/>
        <v>2.0960660151708588</v>
      </c>
      <c r="DW126" s="539">
        <f t="shared" si="771"/>
        <v>85.875824641550082</v>
      </c>
      <c r="DX126" s="19">
        <f t="shared" si="772"/>
        <v>5.030558436410062</v>
      </c>
      <c r="DY126" s="10">
        <f t="shared" si="773"/>
        <v>0.12278639093019433</v>
      </c>
      <c r="DZ126" s="10">
        <f t="shared" si="774"/>
        <v>2.2188524061010533</v>
      </c>
      <c r="EA126" s="539">
        <f t="shared" si="775"/>
        <v>90.906383077960143</v>
      </c>
      <c r="EB126" s="19">
        <f t="shared" si="776"/>
        <v>5.3252457746425286</v>
      </c>
      <c r="EC126" s="10">
        <f t="shared" si="777"/>
        <v>0.12997914997907076</v>
      </c>
      <c r="ED126" s="10">
        <f t="shared" si="778"/>
        <v>2.3488315560801238</v>
      </c>
      <c r="EE126" s="539">
        <f t="shared" si="779"/>
        <v>96.231628852602668</v>
      </c>
      <c r="EF126" s="19">
        <f t="shared" si="780"/>
        <v>5.6371957345922983</v>
      </c>
      <c r="EG126" s="10">
        <f t="shared" si="781"/>
        <v>0.13759325688533802</v>
      </c>
      <c r="EH126" s="10">
        <f t="shared" si="782"/>
        <v>2.486424812965462</v>
      </c>
      <c r="EI126" s="539">
        <f t="shared" si="783"/>
        <v>101.86882458719498</v>
      </c>
      <c r="EJ126" s="19">
        <f t="shared" si="784"/>
        <v>5.9674195511171098</v>
      </c>
      <c r="EK126" s="10">
        <f t="shared" si="785"/>
        <v>0.14565339397405686</v>
      </c>
      <c r="EL126" s="10">
        <f t="shared" si="786"/>
        <v>2.6320782069395188</v>
      </c>
      <c r="EM126" s="539">
        <f t="shared" si="787"/>
        <v>107.83624413831208</v>
      </c>
      <c r="EN126" s="19">
        <f t="shared" si="788"/>
        <v>6.3169876966548459</v>
      </c>
      <c r="EO126" s="10">
        <f t="shared" si="789"/>
        <v>0.15418568944727473</v>
      </c>
      <c r="EP126" s="10">
        <f t="shared" si="790"/>
        <v>2.7862638963867936</v>
      </c>
      <c r="EQ126" s="539">
        <f t="shared" si="791"/>
        <v>114.15323183496693</v>
      </c>
      <c r="ER126" s="19">
        <f t="shared" si="792"/>
        <v>6.6870333513283056</v>
      </c>
      <c r="ES126" s="10">
        <f t="shared" si="793"/>
        <v>0.16321780208270212</v>
      </c>
      <c r="ET126" s="10">
        <f t="shared" si="794"/>
        <v>2.9494816984694956</v>
      </c>
      <c r="EU126" s="539">
        <f t="shared" si="795"/>
        <v>120.84026518629523</v>
      </c>
      <c r="EV126" s="19">
        <f t="shared" si="796"/>
        <v>7.0787560763267905</v>
      </c>
      <c r="EW126" s="10">
        <f t="shared" si="797"/>
        <v>0.1727790108939905</v>
      </c>
      <c r="EX126" s="10">
        <f t="shared" si="798"/>
        <v>3.122260709363486</v>
      </c>
      <c r="EY126" s="539">
        <f t="shared" si="799"/>
        <v>127.91902126262201</v>
      </c>
      <c r="EZ126" s="19">
        <f t="shared" si="800"/>
        <v>7.4934257024723676</v>
      </c>
      <c r="FA126" s="10">
        <f t="shared" si="801"/>
        <v>0.18290031004326013</v>
      </c>
      <c r="FB126" s="10">
        <f t="shared" si="802"/>
        <v>3.305161019406746</v>
      </c>
      <c r="FC126" s="539">
        <f t="shared" si="803"/>
        <v>135.41244696509438</v>
      </c>
      <c r="FD126" s="19">
        <f t="shared" si="804"/>
        <v>7.9323864465761913</v>
      </c>
      <c r="FE126" s="10">
        <f t="shared" si="805"/>
        <v>0.19361450931355118</v>
      </c>
      <c r="FF126" s="10">
        <f t="shared" si="806"/>
        <v>3.4987755287202971</v>
      </c>
      <c r="FG126" s="539">
        <f t="shared" si="807"/>
        <v>143.34483341167058</v>
      </c>
      <c r="FH126" s="19">
        <f t="shared" si="808"/>
        <v>8.3970612689287147</v>
      </c>
      <c r="FI126" s="10">
        <f t="shared" si="809"/>
        <v>0.20495634046689565</v>
      </c>
      <c r="FJ126" s="10">
        <f t="shared" si="810"/>
        <v>3.7037318691871928</v>
      </c>
      <c r="FK126" s="539">
        <f t="shared" si="811"/>
        <v>151.74189468059927</v>
      </c>
      <c r="FL126" s="19">
        <f t="shared" si="812"/>
        <v>8.8889564860492634</v>
      </c>
      <c r="FM126" s="10">
        <f t="shared" si="813"/>
        <v>0.21696256983278653</v>
      </c>
      <c r="FN126" s="10">
        <f t="shared" si="814"/>
        <v>3.9206944390199792</v>
      </c>
      <c r="FO126" s="539">
        <f t="shared" si="815"/>
        <v>160.63085116664854</v>
      </c>
      <c r="FP126" s="19">
        <f t="shared" si="816"/>
        <v>9.4096666536479514</v>
      </c>
      <c r="FQ126" s="10">
        <f t="shared" si="817"/>
        <v>0.22967211749201738</v>
      </c>
      <c r="FR126" s="10">
        <f t="shared" si="818"/>
        <v>4.1503665565119965</v>
      </c>
      <c r="FS126" s="539">
        <f t="shared" si="819"/>
        <v>170.04051782029649</v>
      </c>
      <c r="FT126" s="19">
        <f t="shared" si="820"/>
        <v>9.9608797356287937</v>
      </c>
      <c r="FU126" s="10">
        <f t="shared" si="821"/>
        <v>0.2431261834422454</v>
      </c>
      <c r="FV126" s="10">
        <f t="shared" si="822"/>
        <v>4.3934927399542421</v>
      </c>
      <c r="FW126" s="539">
        <f t="shared" si="823"/>
        <v>180.00139755592528</v>
      </c>
      <c r="FX126" s="19">
        <f t="shared" si="824"/>
        <v>10.544382575890182</v>
      </c>
      <c r="FY126" s="10">
        <f t="shared" si="825"/>
        <v>0.25736838115426369</v>
      </c>
      <c r="FZ126" s="10">
        <f t="shared" si="826"/>
        <v>4.6508611211085054</v>
      </c>
      <c r="GA126" s="539">
        <f t="shared" si="827"/>
        <v>190.54578013181546</v>
      </c>
      <c r="GB126" s="19">
        <f t="shared" si="828"/>
        <v>11.162066690660415</v>
      </c>
      <c r="GC126" s="10">
        <f t="shared" si="829"/>
        <v>0.27244487895192621</v>
      </c>
      <c r="GD126" s="10">
        <f t="shared" si="830"/>
        <v>4.9233060000604318</v>
      </c>
      <c r="GE126" s="539">
        <f t="shared" si="831"/>
        <v>201.70784682247589</v>
      </c>
      <c r="GF126" s="19">
        <f t="shared" si="832"/>
        <v>11.815934400145037</v>
      </c>
      <c r="GG126" s="10">
        <f t="shared" si="833"/>
        <v>0.28840454967403067</v>
      </c>
      <c r="GH126" s="10">
        <f t="shared" si="834"/>
        <v>5.2117105497344625</v>
      </c>
      <c r="GI126" s="539">
        <f t="shared" si="835"/>
        <v>213.52378122262093</v>
      </c>
      <c r="GJ126" s="19">
        <f t="shared" si="836"/>
        <v>12.508105319362711</v>
      </c>
      <c r="GK126" s="10">
        <f t="shared" si="837"/>
        <v>0.30529912910331247</v>
      </c>
      <c r="GL126" s="10">
        <f t="shared" si="838"/>
        <v>5.5170096788377752</v>
      </c>
      <c r="GM126" s="539">
        <f t="shared" si="839"/>
        <v>226.03188654198365</v>
      </c>
      <c r="GN126" s="19">
        <f t="shared" si="840"/>
        <v>13.240823229210662</v>
      </c>
      <c r="GO126" s="10">
        <f t="shared" si="841"/>
        <v>0.32318338367612065</v>
      </c>
      <c r="GP126" s="10">
        <f t="shared" si="842"/>
        <v>5.8401930625138956</v>
      </c>
      <c r="GQ126" s="539">
        <f t="shared" si="843"/>
        <v>239.27270977119429</v>
      </c>
      <c r="GR126" s="19">
        <f t="shared" si="844"/>
        <v>14.016463350033352</v>
      </c>
      <c r="GS126" s="10">
        <f t="shared" si="845"/>
        <v>0.34211528801643526</v>
      </c>
      <c r="GT126" s="10">
        <f t="shared" si="846"/>
        <v>6.1823083505303309</v>
      </c>
      <c r="GU126" s="539">
        <f t="shared" si="847"/>
        <v>253.28917312122766</v>
      </c>
      <c r="GV126" s="19">
        <f t="shared" si="848"/>
        <v>14.837540041272796</v>
      </c>
      <c r="GW126" s="10">
        <f t="shared" si="849"/>
        <v>0.36215621286972899</v>
      </c>
      <c r="GX126" s="10">
        <f t="shared" si="850"/>
        <v>6.5444645634000596</v>
      </c>
      <c r="GY126" s="539">
        <f t="shared" si="851"/>
        <v>268.12671316250044</v>
      </c>
      <c r="GZ126" s="19">
        <f t="shared" si="852"/>
        <v>15.706714952160146</v>
      </c>
      <c r="HA126" s="10">
        <f t="shared" si="853"/>
        <v>0.3833711240458908</v>
      </c>
      <c r="HB126" s="10">
        <f t="shared" si="854"/>
        <v>6.9278356874459508</v>
      </c>
      <c r="HC126" s="539">
        <f t="shared" si="855"/>
        <v>283.83342811466059</v>
      </c>
      <c r="HD126" s="19">
        <f t="shared" si="856"/>
        <v>16.626805649870285</v>
      </c>
      <c r="HE126" s="10">
        <f t="shared" si="857"/>
        <v>0.4058287930161163</v>
      </c>
      <c r="HF126" s="10">
        <f t="shared" si="858"/>
        <v>7.3336644804620672</v>
      </c>
      <c r="HG126" s="539">
        <f t="shared" si="859"/>
        <v>300.46023376453087</v>
      </c>
      <c r="HH126" s="19">
        <f t="shared" si="860"/>
        <v>17.600794753108964</v>
      </c>
      <c r="HI126" s="10">
        <f t="shared" si="861"/>
        <v>0.42960201984644775</v>
      </c>
      <c r="HJ126" s="10">
        <f t="shared" si="862"/>
        <v>7.7632665003085153</v>
      </c>
      <c r="HK126" s="539">
        <f t="shared" si="863"/>
        <v>318.06102851763984</v>
      </c>
      <c r="HL126" s="19">
        <f t="shared" si="864"/>
        <v>18.631839600740438</v>
      </c>
      <c r="HM126" s="10">
        <f t="shared" si="865"/>
        <v>0.454767869190638</v>
      </c>
      <c r="HN126" s="10">
        <f t="shared" si="866"/>
        <v>8.2180343694991524</v>
      </c>
      <c r="HO126" s="539">
        <f t="shared" si="867"/>
        <v>336.69286811838026</v>
      </c>
      <c r="HP126" s="19">
        <f t="shared" si="868"/>
        <v>19.72328248679797</v>
      </c>
      <c r="HQ126" s="10">
        <f t="shared" si="869"/>
        <v>0.48140792010734612</v>
      </c>
      <c r="HR126" s="10">
        <f t="shared" si="870"/>
        <v>8.6994422896064982</v>
      </c>
      <c r="HS126" s="539">
        <f t="shared" si="871"/>
        <v>356.41615060517825</v>
      </c>
      <c r="HT126" s="19">
        <f t="shared" si="872"/>
        <v>20.878661495055599</v>
      </c>
      <c r="HU126" s="10">
        <f t="shared" si="873"/>
        <v>0.50960853051148647</v>
      </c>
      <c r="HV126" s="10">
        <f t="shared" si="874"/>
        <v>9.2090508201179855</v>
      </c>
      <c r="HW126" s="539">
        <f t="shared" si="875"/>
        <v>377.29481210023386</v>
      </c>
      <c r="HX126" s="19">
        <f t="shared" si="876"/>
        <v>22.101721968283169</v>
      </c>
      <c r="HY126" s="10">
        <f t="shared" si="877"/>
        <v>0.53946111711699218</v>
      </c>
      <c r="HZ126" s="10">
        <f t="shared" si="878"/>
        <v>9.7485119372349782</v>
      </c>
      <c r="IA126" s="539">
        <f t="shared" si="879"/>
        <v>399.39653406851704</v>
      </c>
      <c r="IB126" s="19">
        <f t="shared" si="880"/>
        <v>23.396428649363951</v>
      </c>
      <c r="IM126" s="11"/>
      <c r="IN126" s="19"/>
      <c r="IO126" s="20"/>
      <c r="IP126" s="10"/>
    </row>
    <row r="127" spans="1:250" ht="13.5" thickBot="1">
      <c r="A127" s="11"/>
      <c r="B127" s="20"/>
      <c r="C127" s="1225" t="s">
        <v>2348</v>
      </c>
      <c r="D127" s="47" t="s">
        <v>379</v>
      </c>
      <c r="E127" s="396">
        <f t="shared" si="931"/>
        <v>23.512699999999999</v>
      </c>
      <c r="F127" s="242">
        <f>9.4965+0.0162</f>
        <v>9.5126999999999988</v>
      </c>
      <c r="G127" s="48">
        <f>'Update Stock Prices'!S127</f>
        <v>129991126.88553683</v>
      </c>
      <c r="H127" s="991">
        <f t="shared" si="610"/>
        <v>7.3179610238907839E-8</v>
      </c>
      <c r="I127" s="49">
        <f>'Update Stock Prices'!D127</f>
        <v>22.54</v>
      </c>
      <c r="J127" s="49">
        <f t="shared" si="404"/>
        <v>214.41625799999997</v>
      </c>
      <c r="K127" s="30">
        <v>155.55000000000001</v>
      </c>
      <c r="L127" s="49">
        <f t="shared" si="611"/>
        <v>58.866257999999959</v>
      </c>
      <c r="M127" s="50">
        <f t="shared" si="613"/>
        <v>0.37843945998071332</v>
      </c>
      <c r="N127" s="49">
        <f t="shared" si="612"/>
        <v>16.351824403166297</v>
      </c>
      <c r="O127" s="48">
        <f t="shared" si="932"/>
        <v>14</v>
      </c>
      <c r="P127" s="49">
        <f>IF(($B$11-$B$12)-(O127*I127)&lt;0,0,($B$11-$B$12)-(O127*I127))</f>
        <v>5.4499999999999886</v>
      </c>
      <c r="Q127" s="30">
        <f>0.4*4</f>
        <v>1.6</v>
      </c>
      <c r="R127" s="49">
        <f t="shared" si="242"/>
        <v>4.1670965092402465E-2</v>
      </c>
      <c r="S127" s="49">
        <f t="shared" si="935"/>
        <v>15.220319999999999</v>
      </c>
      <c r="T127" s="49">
        <f t="shared" si="399"/>
        <v>1.2683599999999999</v>
      </c>
      <c r="U127" s="49" t="s">
        <v>54</v>
      </c>
      <c r="V127" s="50">
        <f t="shared" si="937"/>
        <v>7.0984915705412613E-2</v>
      </c>
      <c r="W127" s="50">
        <f t="shared" si="575"/>
        <v>9.784840887174541E-2</v>
      </c>
      <c r="X127" s="49">
        <f t="shared" si="1002"/>
        <v>22.4</v>
      </c>
      <c r="Y127" s="49">
        <f t="shared" si="654"/>
        <v>3.8050799999999998</v>
      </c>
      <c r="Z127" s="860">
        <f t="shared" si="939"/>
        <v>0</v>
      </c>
      <c r="AA127" s="860">
        <f t="shared" si="940"/>
        <v>46.837299999999999</v>
      </c>
      <c r="AB127" s="49">
        <f t="shared" si="941"/>
        <v>1055.7127419999999</v>
      </c>
      <c r="AC127" s="48">
        <v>1</v>
      </c>
      <c r="AD127" s="47" t="str">
        <f t="shared" si="942"/>
        <v>VGR</v>
      </c>
      <c r="AE127" s="49">
        <f t="shared" si="943"/>
        <v>214.41625799999997</v>
      </c>
      <c r="AF127" s="50" t="e">
        <f t="shared" si="692"/>
        <v>#REF!</v>
      </c>
      <c r="AG127" s="890" t="e">
        <f t="shared" si="910"/>
        <v>#REF!</v>
      </c>
      <c r="AH127" s="207" t="s">
        <v>380</v>
      </c>
      <c r="AI127" s="240">
        <f t="shared" si="693"/>
        <v>0.10436713389748359</v>
      </c>
      <c r="AJ127" s="11">
        <f t="shared" si="595"/>
        <v>3</v>
      </c>
      <c r="AK127" s="11"/>
      <c r="AL127" s="11"/>
      <c r="AM127" s="11"/>
      <c r="AN127" s="11">
        <v>1</v>
      </c>
      <c r="AO127" s="11"/>
      <c r="AP127" s="11"/>
      <c r="AQ127" s="11" t="str">
        <f>'Update Stock Prices'!Q127</f>
        <v>mid</v>
      </c>
      <c r="AR127" s="11"/>
      <c r="AS127" s="11"/>
      <c r="AU127" s="224" t="s">
        <v>1838</v>
      </c>
      <c r="AV127" s="19">
        <f ca="1">AV277</f>
        <v>8.2458534031413624</v>
      </c>
      <c r="AW127" s="15" t="e">
        <f ca="1">AV127/$AV$128</f>
        <v>#REF!</v>
      </c>
      <c r="AX127" s="19">
        <f t="shared" ca="1" si="1000"/>
        <v>0.68715445026178024</v>
      </c>
      <c r="AY127" s="186" t="e">
        <f ca="1">AW127*$AU$131</f>
        <v>#REF!</v>
      </c>
      <c r="AZ127" s="847" t="e">
        <f t="shared" ca="1" si="953"/>
        <v>#REF!</v>
      </c>
      <c r="BA127" s="516">
        <v>2.8799999999999999E-2</v>
      </c>
      <c r="BB127" s="20">
        <f>BB115*(1+BA127)</f>
        <v>110529.128</v>
      </c>
      <c r="BC127" s="234">
        <f>BB129-BB119</f>
        <v>79.208063999999922</v>
      </c>
      <c r="BD127" s="713">
        <f>BD120</f>
        <v>0.05</v>
      </c>
      <c r="BE127" s="658"/>
      <c r="BF127" s="19"/>
      <c r="BG127" s="234"/>
      <c r="BH127" s="19"/>
      <c r="BI127" s="221">
        <v>41063</v>
      </c>
      <c r="BJ127" s="46"/>
      <c r="BK127" s="19">
        <v>94969</v>
      </c>
      <c r="BL127" s="183">
        <f t="shared" si="957"/>
        <v>3.2260518907403224E-2</v>
      </c>
      <c r="BM127" s="16">
        <f t="shared" si="954"/>
        <v>1.8954753208390716</v>
      </c>
      <c r="BN127" s="19">
        <f t="shared" si="955"/>
        <v>260.01095140314851</v>
      </c>
      <c r="BO127" s="938" t="str">
        <f t="shared" si="956"/>
        <v/>
      </c>
      <c r="BS127" s="420" t="str">
        <f t="shared" si="715"/>
        <v>VGR</v>
      </c>
      <c r="BT127" s="425">
        <f t="shared" si="716"/>
        <v>9.5126999999999988</v>
      </c>
      <c r="BU127" s="19">
        <f t="shared" si="717"/>
        <v>22.54</v>
      </c>
      <c r="BV127" s="19">
        <f t="shared" si="718"/>
        <v>214.41625799999997</v>
      </c>
      <c r="BW127" s="539">
        <f t="shared" si="719"/>
        <v>1.6</v>
      </c>
      <c r="BX127" s="19">
        <f t="shared" si="720"/>
        <v>15.220319999999999</v>
      </c>
      <c r="BY127" s="10">
        <f t="shared" si="721"/>
        <v>0.6752582076308784</v>
      </c>
      <c r="BZ127" s="10">
        <f t="shared" si="722"/>
        <v>10.187958207630878</v>
      </c>
      <c r="CA127" s="539">
        <f t="shared" si="723"/>
        <v>229.63657799999999</v>
      </c>
      <c r="CB127" s="19">
        <f t="shared" si="724"/>
        <v>16.300733132209405</v>
      </c>
      <c r="CC127" s="10">
        <f t="shared" si="725"/>
        <v>0.72319135457894435</v>
      </c>
      <c r="CD127" s="10">
        <f t="shared" si="726"/>
        <v>10.911149562209822</v>
      </c>
      <c r="CE127" s="539">
        <f t="shared" si="727"/>
        <v>245.93731113220937</v>
      </c>
      <c r="CF127" s="19">
        <f t="shared" si="728"/>
        <v>17.457839299535717</v>
      </c>
      <c r="CG127" s="10">
        <f t="shared" si="729"/>
        <v>0.77452703192261396</v>
      </c>
      <c r="CH127" s="10">
        <f t="shared" si="730"/>
        <v>11.685676594132437</v>
      </c>
      <c r="CI127" s="539">
        <f t="shared" si="731"/>
        <v>263.39515043174509</v>
      </c>
      <c r="CJ127" s="19">
        <f t="shared" si="732"/>
        <v>18.697082550611899</v>
      </c>
      <c r="CK127" s="10">
        <f t="shared" si="733"/>
        <v>0.82950676799520406</v>
      </c>
      <c r="CL127" s="10">
        <f t="shared" si="734"/>
        <v>12.51518336212764</v>
      </c>
      <c r="CM127" s="539">
        <f t="shared" si="735"/>
        <v>282.09223298235702</v>
      </c>
      <c r="CN127" s="19">
        <f t="shared" si="736"/>
        <v>20.024293379404227</v>
      </c>
      <c r="CO127" s="10">
        <f t="shared" si="737"/>
        <v>0.88838923599841291</v>
      </c>
      <c r="CP127" s="10">
        <f t="shared" si="738"/>
        <v>13.403572598126054</v>
      </c>
      <c r="CQ127" s="539">
        <f t="shared" si="739"/>
        <v>302.11652636176126</v>
      </c>
      <c r="CR127" s="19">
        <f t="shared" si="740"/>
        <v>21.445716157001687</v>
      </c>
      <c r="CS127" s="10">
        <f t="shared" si="741"/>
        <v>0.95145147102935612</v>
      </c>
      <c r="CT127" s="10">
        <f t="shared" si="742"/>
        <v>14.355024069155411</v>
      </c>
      <c r="CU127" s="539">
        <f t="shared" si="743"/>
        <v>323.56224251876296</v>
      </c>
      <c r="CV127" s="19">
        <f t="shared" si="744"/>
        <v>22.968038510648658</v>
      </c>
      <c r="CW127" s="10">
        <f t="shared" si="745"/>
        <v>1.0189901734981659</v>
      </c>
      <c r="CX127" s="10">
        <f t="shared" si="746"/>
        <v>15.374014242653576</v>
      </c>
      <c r="CY127" s="539">
        <f t="shared" si="747"/>
        <v>346.53028102941158</v>
      </c>
      <c r="CZ127" s="19">
        <f t="shared" si="748"/>
        <v>24.598422788245724</v>
      </c>
      <c r="DA127" s="10">
        <f t="shared" si="749"/>
        <v>1.091323105068577</v>
      </c>
      <c r="DB127" s="10">
        <f t="shared" si="750"/>
        <v>16.465337347722155</v>
      </c>
      <c r="DC127" s="539">
        <f t="shared" si="751"/>
        <v>371.12870381765737</v>
      </c>
      <c r="DD127" s="19">
        <f t="shared" si="752"/>
        <v>26.344539756355449</v>
      </c>
      <c r="DE127" s="10">
        <f t="shared" si="753"/>
        <v>1.1687905836892392</v>
      </c>
      <c r="DF127" s="10">
        <f t="shared" si="754"/>
        <v>17.634127931411395</v>
      </c>
      <c r="DG127" s="539">
        <f t="shared" si="755"/>
        <v>397.47324357401283</v>
      </c>
      <c r="DH127" s="19">
        <f t="shared" si="756"/>
        <v>28.214604690258234</v>
      </c>
      <c r="DI127" s="10">
        <f t="shared" si="757"/>
        <v>1.2517570847496999</v>
      </c>
      <c r="DJ127" s="10">
        <f t="shared" si="758"/>
        <v>18.885885016161094</v>
      </c>
      <c r="DK127" s="539">
        <f t="shared" si="759"/>
        <v>425.68784826427105</v>
      </c>
      <c r="DL127" s="19">
        <f t="shared" si="760"/>
        <v>30.217416025857752</v>
      </c>
      <c r="DM127" s="10">
        <f t="shared" si="761"/>
        <v>1.3406129558943103</v>
      </c>
      <c r="DN127" s="10">
        <f t="shared" si="762"/>
        <v>20.226497972055405</v>
      </c>
      <c r="DO127" s="539">
        <f t="shared" si="763"/>
        <v>455.9052642901288</v>
      </c>
      <c r="DP127" s="19">
        <f t="shared" si="764"/>
        <v>32.36239675528865</v>
      </c>
      <c r="DQ127" s="10">
        <f t="shared" si="765"/>
        <v>1.435776253562052</v>
      </c>
      <c r="DR127" s="10">
        <f t="shared" si="766"/>
        <v>21.662274225617459</v>
      </c>
      <c r="DS127" s="539">
        <f t="shared" si="767"/>
        <v>488.26766104541753</v>
      </c>
      <c r="DT127" s="19">
        <f t="shared" si="768"/>
        <v>34.659638760987939</v>
      </c>
      <c r="DU127" s="10">
        <f t="shared" si="769"/>
        <v>1.5376947098929876</v>
      </c>
      <c r="DV127" s="10">
        <f t="shared" si="770"/>
        <v>23.199968935510448</v>
      </c>
      <c r="DW127" s="539">
        <f t="shared" si="771"/>
        <v>522.92729980640547</v>
      </c>
      <c r="DX127" s="19">
        <f t="shared" si="772"/>
        <v>37.119950296816718</v>
      </c>
      <c r="DY127" s="10">
        <f t="shared" si="773"/>
        <v>1.6468478392554002</v>
      </c>
      <c r="DZ127" s="10">
        <f t="shared" si="774"/>
        <v>24.846816774765848</v>
      </c>
      <c r="EA127" s="539">
        <f t="shared" si="775"/>
        <v>560.04725010322215</v>
      </c>
      <c r="EB127" s="19">
        <f t="shared" si="776"/>
        <v>39.754906839625363</v>
      </c>
      <c r="EC127" s="10">
        <f t="shared" si="777"/>
        <v>1.7637491943045858</v>
      </c>
      <c r="ED127" s="10">
        <f t="shared" si="778"/>
        <v>26.610565969070436</v>
      </c>
      <c r="EE127" s="539">
        <f t="shared" si="779"/>
        <v>599.80215694284755</v>
      </c>
      <c r="EF127" s="19">
        <f t="shared" si="780"/>
        <v>42.576905550512699</v>
      </c>
      <c r="EG127" s="10">
        <f t="shared" si="781"/>
        <v>1.8889487821877862</v>
      </c>
      <c r="EH127" s="10">
        <f t="shared" si="782"/>
        <v>28.499514751258221</v>
      </c>
      <c r="EI127" s="539">
        <f t="shared" si="783"/>
        <v>642.37906249336027</v>
      </c>
      <c r="EJ127" s="19">
        <f t="shared" si="784"/>
        <v>45.599223602013154</v>
      </c>
      <c r="EK127" s="10">
        <f t="shared" si="785"/>
        <v>2.023035652263228</v>
      </c>
      <c r="EL127" s="10">
        <f t="shared" si="786"/>
        <v>30.52255040352145</v>
      </c>
      <c r="EM127" s="539">
        <f t="shared" si="787"/>
        <v>687.97828609537351</v>
      </c>
      <c r="EN127" s="19">
        <f t="shared" si="788"/>
        <v>48.836080645634325</v>
      </c>
      <c r="EO127" s="10">
        <f t="shared" si="789"/>
        <v>2.1666406675081777</v>
      </c>
      <c r="EP127" s="10">
        <f t="shared" si="790"/>
        <v>32.689191071029626</v>
      </c>
      <c r="EQ127" s="539">
        <f t="shared" si="791"/>
        <v>736.81436674100769</v>
      </c>
      <c r="ER127" s="19">
        <f t="shared" si="792"/>
        <v>52.302705713647406</v>
      </c>
      <c r="ES127" s="10">
        <f t="shared" si="793"/>
        <v>2.3204394726551647</v>
      </c>
      <c r="ET127" s="10">
        <f t="shared" si="794"/>
        <v>35.009630543684793</v>
      </c>
      <c r="EU127" s="539">
        <f t="shared" si="795"/>
        <v>789.11707245465516</v>
      </c>
      <c r="EV127" s="19">
        <f t="shared" si="796"/>
        <v>56.015408869895673</v>
      </c>
      <c r="EW127" s="10">
        <f t="shared" si="797"/>
        <v>2.4851556730211035</v>
      </c>
      <c r="EX127" s="10">
        <f t="shared" si="798"/>
        <v>37.494786216705897</v>
      </c>
      <c r="EY127" s="539">
        <f t="shared" si="799"/>
        <v>845.13248132455089</v>
      </c>
      <c r="EZ127" s="19">
        <f t="shared" si="800"/>
        <v>59.99165794672944</v>
      </c>
      <c r="FA127" s="10">
        <f t="shared" si="801"/>
        <v>2.6615642389853345</v>
      </c>
      <c r="FB127" s="10">
        <f t="shared" si="802"/>
        <v>40.156350455691232</v>
      </c>
      <c r="FC127" s="539">
        <f t="shared" si="803"/>
        <v>905.12413927128034</v>
      </c>
      <c r="FD127" s="19">
        <f t="shared" si="804"/>
        <v>64.250160729105971</v>
      </c>
      <c r="FE127" s="10">
        <f t="shared" si="805"/>
        <v>2.8504951521342492</v>
      </c>
      <c r="FF127" s="10">
        <f t="shared" si="806"/>
        <v>43.006845607825483</v>
      </c>
      <c r="FG127" s="539">
        <f t="shared" si="807"/>
        <v>969.37430000038637</v>
      </c>
      <c r="FH127" s="19">
        <f t="shared" si="808"/>
        <v>68.810952972520781</v>
      </c>
      <c r="FI127" s="10">
        <f t="shared" si="809"/>
        <v>3.0528373102271864</v>
      </c>
      <c r="FJ127" s="10">
        <f t="shared" si="810"/>
        <v>46.059682918052673</v>
      </c>
      <c r="FK127" s="539">
        <f t="shared" si="811"/>
        <v>1038.1852529729072</v>
      </c>
      <c r="FL127" s="19">
        <f t="shared" si="812"/>
        <v>73.695492668884285</v>
      </c>
      <c r="FM127" s="10">
        <f t="shared" si="813"/>
        <v>3.2695427093560019</v>
      </c>
      <c r="FN127" s="10">
        <f t="shared" si="814"/>
        <v>49.329225627408675</v>
      </c>
      <c r="FO127" s="539">
        <f t="shared" si="815"/>
        <v>1111.8807456417915</v>
      </c>
      <c r="FP127" s="19">
        <f t="shared" si="816"/>
        <v>78.926761003853883</v>
      </c>
      <c r="FQ127" s="10">
        <f t="shared" si="817"/>
        <v>3.5016309229748841</v>
      </c>
      <c r="FR127" s="10">
        <f t="shared" si="818"/>
        <v>52.830856550383558</v>
      </c>
      <c r="FS127" s="539">
        <f t="shared" si="819"/>
        <v>1190.8075066456454</v>
      </c>
      <c r="FT127" s="19">
        <f t="shared" si="820"/>
        <v>84.529370480613693</v>
      </c>
      <c r="FU127" s="10">
        <f t="shared" si="821"/>
        <v>3.750193898873722</v>
      </c>
      <c r="FV127" s="10">
        <f t="shared" si="822"/>
        <v>56.581050449257283</v>
      </c>
      <c r="FW127" s="539">
        <f t="shared" si="823"/>
        <v>1275.3368771262592</v>
      </c>
      <c r="FX127" s="19">
        <f t="shared" si="824"/>
        <v>90.529680718811662</v>
      </c>
      <c r="FY127" s="10">
        <f t="shared" si="825"/>
        <v>4.0164010966642261</v>
      </c>
      <c r="FZ127" s="10">
        <f t="shared" si="826"/>
        <v>60.597451545921508</v>
      </c>
      <c r="GA127" s="539">
        <f t="shared" si="827"/>
        <v>1365.8665578450707</v>
      </c>
      <c r="GB127" s="19">
        <f t="shared" si="828"/>
        <v>96.955922473474416</v>
      </c>
      <c r="GC127" s="10">
        <f t="shared" si="829"/>
        <v>4.3015049899500628</v>
      </c>
      <c r="GD127" s="10">
        <f t="shared" si="830"/>
        <v>64.898956535871577</v>
      </c>
      <c r="GE127" s="539">
        <f t="shared" si="831"/>
        <v>1462.8224803185453</v>
      </c>
      <c r="GF127" s="19">
        <f t="shared" si="832"/>
        <v>103.83833045739453</v>
      </c>
      <c r="GG127" s="10">
        <f t="shared" si="833"/>
        <v>4.6068469590680809</v>
      </c>
      <c r="GH127" s="10">
        <f t="shared" si="834"/>
        <v>69.505803494939656</v>
      </c>
      <c r="GI127" s="539">
        <f t="shared" si="835"/>
        <v>1566.6608107759398</v>
      </c>
      <c r="GJ127" s="19">
        <f t="shared" si="836"/>
        <v>111.20928559190345</v>
      </c>
      <c r="GK127" s="10">
        <f t="shared" si="837"/>
        <v>4.933863602125264</v>
      </c>
      <c r="GL127" s="10">
        <f t="shared" si="838"/>
        <v>74.439667097064927</v>
      </c>
      <c r="GM127" s="539">
        <f t="shared" si="839"/>
        <v>1677.8700963678434</v>
      </c>
      <c r="GN127" s="19">
        <f t="shared" si="840"/>
        <v>119.10346735530389</v>
      </c>
      <c r="GO127" s="10">
        <f t="shared" si="841"/>
        <v>5.2840934940241304</v>
      </c>
      <c r="GP127" s="10">
        <f t="shared" si="842"/>
        <v>79.723760591089061</v>
      </c>
      <c r="GQ127" s="539">
        <f t="shared" si="843"/>
        <v>1796.9735637231474</v>
      </c>
      <c r="GR127" s="19">
        <f t="shared" si="844"/>
        <v>127.55801694574251</v>
      </c>
      <c r="GS127" s="10">
        <f t="shared" si="845"/>
        <v>5.659184425276953</v>
      </c>
      <c r="GT127" s="10">
        <f t="shared" si="846"/>
        <v>85.382945016366008</v>
      </c>
      <c r="GU127" s="539">
        <f t="shared" si="847"/>
        <v>1924.5315806688898</v>
      </c>
      <c r="GV127" s="19">
        <f t="shared" si="848"/>
        <v>136.61271202618562</v>
      </c>
      <c r="GW127" s="10">
        <f t="shared" si="849"/>
        <v>6.0609011546666203</v>
      </c>
      <c r="GX127" s="10">
        <f t="shared" si="850"/>
        <v>91.443846171032632</v>
      </c>
      <c r="GY127" s="539">
        <f t="shared" si="851"/>
        <v>2061.1442926950754</v>
      </c>
      <c r="GZ127" s="19">
        <f t="shared" si="852"/>
        <v>146.31015387365221</v>
      </c>
      <c r="HA127" s="10">
        <f t="shared" si="853"/>
        <v>6.4911337122294688</v>
      </c>
      <c r="HB127" s="10">
        <f t="shared" si="854"/>
        <v>97.934979883262102</v>
      </c>
      <c r="HC127" s="539">
        <f t="shared" si="855"/>
        <v>2207.4544465687277</v>
      </c>
      <c r="HD127" s="19">
        <f t="shared" si="856"/>
        <v>156.69596781321937</v>
      </c>
      <c r="HE127" s="10">
        <f t="shared" si="857"/>
        <v>6.9519062916246392</v>
      </c>
      <c r="HF127" s="10">
        <f t="shared" si="858"/>
        <v>104.88688617488674</v>
      </c>
      <c r="HG127" s="539">
        <f t="shared" si="859"/>
        <v>2364.150414381947</v>
      </c>
      <c r="HH127" s="19">
        <f t="shared" si="860"/>
        <v>167.8190178798188</v>
      </c>
      <c r="HI127" s="10">
        <f t="shared" si="861"/>
        <v>7.4453867737275425</v>
      </c>
      <c r="HJ127" s="10">
        <f t="shared" si="862"/>
        <v>112.33227294861429</v>
      </c>
      <c r="HK127" s="539">
        <f t="shared" si="863"/>
        <v>2531.9694322617661</v>
      </c>
      <c r="HL127" s="19">
        <f t="shared" si="864"/>
        <v>179.73163671778286</v>
      </c>
      <c r="HM127" s="10">
        <f t="shared" si="865"/>
        <v>7.9738969262547856</v>
      </c>
      <c r="HN127" s="10">
        <f t="shared" si="866"/>
        <v>120.30616987486907</v>
      </c>
      <c r="HO127" s="539">
        <f t="shared" si="867"/>
        <v>2711.7010689795488</v>
      </c>
      <c r="HP127" s="19">
        <f t="shared" si="868"/>
        <v>192.48987179979054</v>
      </c>
      <c r="HQ127" s="10">
        <f t="shared" si="869"/>
        <v>8.5399233274086317</v>
      </c>
      <c r="HR127" s="10">
        <f t="shared" si="870"/>
        <v>128.8460932022777</v>
      </c>
      <c r="HS127" s="539">
        <f t="shared" si="871"/>
        <v>2904.1909407793391</v>
      </c>
      <c r="HT127" s="19">
        <f t="shared" si="872"/>
        <v>206.15374912364433</v>
      </c>
      <c r="HU127" s="10">
        <f t="shared" si="873"/>
        <v>9.146129064935419</v>
      </c>
      <c r="HV127" s="10">
        <f t="shared" si="874"/>
        <v>137.99222226721312</v>
      </c>
      <c r="HW127" s="539">
        <f t="shared" si="875"/>
        <v>3110.3446899029836</v>
      </c>
      <c r="HX127" s="19">
        <f t="shared" si="876"/>
        <v>220.787555627541</v>
      </c>
      <c r="HY127" s="10">
        <f t="shared" si="877"/>
        <v>9.7953662656406841</v>
      </c>
      <c r="HZ127" s="10">
        <f t="shared" si="878"/>
        <v>147.78758853285382</v>
      </c>
      <c r="IA127" s="539">
        <f t="shared" si="879"/>
        <v>3331.1322455305249</v>
      </c>
      <c r="IB127" s="19">
        <f t="shared" si="880"/>
        <v>236.46014165256611</v>
      </c>
      <c r="IM127" s="11"/>
      <c r="IN127" s="19"/>
      <c r="IO127" s="20"/>
      <c r="IP127" s="10"/>
    </row>
    <row r="128" spans="1:250" ht="13.5" thickBot="1">
      <c r="A128" s="11"/>
      <c r="B128" s="20"/>
      <c r="C128" s="1226" t="s">
        <v>2349</v>
      </c>
      <c r="D128" s="47" t="s">
        <v>2203</v>
      </c>
      <c r="E128" s="396">
        <f t="shared" ref="E128" si="1003">F128+O128</f>
        <v>8.0238999999999994</v>
      </c>
      <c r="F128" s="242">
        <v>2.0238999999999998</v>
      </c>
      <c r="G128" s="48">
        <f>'Update Stock Prices'!S128</f>
        <v>4101893783.4499798</v>
      </c>
      <c r="H128" s="991">
        <f t="shared" ref="H128" si="1004">F128/G128</f>
        <v>4.9340624278616946E-10</v>
      </c>
      <c r="I128" s="49">
        <f>'Update Stock Prices'!D128</f>
        <v>48.58</v>
      </c>
      <c r="J128" s="49">
        <f t="shared" si="404"/>
        <v>98.321061999999984</v>
      </c>
      <c r="K128" s="30">
        <v>113.32</v>
      </c>
      <c r="L128" s="49">
        <f t="shared" ref="L128" si="1005">J128-K128</f>
        <v>-14.99893800000001</v>
      </c>
      <c r="M128" s="50">
        <f t="shared" ref="M128" si="1006">L128/K128</f>
        <v>-0.13235914225202974</v>
      </c>
      <c r="N128" s="49">
        <f t="shared" ref="N128" si="1007">K128/F128</f>
        <v>55.990908641731316</v>
      </c>
      <c r="O128" s="48">
        <f t="shared" ref="O128" si="1008">IF(INT(($B$11-$B$12)/I128)&lt;0,0,INT(($B$11-$B$12)/I128))</f>
        <v>6</v>
      </c>
      <c r="P128" s="49">
        <f>IF(($B$11-$B$12)-(O128*I128)&lt;0,0,($B$11-$B$12)-(O128*I128))</f>
        <v>29.529999999999973</v>
      </c>
      <c r="Q128" s="30">
        <f>0.5775*4</f>
        <v>2.31</v>
      </c>
      <c r="R128" s="49">
        <f t="shared" ref="R128" si="1009">S128/365.25</f>
        <v>1.2800024640657083E-2</v>
      </c>
      <c r="S128" s="49">
        <f t="shared" ref="S128" si="1010">F128*Q128</f>
        <v>4.6752089999999997</v>
      </c>
      <c r="T128" s="49">
        <f t="shared" ref="T128" si="1011">S128/12</f>
        <v>0.38960075</v>
      </c>
      <c r="U128" s="49" t="s">
        <v>54</v>
      </c>
      <c r="V128" s="50">
        <f t="shared" ref="V128" si="1012">Q128/I128</f>
        <v>4.7550432276657062E-2</v>
      </c>
      <c r="W128" s="50">
        <f t="shared" ref="W128" si="1013">S128/K128</f>
        <v>4.125669784680551E-2</v>
      </c>
      <c r="X128" s="49">
        <f t="shared" si="1002"/>
        <v>13.859999999999998</v>
      </c>
      <c r="Y128" s="49">
        <f t="shared" ref="Y128" si="1014">IF(U128="Q",3*T128,IF(U128="Y",12*T128,IF(U128="B",6*T128,IF(U128="M",T128,0))))</f>
        <v>1.1688022499999999</v>
      </c>
      <c r="Z128" s="860">
        <f t="shared" ref="Z128" si="1015">IF(Y128/I128&gt;1,1,0)</f>
        <v>0</v>
      </c>
      <c r="AA128" s="860">
        <f t="shared" ref="AA128" si="1016">IF(Z128=1,"",IF(AND(U128&lt;&gt;"",Z128=0),I128/(Y128/F128)-F128,""))</f>
        <v>82.097312121212113</v>
      </c>
      <c r="AB128" s="49">
        <f t="shared" ref="AB128" si="1017">IF(AA128&lt;&gt;"",AA128*I128,"")</f>
        <v>3988.2874228484843</v>
      </c>
      <c r="AC128" s="48">
        <v>1</v>
      </c>
      <c r="AD128" s="47" t="str">
        <f t="shared" ref="AD128" si="1018">D128</f>
        <v>VZ</v>
      </c>
      <c r="AE128" s="49">
        <f t="shared" ref="AE128" si="1019">J128</f>
        <v>98.321061999999984</v>
      </c>
      <c r="AF128" s="50" t="e">
        <f t="shared" si="692"/>
        <v>#REF!</v>
      </c>
      <c r="AG128" s="890" t="e">
        <f t="shared" ref="AG128" si="1020">(100*AF128)^2</f>
        <v>#REF!</v>
      </c>
      <c r="AH128" s="207" t="s">
        <v>2206</v>
      </c>
      <c r="AI128" s="240">
        <f t="shared" si="693"/>
        <v>2.194529655732716E-2</v>
      </c>
      <c r="AJ128" s="11">
        <f t="shared" si="595"/>
        <v>2</v>
      </c>
      <c r="AK128" s="11"/>
      <c r="AL128" s="11"/>
      <c r="AM128" s="11"/>
      <c r="AN128" s="11"/>
      <c r="AO128" s="11"/>
      <c r="AP128" s="11"/>
      <c r="AQ128" s="11" t="str">
        <f>'Update Stock Prices'!Q128</f>
        <v>mega</v>
      </c>
      <c r="AR128" s="11"/>
      <c r="AS128" s="11"/>
      <c r="AT128" s="183">
        <f ca="1">SUM(AV113:AV116)/SUM(AV77:AV79,AE188)</f>
        <v>3.5801781674505206E-2</v>
      </c>
      <c r="AU128" s="941" t="s">
        <v>493</v>
      </c>
      <c r="AV128" s="942" t="e">
        <f ca="1">SUM(AV112:AV127)</f>
        <v>#REF!</v>
      </c>
      <c r="AW128" s="943" t="e">
        <f ca="1">SUM(AW112:AW127)</f>
        <v>#REF!</v>
      </c>
      <c r="AX128" s="942" t="e">
        <f ca="1">SUM(AX112:AX127)</f>
        <v>#REF!</v>
      </c>
      <c r="AY128" s="944" t="e">
        <f ca="1">SUM(AY112:AY127)</f>
        <v>#REF!</v>
      </c>
      <c r="AZ128" s="847"/>
      <c r="BA128" s="224"/>
      <c r="BB128" s="420" t="s">
        <v>304</v>
      </c>
      <c r="BC128" s="591"/>
      <c r="BD128" s="225">
        <f>2*BB127*(BD127/26)</f>
        <v>425.11203076923078</v>
      </c>
      <c r="BE128" s="654" t="s">
        <v>1297</v>
      </c>
      <c r="BF128" s="507" t="s">
        <v>2686</v>
      </c>
      <c r="BG128" s="236"/>
      <c r="BI128" s="221">
        <v>41427</v>
      </c>
      <c r="BJ128" s="46"/>
      <c r="BK128" s="19">
        <v>97936</v>
      </c>
      <c r="BL128" s="183">
        <f t="shared" si="957"/>
        <v>3.1241773631395464E-2</v>
      </c>
      <c r="BM128" s="16">
        <f t="shared" si="954"/>
        <v>1.9546933317366226</v>
      </c>
      <c r="BN128" s="19">
        <f t="shared" si="955"/>
        <v>268.13415468856948</v>
      </c>
      <c r="BO128" s="938" t="str">
        <f t="shared" si="956"/>
        <v/>
      </c>
      <c r="BS128" s="420" t="str">
        <f t="shared" si="715"/>
        <v>VZ</v>
      </c>
      <c r="BT128" s="425">
        <f t="shared" si="716"/>
        <v>2.0238999999999998</v>
      </c>
      <c r="BU128" s="19">
        <f t="shared" si="717"/>
        <v>48.58</v>
      </c>
      <c r="BV128" s="19">
        <f t="shared" si="718"/>
        <v>98.321061999999984</v>
      </c>
      <c r="BW128" s="539">
        <f t="shared" si="719"/>
        <v>2.31</v>
      </c>
      <c r="BX128" s="19">
        <f t="shared" si="720"/>
        <v>4.6752089999999997</v>
      </c>
      <c r="BY128" s="10">
        <f t="shared" si="721"/>
        <v>9.6237319884726225E-2</v>
      </c>
      <c r="BZ128" s="10">
        <f t="shared" si="722"/>
        <v>2.120137319884726</v>
      </c>
      <c r="CA128" s="539">
        <f t="shared" si="723"/>
        <v>102.99627099999998</v>
      </c>
      <c r="CB128" s="19">
        <f t="shared" si="724"/>
        <v>4.8975172089337171</v>
      </c>
      <c r="CC128" s="10">
        <f t="shared" si="725"/>
        <v>0.10081344604639188</v>
      </c>
      <c r="CD128" s="10">
        <f t="shared" si="726"/>
        <v>2.2209507659311178</v>
      </c>
      <c r="CE128" s="539">
        <f t="shared" si="727"/>
        <v>107.8937882089337</v>
      </c>
      <c r="CF128" s="19">
        <f t="shared" si="728"/>
        <v>5.1303962693008822</v>
      </c>
      <c r="CG128" s="10">
        <f t="shared" si="729"/>
        <v>0.10560716898519724</v>
      </c>
      <c r="CH128" s="10">
        <f t="shared" si="730"/>
        <v>2.3265579349163152</v>
      </c>
      <c r="CI128" s="539">
        <f t="shared" si="731"/>
        <v>113.02418447823459</v>
      </c>
      <c r="CJ128" s="19">
        <f t="shared" si="732"/>
        <v>5.3743488296566886</v>
      </c>
      <c r="CK128" s="10">
        <f t="shared" si="733"/>
        <v>0.11062883552195736</v>
      </c>
      <c r="CL128" s="10">
        <f t="shared" si="734"/>
        <v>2.4371867704382728</v>
      </c>
      <c r="CM128" s="539">
        <f t="shared" si="735"/>
        <v>118.39853330789128</v>
      </c>
      <c r="CN128" s="19">
        <f t="shared" si="736"/>
        <v>5.6299014397124107</v>
      </c>
      <c r="CO128" s="10">
        <f t="shared" si="737"/>
        <v>0.11588928447328964</v>
      </c>
      <c r="CP128" s="10">
        <f t="shared" si="738"/>
        <v>2.5530760549115623</v>
      </c>
      <c r="CQ128" s="539">
        <f t="shared" si="739"/>
        <v>124.0284347476037</v>
      </c>
      <c r="CR128" s="19">
        <f t="shared" si="740"/>
        <v>5.8976056868457087</v>
      </c>
      <c r="CS128" s="10">
        <f t="shared" si="741"/>
        <v>0.12139987004622703</v>
      </c>
      <c r="CT128" s="10">
        <f t="shared" si="742"/>
        <v>2.6744759249577892</v>
      </c>
      <c r="CU128" s="539">
        <f t="shared" si="743"/>
        <v>129.92604043444939</v>
      </c>
      <c r="CV128" s="19">
        <f t="shared" si="744"/>
        <v>6.1780393866524932</v>
      </c>
      <c r="CW128" s="10">
        <f t="shared" si="745"/>
        <v>0.1271724863452551</v>
      </c>
      <c r="CX128" s="10">
        <f t="shared" si="746"/>
        <v>2.8016484113030442</v>
      </c>
      <c r="CY128" s="539">
        <f t="shared" si="747"/>
        <v>136.10407982110189</v>
      </c>
      <c r="CZ128" s="19">
        <f t="shared" si="748"/>
        <v>6.4718078301100324</v>
      </c>
      <c r="DA128" s="10">
        <f t="shared" si="749"/>
        <v>0.13321959304466927</v>
      </c>
      <c r="DB128" s="10">
        <f t="shared" si="750"/>
        <v>2.9348680043477136</v>
      </c>
      <c r="DC128" s="539">
        <f t="shared" si="751"/>
        <v>142.57588765121193</v>
      </c>
      <c r="DD128" s="19">
        <f t="shared" si="752"/>
        <v>6.7795450900432188</v>
      </c>
      <c r="DE128" s="10">
        <f t="shared" si="753"/>
        <v>0.13955424228166363</v>
      </c>
      <c r="DF128" s="10">
        <f t="shared" si="754"/>
        <v>3.0744222466293771</v>
      </c>
      <c r="DG128" s="539">
        <f t="shared" si="755"/>
        <v>149.35543274125513</v>
      </c>
      <c r="DH128" s="19">
        <f t="shared" si="756"/>
        <v>7.1019153897138612</v>
      </c>
      <c r="DI128" s="10">
        <f t="shared" si="757"/>
        <v>0.14619010682819805</v>
      </c>
      <c r="DJ128" s="10">
        <f t="shared" si="758"/>
        <v>3.2206123534575752</v>
      </c>
      <c r="DK128" s="539">
        <f t="shared" si="759"/>
        <v>156.457348130969</v>
      </c>
      <c r="DL128" s="19">
        <f t="shared" si="760"/>
        <v>7.4396145364869986</v>
      </c>
      <c r="DM128" s="10">
        <f t="shared" si="761"/>
        <v>0.15314150960244954</v>
      </c>
      <c r="DN128" s="10">
        <f t="shared" si="762"/>
        <v>3.373753863060025</v>
      </c>
      <c r="DO128" s="539">
        <f t="shared" si="763"/>
        <v>163.89696266745602</v>
      </c>
      <c r="DP128" s="19">
        <f t="shared" si="764"/>
        <v>7.793371423668658</v>
      </c>
      <c r="DQ128" s="10">
        <f t="shared" si="765"/>
        <v>0.16042345458354587</v>
      </c>
      <c r="DR128" s="10">
        <f t="shared" si="766"/>
        <v>3.5341773176435707</v>
      </c>
      <c r="DS128" s="539">
        <f t="shared" si="767"/>
        <v>171.69033409112467</v>
      </c>
      <c r="DT128" s="19">
        <f t="shared" si="768"/>
        <v>8.1639496037566488</v>
      </c>
      <c r="DU128" s="10">
        <f t="shared" si="769"/>
        <v>0.16805165919630813</v>
      </c>
      <c r="DV128" s="10">
        <f t="shared" si="770"/>
        <v>3.7022289768398786</v>
      </c>
      <c r="DW128" s="539">
        <f t="shared" si="771"/>
        <v>179.8542836948813</v>
      </c>
      <c r="DX128" s="19">
        <f t="shared" si="772"/>
        <v>8.5521489365001191</v>
      </c>
      <c r="DY128" s="10">
        <f t="shared" si="773"/>
        <v>0.17604258823590199</v>
      </c>
      <c r="DZ128" s="10">
        <f t="shared" si="774"/>
        <v>3.8782715650757806</v>
      </c>
      <c r="EA128" s="539">
        <f t="shared" si="775"/>
        <v>188.40643263138142</v>
      </c>
      <c r="EB128" s="19">
        <f t="shared" si="776"/>
        <v>8.9588073153250534</v>
      </c>
      <c r="EC128" s="10">
        <f t="shared" si="777"/>
        <v>0.18441348940562069</v>
      </c>
      <c r="ED128" s="10">
        <f t="shared" si="778"/>
        <v>4.0626850544814017</v>
      </c>
      <c r="EE128" s="539">
        <f t="shared" si="779"/>
        <v>197.36523994670648</v>
      </c>
      <c r="EF128" s="19">
        <f t="shared" si="780"/>
        <v>9.3848024758520374</v>
      </c>
      <c r="EG128" s="10">
        <f t="shared" si="781"/>
        <v>0.19318243054450468</v>
      </c>
      <c r="EH128" s="10">
        <f t="shared" si="782"/>
        <v>4.2558674850259059</v>
      </c>
      <c r="EI128" s="539">
        <f t="shared" si="783"/>
        <v>206.75004242255849</v>
      </c>
      <c r="EJ128" s="19">
        <f t="shared" si="784"/>
        <v>9.8310538904098426</v>
      </c>
      <c r="EK128" s="10">
        <f t="shared" si="785"/>
        <v>0.20236833862515116</v>
      </c>
      <c r="EL128" s="10">
        <f t="shared" si="786"/>
        <v>4.4582358236510569</v>
      </c>
      <c r="EM128" s="539">
        <f t="shared" si="787"/>
        <v>216.58109631296833</v>
      </c>
      <c r="EN128" s="19">
        <f t="shared" si="788"/>
        <v>10.298524752633941</v>
      </c>
      <c r="EO128" s="10">
        <f t="shared" si="789"/>
        <v>0.211991040605886</v>
      </c>
      <c r="EP128" s="10">
        <f t="shared" si="790"/>
        <v>4.6702268642569429</v>
      </c>
      <c r="EQ128" s="539">
        <f t="shared" si="791"/>
        <v>226.87962106560227</v>
      </c>
      <c r="ER128" s="19">
        <f t="shared" si="792"/>
        <v>10.788224056433538</v>
      </c>
      <c r="ES128" s="10">
        <f t="shared" si="793"/>
        <v>0.22207130622547425</v>
      </c>
      <c r="ET128" s="10">
        <f t="shared" si="794"/>
        <v>4.8922981704824169</v>
      </c>
      <c r="EU128" s="539">
        <f t="shared" si="795"/>
        <v>237.6678451220358</v>
      </c>
      <c r="EV128" s="19">
        <f t="shared" si="796"/>
        <v>11.301208773814384</v>
      </c>
      <c r="EW128" s="10">
        <f t="shared" si="797"/>
        <v>0.23263089283273744</v>
      </c>
      <c r="EX128" s="10">
        <f t="shared" si="798"/>
        <v>5.1249290633151547</v>
      </c>
      <c r="EY128" s="539">
        <f t="shared" si="799"/>
        <v>248.96905389585021</v>
      </c>
      <c r="EZ128" s="19">
        <f t="shared" si="800"/>
        <v>11.838586136258007</v>
      </c>
      <c r="FA128" s="10">
        <f t="shared" si="801"/>
        <v>0.24369259234783877</v>
      </c>
      <c r="FB128" s="10">
        <f t="shared" si="802"/>
        <v>5.3686216556629933</v>
      </c>
      <c r="FC128" s="539">
        <f t="shared" si="803"/>
        <v>260.80764003210822</v>
      </c>
      <c r="FD128" s="19">
        <f t="shared" si="804"/>
        <v>12.401516024581515</v>
      </c>
      <c r="FE128" s="10">
        <f t="shared" si="805"/>
        <v>0.25528028045659767</v>
      </c>
      <c r="FF128" s="10">
        <f t="shared" si="806"/>
        <v>5.6239019361195908</v>
      </c>
      <c r="FG128" s="539">
        <f t="shared" si="807"/>
        <v>273.20915605668972</v>
      </c>
      <c r="FH128" s="19">
        <f t="shared" si="808"/>
        <v>12.991213472436256</v>
      </c>
      <c r="FI128" s="10">
        <f t="shared" si="809"/>
        <v>0.26741896814401517</v>
      </c>
      <c r="FJ128" s="10">
        <f t="shared" si="810"/>
        <v>5.8913209042636057</v>
      </c>
      <c r="FK128" s="539">
        <f t="shared" si="811"/>
        <v>286.20036952912596</v>
      </c>
      <c r="FL128" s="19">
        <f t="shared" si="812"/>
        <v>13.60895128884893</v>
      </c>
      <c r="FM128" s="10">
        <f t="shared" si="813"/>
        <v>0.28013485567824065</v>
      </c>
      <c r="FN128" s="10">
        <f t="shared" si="814"/>
        <v>6.1714557599418463</v>
      </c>
      <c r="FO128" s="539">
        <f t="shared" si="815"/>
        <v>299.80932081797488</v>
      </c>
      <c r="FP128" s="19">
        <f t="shared" si="816"/>
        <v>14.256062805465666</v>
      </c>
      <c r="FQ128" s="10">
        <f t="shared" si="817"/>
        <v>0.29345538916149994</v>
      </c>
      <c r="FR128" s="10">
        <f t="shared" si="818"/>
        <v>6.4649111491033464</v>
      </c>
      <c r="FS128" s="539">
        <f t="shared" si="819"/>
        <v>314.06538362344054</v>
      </c>
      <c r="FT128" s="19">
        <f t="shared" si="820"/>
        <v>14.933944754428731</v>
      </c>
      <c r="FU128" s="10">
        <f t="shared" si="821"/>
        <v>0.30740931977004388</v>
      </c>
      <c r="FV128" s="10">
        <f t="shared" si="822"/>
        <v>6.7723204688733905</v>
      </c>
      <c r="FW128" s="539">
        <f t="shared" si="823"/>
        <v>328.99932837786929</v>
      </c>
      <c r="FX128" s="19">
        <f t="shared" si="824"/>
        <v>15.644060283097533</v>
      </c>
      <c r="FY128" s="10">
        <f t="shared" si="825"/>
        <v>0.32202676581098255</v>
      </c>
      <c r="FZ128" s="10">
        <f t="shared" si="826"/>
        <v>7.0943472346843732</v>
      </c>
      <c r="GA128" s="539">
        <f t="shared" si="827"/>
        <v>344.64338866096682</v>
      </c>
      <c r="GB128" s="19">
        <f t="shared" si="828"/>
        <v>16.387942112120903</v>
      </c>
      <c r="GC128" s="10">
        <f t="shared" si="829"/>
        <v>0.33733927772994859</v>
      </c>
      <c r="GD128" s="10">
        <f t="shared" si="830"/>
        <v>7.4316865124143217</v>
      </c>
      <c r="GE128" s="539">
        <f t="shared" si="831"/>
        <v>361.03133077308775</v>
      </c>
      <c r="GF128" s="19">
        <f t="shared" si="832"/>
        <v>17.167195843677085</v>
      </c>
      <c r="GG128" s="10">
        <f t="shared" si="833"/>
        <v>0.35337990620990295</v>
      </c>
      <c r="GH128" s="10">
        <f t="shared" si="834"/>
        <v>7.7850664186242247</v>
      </c>
      <c r="GI128" s="539">
        <f t="shared" si="835"/>
        <v>378.19852661676481</v>
      </c>
      <c r="GJ128" s="19">
        <f t="shared" si="836"/>
        <v>17.983503427021958</v>
      </c>
      <c r="GK128" s="10">
        <f t="shared" si="837"/>
        <v>0.37018327350806829</v>
      </c>
      <c r="GL128" s="10">
        <f t="shared" si="838"/>
        <v>8.1552496921322923</v>
      </c>
      <c r="GM128" s="539">
        <f t="shared" si="839"/>
        <v>396.18203004378677</v>
      </c>
      <c r="GN128" s="19">
        <f t="shared" si="840"/>
        <v>18.838626788825596</v>
      </c>
      <c r="GO128" s="10">
        <f t="shared" si="841"/>
        <v>0.38778564818496497</v>
      </c>
      <c r="GP128" s="10">
        <f t="shared" si="842"/>
        <v>8.5430353403172568</v>
      </c>
      <c r="GQ128" s="539">
        <f t="shared" si="843"/>
        <v>415.0206568326123</v>
      </c>
      <c r="GR128" s="19">
        <f t="shared" si="844"/>
        <v>19.734411636132865</v>
      </c>
      <c r="GS128" s="10">
        <f t="shared" si="845"/>
        <v>0.40622502338684369</v>
      </c>
      <c r="GT128" s="10">
        <f t="shared" si="846"/>
        <v>8.9492603637041004</v>
      </c>
      <c r="GU128" s="539">
        <f t="shared" si="847"/>
        <v>434.75506846874521</v>
      </c>
      <c r="GV128" s="19">
        <f t="shared" si="848"/>
        <v>20.672791440156473</v>
      </c>
      <c r="GW128" s="10">
        <f t="shared" si="849"/>
        <v>0.42554119885048319</v>
      </c>
      <c r="GX128" s="10">
        <f t="shared" si="850"/>
        <v>9.374801562554584</v>
      </c>
      <c r="GY128" s="539">
        <f t="shared" si="851"/>
        <v>455.42785990890167</v>
      </c>
      <c r="GZ128" s="19">
        <f t="shared" si="852"/>
        <v>21.65579160950109</v>
      </c>
      <c r="HA128" s="10">
        <f t="shared" si="853"/>
        <v>0.4457758668073506</v>
      </c>
      <c r="HB128" s="10">
        <f t="shared" si="854"/>
        <v>9.8205774293619346</v>
      </c>
      <c r="HC128" s="539">
        <f t="shared" si="855"/>
        <v>477.08365151840275</v>
      </c>
      <c r="HD128" s="19">
        <f t="shared" si="856"/>
        <v>22.68553386182607</v>
      </c>
      <c r="HE128" s="10">
        <f t="shared" si="857"/>
        <v>0.46697270197254159</v>
      </c>
      <c r="HF128" s="10">
        <f t="shared" si="858"/>
        <v>10.287550131334477</v>
      </c>
      <c r="HG128" s="539">
        <f t="shared" si="859"/>
        <v>499.76918538022886</v>
      </c>
      <c r="HH128" s="19">
        <f t="shared" si="860"/>
        <v>23.764240803382641</v>
      </c>
      <c r="HI128" s="10">
        <f t="shared" si="861"/>
        <v>0.48917745581273453</v>
      </c>
      <c r="HJ128" s="10">
        <f t="shared" si="862"/>
        <v>10.776727587147212</v>
      </c>
      <c r="HK128" s="539">
        <f t="shared" si="863"/>
        <v>523.53342618361148</v>
      </c>
      <c r="HL128" s="19">
        <f t="shared" si="864"/>
        <v>24.894240726310059</v>
      </c>
      <c r="HM128" s="10">
        <f t="shared" si="865"/>
        <v>0.51243805529662534</v>
      </c>
      <c r="HN128" s="10">
        <f t="shared" si="866"/>
        <v>11.289165642443837</v>
      </c>
      <c r="HO128" s="539">
        <f t="shared" si="867"/>
        <v>548.42766690992164</v>
      </c>
      <c r="HP128" s="19">
        <f t="shared" si="868"/>
        <v>26.077972634045263</v>
      </c>
      <c r="HQ128" s="10">
        <f t="shared" si="869"/>
        <v>0.53680470634098942</v>
      </c>
      <c r="HR128" s="10">
        <f t="shared" si="870"/>
        <v>11.825970348784827</v>
      </c>
      <c r="HS128" s="539">
        <f t="shared" si="871"/>
        <v>574.50563954396682</v>
      </c>
      <c r="HT128" s="19">
        <f t="shared" si="872"/>
        <v>27.317991505692952</v>
      </c>
      <c r="HU128" s="10">
        <f t="shared" si="873"/>
        <v>0.56233000217564744</v>
      </c>
      <c r="HV128" s="10">
        <f t="shared" si="874"/>
        <v>12.388300350960474</v>
      </c>
      <c r="HW128" s="539">
        <f t="shared" si="875"/>
        <v>601.82363104965987</v>
      </c>
      <c r="HX128" s="19">
        <f t="shared" si="876"/>
        <v>28.616973810718697</v>
      </c>
      <c r="HY128" s="10">
        <f t="shared" si="877"/>
        <v>0.58906903686123302</v>
      </c>
      <c r="HZ128" s="10">
        <f t="shared" si="878"/>
        <v>12.977369387821707</v>
      </c>
      <c r="IA128" s="539">
        <f t="shared" si="879"/>
        <v>630.44060486037847</v>
      </c>
      <c r="IB128" s="19">
        <f t="shared" si="880"/>
        <v>29.977723285868144</v>
      </c>
      <c r="IC128" s="10"/>
      <c r="IM128" s="11"/>
      <c r="IN128" s="19"/>
      <c r="IO128" s="20"/>
      <c r="IP128" s="10"/>
    </row>
    <row r="129" spans="1:261" ht="13.5" thickBot="1">
      <c r="A129" s="11"/>
      <c r="B129" s="20"/>
      <c r="C129" s="826" t="s">
        <v>2346</v>
      </c>
      <c r="D129" s="47" t="s">
        <v>81</v>
      </c>
      <c r="E129" s="396">
        <f t="shared" si="931"/>
        <v>92.219399999999993</v>
      </c>
      <c r="F129" s="242">
        <v>69.219399999999993</v>
      </c>
      <c r="G129" s="48">
        <f>'Update Stock Prices'!S129</f>
        <v>261215629.52243125</v>
      </c>
      <c r="H129" s="991">
        <f t="shared" si="610"/>
        <v>2.6498950360110804E-7</v>
      </c>
      <c r="I129" s="49">
        <f>'Update Stock Prices'!D129</f>
        <v>13.82</v>
      </c>
      <c r="J129" s="49">
        <f t="shared" si="404"/>
        <v>956.61210799999992</v>
      </c>
      <c r="K129" s="30">
        <v>320.01</v>
      </c>
      <c r="L129" s="49">
        <f t="shared" si="611"/>
        <v>636.60210799999993</v>
      </c>
      <c r="M129" s="50">
        <f t="shared" si="613"/>
        <v>1.9893194212680851</v>
      </c>
      <c r="N129" s="49">
        <f t="shared" si="612"/>
        <v>4.6231258866733898</v>
      </c>
      <c r="O129" s="48">
        <f t="shared" si="932"/>
        <v>23</v>
      </c>
      <c r="P129" s="49">
        <f>IF(($B$11-$B$12)-(O129*I129)&lt;0,0,($B$11-$B$12)-(O129*I129))</f>
        <v>3.1499999999999773</v>
      </c>
      <c r="Q129" s="30">
        <f>0.06*4</f>
        <v>0.24</v>
      </c>
      <c r="R129" s="49">
        <f t="shared" si="242"/>
        <v>4.548297330595482E-2</v>
      </c>
      <c r="S129" s="49">
        <f t="shared" si="935"/>
        <v>16.612655999999998</v>
      </c>
      <c r="T129" s="49">
        <f t="shared" si="399"/>
        <v>1.3843879999999997</v>
      </c>
      <c r="U129" s="49" t="s">
        <v>54</v>
      </c>
      <c r="V129" s="50">
        <f t="shared" si="937"/>
        <v>1.736613603473227E-2</v>
      </c>
      <c r="W129" s="50">
        <f t="shared" si="575"/>
        <v>5.1912927721008716E-2</v>
      </c>
      <c r="X129" s="49">
        <f t="shared" si="1002"/>
        <v>5.52</v>
      </c>
      <c r="Y129" s="49">
        <f t="shared" si="654"/>
        <v>4.1531639999999994</v>
      </c>
      <c r="Z129" s="860">
        <f t="shared" si="939"/>
        <v>0</v>
      </c>
      <c r="AA129" s="860">
        <f t="shared" si="940"/>
        <v>161.11393333333336</v>
      </c>
      <c r="AB129" s="49">
        <f t="shared" si="941"/>
        <v>2226.5945586666671</v>
      </c>
      <c r="AC129" s="48">
        <v>1</v>
      </c>
      <c r="AD129" s="47" t="str">
        <f t="shared" si="942"/>
        <v>WEN</v>
      </c>
      <c r="AE129" s="49">
        <f t="shared" si="943"/>
        <v>956.61210799999992</v>
      </c>
      <c r="AF129" s="50" t="e">
        <f t="shared" si="692"/>
        <v>#REF!</v>
      </c>
      <c r="AG129" s="890" t="e">
        <f t="shared" si="910"/>
        <v>#REF!</v>
      </c>
      <c r="AH129" s="207" t="s">
        <v>268</v>
      </c>
      <c r="AI129" s="240">
        <f t="shared" si="693"/>
        <v>2.0773997706093561</v>
      </c>
      <c r="AJ129" s="11">
        <f t="shared" si="595"/>
        <v>3</v>
      </c>
      <c r="AK129" s="11">
        <v>1</v>
      </c>
      <c r="AL129" s="11"/>
      <c r="AM129" s="11"/>
      <c r="AN129" s="11"/>
      <c r="AO129" s="11">
        <v>1</v>
      </c>
      <c r="AP129" s="11"/>
      <c r="AQ129" s="11" t="str">
        <f>'Update Stock Prices'!Q129</f>
        <v>mid</v>
      </c>
      <c r="AR129" s="11"/>
      <c r="AS129" s="11"/>
      <c r="AU129" s="709"/>
      <c r="AY129" s="236"/>
      <c r="AZ129" s="227"/>
      <c r="BA129" s="649" t="s">
        <v>1293</v>
      </c>
      <c r="BB129" s="20">
        <f>BB119*(1+BA127)</f>
        <v>2829.4880640000001</v>
      </c>
      <c r="BC129" s="724" t="s">
        <v>1431</v>
      </c>
      <c r="BD129" s="225">
        <f>BD128*2</f>
        <v>850.22406153846157</v>
      </c>
      <c r="BE129" s="654" t="s">
        <v>1428</v>
      </c>
      <c r="BG129" s="236"/>
      <c r="BI129" s="221">
        <v>41651</v>
      </c>
      <c r="BJ129" s="46"/>
      <c r="BK129" s="19">
        <v>98916</v>
      </c>
      <c r="BL129" s="183">
        <f t="shared" si="957"/>
        <v>1.0006534879921647E-2</v>
      </c>
      <c r="BM129" s="16">
        <f t="shared" si="954"/>
        <v>1.9742530387401951</v>
      </c>
      <c r="BN129" s="19">
        <f t="shared" si="955"/>
        <v>270.81724845995893</v>
      </c>
      <c r="BO129" s="938" t="str">
        <f t="shared" si="956"/>
        <v/>
      </c>
      <c r="BS129" s="420" t="str">
        <f t="shared" si="715"/>
        <v>WEN</v>
      </c>
      <c r="BT129" s="425">
        <f t="shared" si="716"/>
        <v>69.219399999999993</v>
      </c>
      <c r="BU129" s="19">
        <f t="shared" si="717"/>
        <v>13.82</v>
      </c>
      <c r="BV129" s="19">
        <f t="shared" si="718"/>
        <v>956.61210799999992</v>
      </c>
      <c r="BW129" s="539">
        <f t="shared" si="719"/>
        <v>0.24</v>
      </c>
      <c r="BX129" s="19">
        <f t="shared" si="720"/>
        <v>16.612655999999998</v>
      </c>
      <c r="BY129" s="10">
        <f t="shared" si="721"/>
        <v>1.2020735166425469</v>
      </c>
      <c r="BZ129" s="10">
        <f t="shared" si="722"/>
        <v>70.421473516642536</v>
      </c>
      <c r="CA129" s="539">
        <f t="shared" si="723"/>
        <v>973.22476399999982</v>
      </c>
      <c r="CB129" s="19">
        <f t="shared" si="724"/>
        <v>16.901153643994206</v>
      </c>
      <c r="CC129" s="10">
        <f t="shared" si="725"/>
        <v>1.22294888885631</v>
      </c>
      <c r="CD129" s="10">
        <f t="shared" si="726"/>
        <v>71.644422405498844</v>
      </c>
      <c r="CE129" s="539">
        <f t="shared" si="727"/>
        <v>990.12591764399406</v>
      </c>
      <c r="CF129" s="19">
        <f t="shared" si="728"/>
        <v>17.194661377319722</v>
      </c>
      <c r="CG129" s="10">
        <f t="shared" si="729"/>
        <v>1.2441867856237137</v>
      </c>
      <c r="CH129" s="10">
        <f t="shared" si="730"/>
        <v>72.888609191122555</v>
      </c>
      <c r="CI129" s="539">
        <f t="shared" si="731"/>
        <v>1007.3205790213137</v>
      </c>
      <c r="CJ129" s="19">
        <f t="shared" si="732"/>
        <v>17.493266205869414</v>
      </c>
      <c r="CK129" s="10">
        <f t="shared" si="733"/>
        <v>1.2657935025954714</v>
      </c>
      <c r="CL129" s="10">
        <f t="shared" si="734"/>
        <v>74.154402693718026</v>
      </c>
      <c r="CM129" s="539">
        <f t="shared" si="735"/>
        <v>1024.813845227183</v>
      </c>
      <c r="CN129" s="19">
        <f t="shared" si="736"/>
        <v>17.797056646492326</v>
      </c>
      <c r="CO129" s="10">
        <f t="shared" si="737"/>
        <v>1.2877754447534244</v>
      </c>
      <c r="CP129" s="10">
        <f t="shared" si="738"/>
        <v>75.442178138471448</v>
      </c>
      <c r="CQ129" s="539">
        <f t="shared" si="739"/>
        <v>1042.6109018736754</v>
      </c>
      <c r="CR129" s="19">
        <f t="shared" si="740"/>
        <v>18.106122753233148</v>
      </c>
      <c r="CS129" s="10">
        <f t="shared" si="741"/>
        <v>1.3101391283092003</v>
      </c>
      <c r="CT129" s="10">
        <f t="shared" si="742"/>
        <v>76.752317266780651</v>
      </c>
      <c r="CU129" s="539">
        <f t="shared" si="743"/>
        <v>1060.7170246269086</v>
      </c>
      <c r="CV129" s="19">
        <f t="shared" si="744"/>
        <v>18.420556144027355</v>
      </c>
      <c r="CW129" s="10">
        <f t="shared" si="745"/>
        <v>1.3328911826358434</v>
      </c>
      <c r="CX129" s="10">
        <f t="shared" si="746"/>
        <v>78.085208449416498</v>
      </c>
      <c r="CY129" s="539">
        <f t="shared" si="747"/>
        <v>1079.137580770936</v>
      </c>
      <c r="CZ129" s="19">
        <f t="shared" si="748"/>
        <v>18.740450027859961</v>
      </c>
      <c r="DA129" s="10">
        <f t="shared" si="749"/>
        <v>1.3560383522329928</v>
      </c>
      <c r="DB129" s="10">
        <f t="shared" si="750"/>
        <v>79.441246801649498</v>
      </c>
      <c r="DC129" s="539">
        <f t="shared" si="751"/>
        <v>1097.8780307987961</v>
      </c>
      <c r="DD129" s="19">
        <f t="shared" si="752"/>
        <v>19.065899232395878</v>
      </c>
      <c r="DE129" s="10">
        <f t="shared" si="753"/>
        <v>1.3795874987261851</v>
      </c>
      <c r="DF129" s="10">
        <f t="shared" si="754"/>
        <v>80.82083430037568</v>
      </c>
      <c r="DG129" s="539">
        <f t="shared" si="755"/>
        <v>1116.9439300311919</v>
      </c>
      <c r="DH129" s="19">
        <f t="shared" si="756"/>
        <v>19.397000232090161</v>
      </c>
      <c r="DI129" s="10">
        <f t="shared" si="757"/>
        <v>1.4035456029008799</v>
      </c>
      <c r="DJ129" s="10">
        <f t="shared" si="758"/>
        <v>82.224379903276557</v>
      </c>
      <c r="DK129" s="539">
        <f t="shared" si="759"/>
        <v>1136.340930263282</v>
      </c>
      <c r="DL129" s="19">
        <f t="shared" si="760"/>
        <v>19.733851176786374</v>
      </c>
      <c r="DM129" s="10">
        <f t="shared" si="761"/>
        <v>1.4279197667718071</v>
      </c>
      <c r="DN129" s="10">
        <f t="shared" si="762"/>
        <v>83.652299670048365</v>
      </c>
      <c r="DO129" s="539">
        <f t="shared" si="763"/>
        <v>1156.0747814400684</v>
      </c>
      <c r="DP129" s="19">
        <f t="shared" si="764"/>
        <v>20.076551920811607</v>
      </c>
      <c r="DQ129" s="10">
        <f t="shared" si="765"/>
        <v>1.4527172156882493</v>
      </c>
      <c r="DR129" s="10">
        <f t="shared" si="766"/>
        <v>85.105016885736617</v>
      </c>
      <c r="DS129" s="539">
        <f t="shared" si="767"/>
        <v>1176.15133336088</v>
      </c>
      <c r="DT129" s="19">
        <f t="shared" si="768"/>
        <v>20.425204052576788</v>
      </c>
      <c r="DU129" s="10">
        <f t="shared" si="769"/>
        <v>1.4779453004758891</v>
      </c>
      <c r="DV129" s="10">
        <f t="shared" si="770"/>
        <v>86.582962186212512</v>
      </c>
      <c r="DW129" s="539">
        <f t="shared" si="771"/>
        <v>1196.5765374134569</v>
      </c>
      <c r="DX129" s="19">
        <f t="shared" si="772"/>
        <v>20.779910924691002</v>
      </c>
      <c r="DY129" s="10">
        <f t="shared" si="773"/>
        <v>1.5036114996158467</v>
      </c>
      <c r="DZ129" s="10">
        <f t="shared" si="774"/>
        <v>88.086573685828355</v>
      </c>
      <c r="EA129" s="539">
        <f t="shared" si="775"/>
        <v>1217.3564483381479</v>
      </c>
      <c r="EB129" s="19">
        <f t="shared" si="776"/>
        <v>21.140777684598806</v>
      </c>
      <c r="EC129" s="10">
        <f t="shared" si="777"/>
        <v>1.5297234214615634</v>
      </c>
      <c r="ED129" s="10">
        <f t="shared" si="778"/>
        <v>89.616297107289924</v>
      </c>
      <c r="EE129" s="539">
        <f t="shared" si="779"/>
        <v>1238.4972260227469</v>
      </c>
      <c r="EF129" s="19">
        <f t="shared" si="780"/>
        <v>21.50791130574958</v>
      </c>
      <c r="EG129" s="10">
        <f t="shared" si="781"/>
        <v>1.5562888064941809</v>
      </c>
      <c r="EH129" s="10">
        <f t="shared" si="782"/>
        <v>91.172585913784104</v>
      </c>
      <c r="EI129" s="539">
        <f t="shared" si="783"/>
        <v>1260.0051373284964</v>
      </c>
      <c r="EJ129" s="19">
        <f t="shared" si="784"/>
        <v>21.881420619308184</v>
      </c>
      <c r="EK129" s="10">
        <f t="shared" si="785"/>
        <v>1.58331552961709</v>
      </c>
      <c r="EL129" s="10">
        <f t="shared" si="786"/>
        <v>92.7559014434012</v>
      </c>
      <c r="EM129" s="539">
        <f t="shared" si="787"/>
        <v>1281.8865579478047</v>
      </c>
      <c r="EN129" s="19">
        <f t="shared" si="788"/>
        <v>22.261416346416286</v>
      </c>
      <c r="EO129" s="10">
        <f t="shared" si="789"/>
        <v>1.6108116024903245</v>
      </c>
      <c r="EP129" s="10">
        <f t="shared" si="790"/>
        <v>94.36671304589153</v>
      </c>
      <c r="EQ129" s="539">
        <f t="shared" si="791"/>
        <v>1304.1479742942211</v>
      </c>
      <c r="ER129" s="19">
        <f t="shared" si="792"/>
        <v>22.648011131013966</v>
      </c>
      <c r="ES129" s="10">
        <f t="shared" si="793"/>
        <v>1.6387851759054968</v>
      </c>
      <c r="ET129" s="10">
        <f t="shared" si="794"/>
        <v>96.005498221797026</v>
      </c>
      <c r="EU129" s="539">
        <f t="shared" si="795"/>
        <v>1326.7959854252349</v>
      </c>
      <c r="EV129" s="19">
        <f t="shared" si="796"/>
        <v>23.041319573231284</v>
      </c>
      <c r="EW129" s="10">
        <f t="shared" si="797"/>
        <v>1.6672445422019742</v>
      </c>
      <c r="EX129" s="10">
        <f t="shared" si="798"/>
        <v>97.672742763998997</v>
      </c>
      <c r="EY129" s="539">
        <f t="shared" si="799"/>
        <v>1349.8373049984662</v>
      </c>
      <c r="EZ129" s="19">
        <f t="shared" si="800"/>
        <v>23.44145826335976</v>
      </c>
      <c r="FA129" s="10">
        <f t="shared" si="801"/>
        <v>1.6961981377250188</v>
      </c>
      <c r="FB129" s="10">
        <f t="shared" si="802"/>
        <v>99.368940901724017</v>
      </c>
      <c r="FC129" s="539">
        <f t="shared" si="803"/>
        <v>1373.278763261826</v>
      </c>
      <c r="FD129" s="19">
        <f t="shared" si="804"/>
        <v>23.848545816413765</v>
      </c>
      <c r="FE129" s="10">
        <f t="shared" si="805"/>
        <v>1.725654545326611</v>
      </c>
      <c r="FF129" s="10">
        <f t="shared" si="806"/>
        <v>101.09459544705062</v>
      </c>
      <c r="FG129" s="539">
        <f t="shared" si="807"/>
        <v>1397.1273090782397</v>
      </c>
      <c r="FH129" s="19">
        <f t="shared" si="808"/>
        <v>24.262702907292148</v>
      </c>
      <c r="FI129" s="10">
        <f t="shared" si="809"/>
        <v>1.7556224969097067</v>
      </c>
      <c r="FJ129" s="10">
        <f t="shared" si="810"/>
        <v>102.85021794396033</v>
      </c>
      <c r="FK129" s="539">
        <f t="shared" si="811"/>
        <v>1421.3900119855318</v>
      </c>
      <c r="FL129" s="19">
        <f t="shared" si="812"/>
        <v>24.684052306550477</v>
      </c>
      <c r="FM129" s="10">
        <f t="shared" si="813"/>
        <v>1.7861108760166771</v>
      </c>
      <c r="FN129" s="10">
        <f t="shared" si="814"/>
        <v>104.63632881997701</v>
      </c>
      <c r="FO129" s="539">
        <f t="shared" si="815"/>
        <v>1446.0740642920823</v>
      </c>
      <c r="FP129" s="19">
        <f t="shared" si="816"/>
        <v>25.112718916794481</v>
      </c>
      <c r="FQ129" s="10">
        <f t="shared" si="817"/>
        <v>1.8171287204626976</v>
      </c>
      <c r="FR129" s="10">
        <f t="shared" si="818"/>
        <v>106.4534575404397</v>
      </c>
      <c r="FS129" s="539">
        <f t="shared" si="819"/>
        <v>1471.1867832088767</v>
      </c>
      <c r="FT129" s="19">
        <f t="shared" si="820"/>
        <v>25.548829809705527</v>
      </c>
      <c r="FU129" s="10">
        <f t="shared" si="821"/>
        <v>1.8486852250148718</v>
      </c>
      <c r="FV129" s="10">
        <f t="shared" si="822"/>
        <v>108.30214276545458</v>
      </c>
      <c r="FW129" s="539">
        <f t="shared" si="823"/>
        <v>1496.7356130185822</v>
      </c>
      <c r="FX129" s="19">
        <f t="shared" si="824"/>
        <v>25.992514263709097</v>
      </c>
      <c r="FY129" s="10">
        <f t="shared" si="825"/>
        <v>1.8807897441178796</v>
      </c>
      <c r="FZ129" s="10">
        <f t="shared" si="826"/>
        <v>110.18293250957245</v>
      </c>
      <c r="GA129" s="539">
        <f t="shared" si="827"/>
        <v>1522.7281272822913</v>
      </c>
      <c r="GB129" s="19">
        <f t="shared" si="828"/>
        <v>26.443903802297388</v>
      </c>
      <c r="GC129" s="10">
        <f t="shared" si="829"/>
        <v>1.91345179466696</v>
      </c>
      <c r="GD129" s="10">
        <f t="shared" si="830"/>
        <v>112.09638430423941</v>
      </c>
      <c r="GE129" s="539">
        <f t="shared" si="831"/>
        <v>1549.1720310845888</v>
      </c>
      <c r="GF129" s="19">
        <f t="shared" si="832"/>
        <v>26.903132233017455</v>
      </c>
      <c r="GG129" s="10">
        <f t="shared" si="833"/>
        <v>1.9466810588290488</v>
      </c>
      <c r="GH129" s="10">
        <f t="shared" si="834"/>
        <v>114.04306536306845</v>
      </c>
      <c r="GI129" s="539">
        <f t="shared" si="835"/>
        <v>1576.075163317606</v>
      </c>
      <c r="GJ129" s="19">
        <f t="shared" si="836"/>
        <v>27.370335687136429</v>
      </c>
      <c r="GK129" s="10">
        <f t="shared" si="837"/>
        <v>1.9804873869129109</v>
      </c>
      <c r="GL129" s="10">
        <f t="shared" si="838"/>
        <v>116.02355274998136</v>
      </c>
      <c r="GM129" s="539">
        <f t="shared" si="839"/>
        <v>1603.4454990047425</v>
      </c>
      <c r="GN129" s="19">
        <f t="shared" si="840"/>
        <v>27.845652659995526</v>
      </c>
      <c r="GO129" s="10">
        <f t="shared" si="841"/>
        <v>2.0148808002891117</v>
      </c>
      <c r="GP129" s="10">
        <f t="shared" si="842"/>
        <v>118.03843355027047</v>
      </c>
      <c r="GQ129" s="539">
        <f t="shared" si="843"/>
        <v>1631.291151664738</v>
      </c>
      <c r="GR129" s="19">
        <f t="shared" si="844"/>
        <v>28.329224052064912</v>
      </c>
      <c r="GS129" s="10">
        <f t="shared" si="845"/>
        <v>2.0498714943607026</v>
      </c>
      <c r="GT129" s="10">
        <f t="shared" si="846"/>
        <v>120.08830504463117</v>
      </c>
      <c r="GU129" s="539">
        <f t="shared" si="847"/>
        <v>1659.6203757168028</v>
      </c>
      <c r="GV129" s="19">
        <f t="shared" si="848"/>
        <v>28.821193210711481</v>
      </c>
      <c r="GW129" s="10">
        <f t="shared" si="849"/>
        <v>2.0854698415854904</v>
      </c>
      <c r="GX129" s="10">
        <f t="shared" si="850"/>
        <v>122.17377488621666</v>
      </c>
      <c r="GY129" s="539">
        <f t="shared" si="851"/>
        <v>1688.4415689275143</v>
      </c>
      <c r="GZ129" s="19">
        <f t="shared" si="852"/>
        <v>29.321705972691998</v>
      </c>
      <c r="HA129" s="10">
        <f t="shared" si="853"/>
        <v>2.1216863945507956</v>
      </c>
      <c r="HB129" s="10">
        <f t="shared" si="854"/>
        <v>124.29546128076746</v>
      </c>
      <c r="HC129" s="539">
        <f t="shared" si="855"/>
        <v>1717.7632749002062</v>
      </c>
      <c r="HD129" s="19">
        <f t="shared" si="856"/>
        <v>29.830910707384188</v>
      </c>
      <c r="HE129" s="10">
        <f t="shared" si="857"/>
        <v>2.1585318891016056</v>
      </c>
      <c r="HF129" s="10">
        <f t="shared" si="858"/>
        <v>126.45399316986907</v>
      </c>
      <c r="HG129" s="539">
        <f t="shared" si="859"/>
        <v>1747.5941856075906</v>
      </c>
      <c r="HH129" s="19">
        <f t="shared" si="860"/>
        <v>30.348958360768574</v>
      </c>
      <c r="HI129" s="10">
        <f t="shared" si="861"/>
        <v>2.1960172475230517</v>
      </c>
      <c r="HJ129" s="10">
        <f t="shared" si="862"/>
        <v>128.65001041739211</v>
      </c>
      <c r="HK129" s="539">
        <f t="shared" si="863"/>
        <v>1777.943143968359</v>
      </c>
      <c r="HL129" s="19">
        <f t="shared" si="864"/>
        <v>30.876002500174106</v>
      </c>
      <c r="HM129" s="10">
        <f t="shared" si="865"/>
        <v>2.234153581778155</v>
      </c>
      <c r="HN129" s="10">
        <f t="shared" si="866"/>
        <v>130.88416399917026</v>
      </c>
      <c r="HO129" s="539">
        <f t="shared" si="867"/>
        <v>1808.8191464685331</v>
      </c>
      <c r="HP129" s="19">
        <f t="shared" si="868"/>
        <v>31.412199359800859</v>
      </c>
      <c r="HQ129" s="10">
        <f t="shared" si="869"/>
        <v>2.2729521968017985</v>
      </c>
      <c r="HR129" s="10">
        <f t="shared" si="870"/>
        <v>133.15711619597207</v>
      </c>
      <c r="HS129" s="539">
        <f t="shared" si="871"/>
        <v>1840.231345828334</v>
      </c>
      <c r="HT129" s="19">
        <f t="shared" si="872"/>
        <v>31.957707887033294</v>
      </c>
      <c r="HU129" s="10">
        <f t="shared" si="873"/>
        <v>2.3124245938519024</v>
      </c>
      <c r="HV129" s="10">
        <f t="shared" si="874"/>
        <v>135.46954078982398</v>
      </c>
      <c r="HW129" s="539">
        <f t="shared" si="875"/>
        <v>1872.1890537153674</v>
      </c>
      <c r="HX129" s="19">
        <f t="shared" si="876"/>
        <v>32.512689789557754</v>
      </c>
      <c r="HY129" s="10">
        <f t="shared" si="877"/>
        <v>2.3525824739187953</v>
      </c>
      <c r="HZ129" s="10">
        <f t="shared" si="878"/>
        <v>137.82212326374278</v>
      </c>
      <c r="IA129" s="539">
        <f t="shared" si="879"/>
        <v>1904.7017435049254</v>
      </c>
      <c r="IB129" s="19">
        <f t="shared" si="880"/>
        <v>33.077309583298266</v>
      </c>
      <c r="IM129" s="11"/>
      <c r="IN129" s="19"/>
      <c r="IO129" s="20"/>
      <c r="IP129" s="10"/>
    </row>
    <row r="130" spans="1:261" ht="13.5" thickBot="1">
      <c r="A130" s="11"/>
      <c r="B130" s="20"/>
      <c r="C130" s="826" t="s">
        <v>2342</v>
      </c>
      <c r="D130" s="47" t="s">
        <v>2233</v>
      </c>
      <c r="E130" s="396">
        <f t="shared" ref="E130" si="1021">F130+O130</f>
        <v>6.0145</v>
      </c>
      <c r="F130" s="242">
        <v>1.0145</v>
      </c>
      <c r="G130" s="48">
        <f>'Update Stock Prices'!S130</f>
        <v>5159245678.3656359</v>
      </c>
      <c r="H130" s="991">
        <f t="shared" ref="H130" si="1022">F130/G130</f>
        <v>1.966372728195756E-10</v>
      </c>
      <c r="I130" s="49">
        <f>'Update Stock Prices'!D130</f>
        <v>57.27</v>
      </c>
      <c r="J130" s="49">
        <f t="shared" si="404"/>
        <v>58.100414999999998</v>
      </c>
      <c r="K130" s="30">
        <v>48.77</v>
      </c>
      <c r="L130" s="49">
        <f t="shared" ref="L130" si="1023">J130-K130</f>
        <v>9.330414999999995</v>
      </c>
      <c r="M130" s="50">
        <f t="shared" ref="M130" si="1024">L130/K130</f>
        <v>0.19131464014763164</v>
      </c>
      <c r="N130" s="49">
        <f t="shared" ref="N130" si="1025">K130/F130</f>
        <v>48.072942336126175</v>
      </c>
      <c r="O130" s="48">
        <f t="shared" ref="O130" si="1026">IF(INT(($B$11-$B$12)/I130)&lt;0,0,INT(($B$11-$B$12)/I130))</f>
        <v>5</v>
      </c>
      <c r="P130" s="49">
        <f>IF(($B$11-$B$12)-(O130*I130)&lt;0,0,($B$11-$B$12)-(O130*I130))</f>
        <v>34.659999999999968</v>
      </c>
      <c r="Q130" s="30">
        <f>0.38*4</f>
        <v>1.52</v>
      </c>
      <c r="R130" s="49">
        <f t="shared" ref="R130" si="1027">S130/365.25</f>
        <v>4.2218754277891851E-3</v>
      </c>
      <c r="S130" s="49">
        <f t="shared" ref="S130" si="1028">F130*Q130</f>
        <v>1.5420399999999999</v>
      </c>
      <c r="T130" s="49">
        <f t="shared" ref="T130" si="1029">S130/12</f>
        <v>0.12850333333333333</v>
      </c>
      <c r="U130" s="49" t="s">
        <v>54</v>
      </c>
      <c r="V130" s="50">
        <f t="shared" ref="V130" si="1030">Q130/I130</f>
        <v>2.6540946394272742E-2</v>
      </c>
      <c r="W130" s="50">
        <f t="shared" ref="W130" si="1031">S130/K130</f>
        <v>3.1618618002870615E-2</v>
      </c>
      <c r="X130" s="49">
        <f t="shared" si="1002"/>
        <v>7.6</v>
      </c>
      <c r="Y130" s="49">
        <f t="shared" ref="Y130" si="1032">IF(U130="Q",3*T130,IF(U130="Y",12*T130,IF(U130="B",6*T130,IF(U130="M",T130,0))))</f>
        <v>0.38551000000000002</v>
      </c>
      <c r="Z130" s="860">
        <f t="shared" ref="Z130" si="1033">IF(Y130/I130&gt;1,1,0)</f>
        <v>0</v>
      </c>
      <c r="AA130" s="860">
        <f t="shared" ref="AA130" si="1034">IF(Z130=1,"",IF(AND(U130&lt;&gt;"",Z130=0),I130/(Y130/F130)-F130,""))</f>
        <v>149.69602631578945</v>
      </c>
      <c r="AB130" s="49">
        <f t="shared" ref="AB130" si="1035">IF(AA130&lt;&gt;"",AA130*I130,"")</f>
        <v>8573.0914271052625</v>
      </c>
      <c r="AC130" s="48">
        <v>1</v>
      </c>
      <c r="AD130" s="47" t="str">
        <f t="shared" ref="AD130" si="1036">D130</f>
        <v>WFC</v>
      </c>
      <c r="AE130" s="49">
        <f t="shared" ref="AE130" si="1037">J130</f>
        <v>58.100414999999998</v>
      </c>
      <c r="AF130" s="50" t="e">
        <f t="shared" si="692"/>
        <v>#REF!</v>
      </c>
      <c r="AG130" s="890" t="e">
        <f t="shared" ref="AG130" si="1038">(100*AF130)^2</f>
        <v>#REF!</v>
      </c>
      <c r="AH130" s="207" t="s">
        <v>2232</v>
      </c>
      <c r="AI130" s="240">
        <f t="shared" si="693"/>
        <v>7.6631407305568075E-3</v>
      </c>
      <c r="AJ130" s="11">
        <f t="shared" si="595"/>
        <v>3</v>
      </c>
      <c r="AK130" s="11"/>
      <c r="AL130" s="11"/>
      <c r="AM130" s="11"/>
      <c r="AN130" s="11"/>
      <c r="AO130" s="11"/>
      <c r="AP130" s="11"/>
      <c r="AQ130" s="11" t="str">
        <f>'Update Stock Prices'!Q130</f>
        <v>mega</v>
      </c>
      <c r="AR130" s="11"/>
      <c r="AS130" s="11"/>
      <c r="AU130" s="226" t="s">
        <v>323</v>
      </c>
      <c r="AV130" s="15" t="s">
        <v>599</v>
      </c>
      <c r="AW130" s="11" t="s">
        <v>600</v>
      </c>
      <c r="AX130" s="420" t="s">
        <v>601</v>
      </c>
      <c r="AY130" s="427" t="s">
        <v>1839</v>
      </c>
      <c r="AZ130" s="847"/>
      <c r="BA130" s="652" t="s">
        <v>1294</v>
      </c>
      <c r="BB130" s="512">
        <f>BB131/12</f>
        <v>6130.5574720000004</v>
      </c>
      <c r="BC130" s="186">
        <f>(1+BA127)*BC115</f>
        <v>52.962623999999991</v>
      </c>
      <c r="BD130" s="222">
        <f>BD128*26</f>
        <v>11052.9128</v>
      </c>
      <c r="BE130" s="655" t="s">
        <v>1298</v>
      </c>
      <c r="BG130" s="236"/>
      <c r="BI130" s="221">
        <v>42015</v>
      </c>
      <c r="BJ130" s="46"/>
      <c r="BK130" s="19">
        <v>99905</v>
      </c>
      <c r="BL130" s="183">
        <f t="shared" si="957"/>
        <v>9.9983824659306553E-3</v>
      </c>
      <c r="BM130" s="16">
        <f t="shared" si="954"/>
        <v>1.9939923757060456</v>
      </c>
      <c r="BN130" s="19">
        <f t="shared" si="955"/>
        <v>273.52498288843259</v>
      </c>
      <c r="BO130" s="938" t="str">
        <f t="shared" si="956"/>
        <v/>
      </c>
      <c r="BS130" s="420" t="str">
        <f t="shared" si="715"/>
        <v>WFC</v>
      </c>
      <c r="BT130" s="425">
        <f t="shared" si="716"/>
        <v>1.0145</v>
      </c>
      <c r="BU130" s="19">
        <f t="shared" si="717"/>
        <v>57.27</v>
      </c>
      <c r="BV130" s="19">
        <f t="shared" si="718"/>
        <v>58.100414999999998</v>
      </c>
      <c r="BW130" s="539">
        <f t="shared" si="719"/>
        <v>1.52</v>
      </c>
      <c r="BX130" s="19">
        <f t="shared" si="720"/>
        <v>1.5420399999999999</v>
      </c>
      <c r="BY130" s="10">
        <f t="shared" si="721"/>
        <v>2.6925790116989694E-2</v>
      </c>
      <c r="BZ130" s="10">
        <f t="shared" si="722"/>
        <v>1.0414257901169897</v>
      </c>
      <c r="CA130" s="539">
        <f t="shared" si="723"/>
        <v>59.642454999999998</v>
      </c>
      <c r="CB130" s="19">
        <f t="shared" si="724"/>
        <v>1.5829672009778244</v>
      </c>
      <c r="CC130" s="10">
        <f t="shared" si="725"/>
        <v>2.7640426069108159E-2</v>
      </c>
      <c r="CD130" s="10">
        <f t="shared" si="726"/>
        <v>1.0690662161860978</v>
      </c>
      <c r="CE130" s="539">
        <f t="shared" si="727"/>
        <v>61.225422200977825</v>
      </c>
      <c r="CF130" s="19">
        <f t="shared" si="728"/>
        <v>1.6249806486028686</v>
      </c>
      <c r="CG130" s="10">
        <f t="shared" si="729"/>
        <v>2.8374029135723216E-2</v>
      </c>
      <c r="CH130" s="10">
        <f t="shared" si="730"/>
        <v>1.0974402453218211</v>
      </c>
      <c r="CI130" s="539">
        <f t="shared" si="731"/>
        <v>62.850402849580696</v>
      </c>
      <c r="CJ130" s="19">
        <f t="shared" si="732"/>
        <v>1.6681091728891679</v>
      </c>
      <c r="CK130" s="10">
        <f t="shared" si="733"/>
        <v>2.9127102722003979E-2</v>
      </c>
      <c r="CL130" s="10">
        <f t="shared" si="734"/>
        <v>1.126567348043825</v>
      </c>
      <c r="CM130" s="539">
        <f t="shared" si="735"/>
        <v>64.518512022469864</v>
      </c>
      <c r="CN130" s="19">
        <f t="shared" si="736"/>
        <v>1.712382369026614</v>
      </c>
      <c r="CO130" s="10">
        <f t="shared" si="737"/>
        <v>2.9900163593969162E-2</v>
      </c>
      <c r="CP130" s="10">
        <f t="shared" si="738"/>
        <v>1.156467511637794</v>
      </c>
      <c r="CQ130" s="539">
        <f t="shared" si="739"/>
        <v>66.230894391496463</v>
      </c>
      <c r="CR130" s="19">
        <f t="shared" si="740"/>
        <v>1.7578306176894469</v>
      </c>
      <c r="CS130" s="10">
        <f t="shared" si="741"/>
        <v>3.069374223309668E-2</v>
      </c>
      <c r="CT130" s="10">
        <f t="shared" si="742"/>
        <v>1.1871612538708907</v>
      </c>
      <c r="CU130" s="539">
        <f t="shared" si="743"/>
        <v>67.988725009185913</v>
      </c>
      <c r="CV130" s="19">
        <f t="shared" si="744"/>
        <v>1.8044851058837539</v>
      </c>
      <c r="CW130" s="10">
        <f t="shared" si="745"/>
        <v>3.1508383200344922E-2</v>
      </c>
      <c r="CX130" s="10">
        <f t="shared" si="746"/>
        <v>1.2186696370712355</v>
      </c>
      <c r="CY130" s="539">
        <f t="shared" si="747"/>
        <v>69.79321011506967</v>
      </c>
      <c r="CZ130" s="19">
        <f t="shared" si="748"/>
        <v>1.852377848348278</v>
      </c>
      <c r="DA130" s="10">
        <f t="shared" si="749"/>
        <v>3.2344645509835478E-2</v>
      </c>
      <c r="DB130" s="10">
        <f t="shared" si="750"/>
        <v>1.2510142825810711</v>
      </c>
      <c r="DC130" s="539">
        <f t="shared" si="751"/>
        <v>71.645587963417938</v>
      </c>
      <c r="DD130" s="19">
        <f t="shared" si="752"/>
        <v>1.9015417095232281</v>
      </c>
      <c r="DE130" s="10">
        <f t="shared" si="753"/>
        <v>3.3203103012453779E-2</v>
      </c>
      <c r="DF130" s="10">
        <f t="shared" si="754"/>
        <v>1.2842173855935248</v>
      </c>
      <c r="DG130" s="539">
        <f t="shared" si="755"/>
        <v>73.547129672941168</v>
      </c>
      <c r="DH130" s="19">
        <f t="shared" si="756"/>
        <v>1.9520104261021578</v>
      </c>
      <c r="DI130" s="10">
        <f t="shared" si="757"/>
        <v>3.4084344789630829E-2</v>
      </c>
      <c r="DJ130" s="10">
        <f t="shared" si="758"/>
        <v>1.3183017303831557</v>
      </c>
      <c r="DK130" s="539">
        <f t="shared" si="759"/>
        <v>75.499140099043331</v>
      </c>
      <c r="DL130" s="19">
        <f t="shared" si="760"/>
        <v>2.0038186301823968</v>
      </c>
      <c r="DM130" s="10">
        <f t="shared" si="761"/>
        <v>3.4988975557576338E-2</v>
      </c>
      <c r="DN130" s="10">
        <f t="shared" si="762"/>
        <v>1.353290705940732</v>
      </c>
      <c r="DO130" s="539">
        <f t="shared" si="763"/>
        <v>77.502958729225725</v>
      </c>
      <c r="DP130" s="19">
        <f t="shared" si="764"/>
        <v>2.0570018730299124</v>
      </c>
      <c r="DQ130" s="10">
        <f t="shared" si="765"/>
        <v>3.5917616082240478E-2</v>
      </c>
      <c r="DR130" s="10">
        <f t="shared" si="766"/>
        <v>1.3892083220229725</v>
      </c>
      <c r="DS130" s="539">
        <f t="shared" si="767"/>
        <v>79.559960602255643</v>
      </c>
      <c r="DT130" s="19">
        <f t="shared" si="768"/>
        <v>2.1115966494749183</v>
      </c>
      <c r="DU130" s="10">
        <f t="shared" si="769"/>
        <v>3.6870903605289301E-2</v>
      </c>
      <c r="DV130" s="10">
        <f t="shared" si="770"/>
        <v>1.4260792256282617</v>
      </c>
      <c r="DW130" s="539">
        <f t="shared" si="771"/>
        <v>81.671557251730547</v>
      </c>
      <c r="DX130" s="19">
        <f t="shared" si="772"/>
        <v>2.1676404229549577</v>
      </c>
      <c r="DY130" s="10">
        <f t="shared" si="773"/>
        <v>3.7849492281385677E-2</v>
      </c>
      <c r="DZ130" s="10">
        <f t="shared" si="774"/>
        <v>1.4639287179096474</v>
      </c>
      <c r="EA130" s="539">
        <f t="shared" si="775"/>
        <v>83.839197674685508</v>
      </c>
      <c r="EB130" s="19">
        <f t="shared" si="776"/>
        <v>2.2251716512226642</v>
      </c>
      <c r="EC130" s="10">
        <f t="shared" si="777"/>
        <v>3.8854053627076376E-2</v>
      </c>
      <c r="ED130" s="10">
        <f t="shared" si="778"/>
        <v>1.5027827715367237</v>
      </c>
      <c r="EE130" s="539">
        <f t="shared" si="779"/>
        <v>86.064369325908174</v>
      </c>
      <c r="EF130" s="19">
        <f t="shared" si="780"/>
        <v>2.2842298127358198</v>
      </c>
      <c r="EG130" s="10">
        <f t="shared" si="781"/>
        <v>3.9885276981592797E-2</v>
      </c>
      <c r="EH130" s="10">
        <f t="shared" si="782"/>
        <v>1.5426680485183164</v>
      </c>
      <c r="EI130" s="539">
        <f t="shared" si="783"/>
        <v>88.348599138643991</v>
      </c>
      <c r="EJ130" s="19">
        <f t="shared" si="784"/>
        <v>2.3448554337478411</v>
      </c>
      <c r="EK130" s="10">
        <f t="shared" si="785"/>
        <v>4.0943869979881982E-2</v>
      </c>
      <c r="EL130" s="10">
        <f t="shared" si="786"/>
        <v>1.5836119184981985</v>
      </c>
      <c r="EM130" s="539">
        <f t="shared" si="787"/>
        <v>90.693454572391829</v>
      </c>
      <c r="EN130" s="19">
        <f t="shared" si="788"/>
        <v>2.4070901161172618</v>
      </c>
      <c r="EO130" s="10">
        <f t="shared" si="789"/>
        <v>4.2030559038192104E-2</v>
      </c>
      <c r="EP130" s="10">
        <f t="shared" si="790"/>
        <v>1.6256424775363907</v>
      </c>
      <c r="EQ130" s="539">
        <f t="shared" si="791"/>
        <v>93.100544688509103</v>
      </c>
      <c r="ER130" s="19">
        <f t="shared" si="792"/>
        <v>2.470976565855314</v>
      </c>
      <c r="ES130" s="10">
        <f t="shared" si="793"/>
        <v>4.3146089852546081E-2</v>
      </c>
      <c r="ET130" s="10">
        <f t="shared" si="794"/>
        <v>1.6687885673889367</v>
      </c>
      <c r="EU130" s="539">
        <f t="shared" si="795"/>
        <v>95.571521254364413</v>
      </c>
      <c r="EV130" s="19">
        <f t="shared" si="796"/>
        <v>2.5365586224311838</v>
      </c>
      <c r="EW130" s="10">
        <f t="shared" si="797"/>
        <v>4.4291227910444972E-2</v>
      </c>
      <c r="EX130" s="10">
        <f t="shared" si="798"/>
        <v>1.7130797952993817</v>
      </c>
      <c r="EY130" s="539">
        <f t="shared" si="799"/>
        <v>98.1080798767956</v>
      </c>
      <c r="EZ130" s="19">
        <f t="shared" si="800"/>
        <v>2.6038812888550602</v>
      </c>
      <c r="FA130" s="10">
        <f t="shared" si="801"/>
        <v>4.5466759016152609E-2</v>
      </c>
      <c r="FB130" s="10">
        <f t="shared" si="802"/>
        <v>1.7585465543155343</v>
      </c>
      <c r="FC130" s="539">
        <f t="shared" si="803"/>
        <v>100.71196116565065</v>
      </c>
      <c r="FD130" s="19">
        <f t="shared" si="804"/>
        <v>2.6729907625596123</v>
      </c>
      <c r="FE130" s="10">
        <f t="shared" si="805"/>
        <v>4.6673489829921637E-2</v>
      </c>
      <c r="FF130" s="10">
        <f t="shared" si="806"/>
        <v>1.805220044145456</v>
      </c>
      <c r="FG130" s="539">
        <f t="shared" si="807"/>
        <v>103.38495192821027</v>
      </c>
      <c r="FH130" s="19">
        <f t="shared" si="808"/>
        <v>2.7439344671010932</v>
      </c>
      <c r="FI130" s="10">
        <f t="shared" si="809"/>
        <v>4.7912248421531224E-2</v>
      </c>
      <c r="FJ130" s="10">
        <f t="shared" si="810"/>
        <v>1.8531322925669873</v>
      </c>
      <c r="FK130" s="539">
        <f t="shared" si="811"/>
        <v>106.12888639531137</v>
      </c>
      <c r="FL130" s="19">
        <f t="shared" si="812"/>
        <v>2.8167610847018207</v>
      </c>
      <c r="FM130" s="10">
        <f t="shared" si="813"/>
        <v>4.9183884838516163E-2</v>
      </c>
      <c r="FN130" s="10">
        <f t="shared" si="814"/>
        <v>1.9023161774055035</v>
      </c>
      <c r="FO130" s="539">
        <f t="shared" si="815"/>
        <v>108.94564748001319</v>
      </c>
      <c r="FP130" s="19">
        <f t="shared" si="816"/>
        <v>2.8915205896563654</v>
      </c>
      <c r="FQ130" s="10">
        <f t="shared" si="817"/>
        <v>5.0489271689477304E-2</v>
      </c>
      <c r="FR130" s="10">
        <f t="shared" si="818"/>
        <v>1.9528054490949809</v>
      </c>
      <c r="FS130" s="539">
        <f t="shared" si="819"/>
        <v>111.83716806966956</v>
      </c>
      <c r="FT130" s="19">
        <f t="shared" si="820"/>
        <v>2.968264282624371</v>
      </c>
      <c r="FU130" s="10">
        <f t="shared" si="821"/>
        <v>5.1829304742873596E-2</v>
      </c>
      <c r="FV130" s="10">
        <f t="shared" si="822"/>
        <v>2.0046347538378546</v>
      </c>
      <c r="FW130" s="539">
        <f t="shared" si="823"/>
        <v>114.80543235229393</v>
      </c>
      <c r="FX130" s="19">
        <f t="shared" si="824"/>
        <v>3.047044825833539</v>
      </c>
      <c r="FY130" s="10">
        <f t="shared" si="825"/>
        <v>5.3204903541706629E-2</v>
      </c>
      <c r="FZ130" s="10">
        <f t="shared" si="826"/>
        <v>2.0578396573795614</v>
      </c>
      <c r="GA130" s="539">
        <f t="shared" si="827"/>
        <v>117.85247717812749</v>
      </c>
      <c r="GB130" s="19">
        <f t="shared" si="828"/>
        <v>3.1279162792169335</v>
      </c>
      <c r="GC130" s="10">
        <f t="shared" si="829"/>
        <v>5.4617012034519526E-2</v>
      </c>
      <c r="GD130" s="10">
        <f t="shared" si="830"/>
        <v>2.1124566694140809</v>
      </c>
      <c r="GE130" s="539">
        <f t="shared" si="831"/>
        <v>120.98039345734442</v>
      </c>
      <c r="GF130" s="19">
        <f t="shared" si="832"/>
        <v>3.2109341375094029</v>
      </c>
      <c r="GG130" s="10">
        <f t="shared" si="833"/>
        <v>5.6066599223143054E-2</v>
      </c>
      <c r="GH130" s="10">
        <f t="shared" si="834"/>
        <v>2.168523268637224</v>
      </c>
      <c r="GI130" s="539">
        <f t="shared" si="835"/>
        <v>124.19132759485383</v>
      </c>
      <c r="GJ130" s="19">
        <f t="shared" si="836"/>
        <v>3.2961553683285807</v>
      </c>
      <c r="GK130" s="10">
        <f t="shared" si="837"/>
        <v>5.7554659827633671E-2</v>
      </c>
      <c r="GL130" s="10">
        <f t="shared" si="838"/>
        <v>2.2260779284648575</v>
      </c>
      <c r="GM130" s="539">
        <f t="shared" si="839"/>
        <v>127.4874829631824</v>
      </c>
      <c r="GN130" s="19">
        <f t="shared" si="840"/>
        <v>3.3836384512665836</v>
      </c>
      <c r="GO130" s="10">
        <f t="shared" si="841"/>
        <v>5.9082214968859494E-2</v>
      </c>
      <c r="GP130" s="10">
        <f t="shared" si="842"/>
        <v>2.2851601434337172</v>
      </c>
      <c r="GQ130" s="539">
        <f t="shared" si="843"/>
        <v>130.87112141444899</v>
      </c>
      <c r="GR130" s="19">
        <f t="shared" si="844"/>
        <v>3.4734434180192504</v>
      </c>
      <c r="GS130" s="10">
        <f t="shared" si="845"/>
        <v>6.0650312869202902E-2</v>
      </c>
      <c r="GT130" s="10">
        <f t="shared" si="846"/>
        <v>2.3458104563029201</v>
      </c>
      <c r="GU130" s="539">
        <f t="shared" si="847"/>
        <v>134.34456483246825</v>
      </c>
      <c r="GV130" s="19">
        <f t="shared" si="848"/>
        <v>3.5656318935804387</v>
      </c>
      <c r="GW130" s="10">
        <f t="shared" si="849"/>
        <v>6.2260029571860283E-2</v>
      </c>
      <c r="GX130" s="10">
        <f t="shared" si="850"/>
        <v>2.4080704858747803</v>
      </c>
      <c r="GY130" s="539">
        <f t="shared" si="851"/>
        <v>137.91019672604867</v>
      </c>
      <c r="GZ130" s="19">
        <f t="shared" si="852"/>
        <v>3.6602671385296661</v>
      </c>
      <c r="HA130" s="10">
        <f t="shared" si="853"/>
        <v>6.3912469679232864E-2</v>
      </c>
      <c r="HB130" s="10">
        <f t="shared" si="854"/>
        <v>2.4719829555540134</v>
      </c>
      <c r="HC130" s="539">
        <f t="shared" si="855"/>
        <v>141.57046386457836</v>
      </c>
      <c r="HD130" s="19">
        <f t="shared" si="856"/>
        <v>3.7574140924421005</v>
      </c>
      <c r="HE130" s="10">
        <f t="shared" si="857"/>
        <v>6.560876711091497E-2</v>
      </c>
      <c r="HF130" s="10">
        <f t="shared" si="858"/>
        <v>2.5375917226649283</v>
      </c>
      <c r="HG130" s="539">
        <f t="shared" si="859"/>
        <v>145.32787795702046</v>
      </c>
      <c r="HH130" s="19">
        <f t="shared" si="860"/>
        <v>3.8571394184506911</v>
      </c>
      <c r="HI130" s="10">
        <f t="shared" si="861"/>
        <v>6.7350085881800081E-2</v>
      </c>
      <c r="HJ130" s="10">
        <f t="shared" si="862"/>
        <v>2.6049418085467284</v>
      </c>
      <c r="HK130" s="539">
        <f t="shared" si="863"/>
        <v>149.18501737547115</v>
      </c>
      <c r="HL130" s="19">
        <f t="shared" si="864"/>
        <v>3.9595115489910273</v>
      </c>
      <c r="HM130" s="10">
        <f t="shared" si="865"/>
        <v>6.9137620900838609E-2</v>
      </c>
      <c r="HN130" s="10">
        <f t="shared" si="866"/>
        <v>2.6740794294475672</v>
      </c>
      <c r="HO130" s="539">
        <f t="shared" si="867"/>
        <v>153.14452892446218</v>
      </c>
      <c r="HP130" s="19">
        <f t="shared" si="868"/>
        <v>4.0646007327603018</v>
      </c>
      <c r="HQ130" s="10">
        <f t="shared" si="869"/>
        <v>7.0972598790995309E-2</v>
      </c>
      <c r="HR130" s="10">
        <f t="shared" si="870"/>
        <v>2.7450520282385624</v>
      </c>
      <c r="HS130" s="539">
        <f t="shared" si="871"/>
        <v>157.20912965722249</v>
      </c>
      <c r="HT130" s="19">
        <f t="shared" si="872"/>
        <v>4.1724790829226146</v>
      </c>
      <c r="HU130" s="10">
        <f t="shared" si="873"/>
        <v>7.2856278730969351E-2</v>
      </c>
      <c r="HV130" s="10">
        <f t="shared" si="874"/>
        <v>2.8179083069695317</v>
      </c>
      <c r="HW130" s="539">
        <f t="shared" si="875"/>
        <v>161.38160874014508</v>
      </c>
      <c r="HX130" s="19">
        <f t="shared" si="876"/>
        <v>4.2832206265936881</v>
      </c>
      <c r="HY130" s="10">
        <f t="shared" si="877"/>
        <v>7.4789953319254199E-2</v>
      </c>
      <c r="HZ130" s="10">
        <f t="shared" si="878"/>
        <v>2.8926982602887858</v>
      </c>
      <c r="IA130" s="539">
        <f t="shared" si="879"/>
        <v>165.66482936673879</v>
      </c>
      <c r="IB130" s="19">
        <f t="shared" si="880"/>
        <v>4.3969013556389545</v>
      </c>
      <c r="IK130" s="11"/>
      <c r="IL130" s="11"/>
      <c r="IM130" s="11"/>
      <c r="IN130" s="19"/>
      <c r="IO130" s="20"/>
      <c r="IP130" s="10"/>
    </row>
    <row r="131" spans="1:261" ht="13.5" thickBot="1">
      <c r="A131" s="11"/>
      <c r="B131" s="20"/>
      <c r="C131" s="826" t="s">
        <v>2342</v>
      </c>
      <c r="D131" s="47" t="s">
        <v>603</v>
      </c>
      <c r="E131" s="396">
        <f t="shared" si="931"/>
        <v>210.74090000000001</v>
      </c>
      <c r="F131" s="242">
        <v>22.7409</v>
      </c>
      <c r="G131" s="48">
        <f>'Update Stock Prices'!S131</f>
        <v>67964705.882352948</v>
      </c>
      <c r="H131" s="991">
        <f t="shared" si="610"/>
        <v>3.3459866712826723E-7</v>
      </c>
      <c r="I131" s="49">
        <f>'Update Stock Prices'!D131</f>
        <v>1.7</v>
      </c>
      <c r="J131" s="49">
        <f t="shared" si="404"/>
        <v>38.659529999999997</v>
      </c>
      <c r="K131" s="30">
        <v>60.43</v>
      </c>
      <c r="L131" s="49">
        <f t="shared" si="611"/>
        <v>-21.770470000000003</v>
      </c>
      <c r="M131" s="50">
        <f t="shared" si="613"/>
        <v>-0.36025930829058422</v>
      </c>
      <c r="N131" s="49">
        <f t="shared" si="612"/>
        <v>2.6573266669305085</v>
      </c>
      <c r="O131" s="48">
        <f t="shared" si="932"/>
        <v>188</v>
      </c>
      <c r="P131" s="49">
        <f t="shared" si="933"/>
        <v>1.410000000000025</v>
      </c>
      <c r="Q131" s="30">
        <f>0.0175*12</f>
        <v>0.21000000000000002</v>
      </c>
      <c r="R131" s="49">
        <f>S131/365.25</f>
        <v>1.3074850102669405E-2</v>
      </c>
      <c r="S131" s="49">
        <f t="shared" si="935"/>
        <v>4.7755890000000001</v>
      </c>
      <c r="T131" s="49">
        <f>S131/12</f>
        <v>0.39796575000000001</v>
      </c>
      <c r="U131" s="49" t="s">
        <v>56</v>
      </c>
      <c r="V131" s="50">
        <f t="shared" si="937"/>
        <v>0.1235294117647059</v>
      </c>
      <c r="W131" s="50">
        <f t="shared" si="575"/>
        <v>7.90267913288102E-2</v>
      </c>
      <c r="X131" s="49">
        <f t="shared" si="1002"/>
        <v>39.480000000000004</v>
      </c>
      <c r="Y131" s="49">
        <f t="shared" si="654"/>
        <v>0.39796575000000001</v>
      </c>
      <c r="Z131" s="860">
        <f t="shared" si="939"/>
        <v>0</v>
      </c>
      <c r="AA131" s="860">
        <f t="shared" si="940"/>
        <v>74.401957142857128</v>
      </c>
      <c r="AB131" s="49">
        <f t="shared" si="941"/>
        <v>126.48332714285712</v>
      </c>
      <c r="AC131" s="48">
        <v>1</v>
      </c>
      <c r="AD131" s="47" t="str">
        <f t="shared" si="942"/>
        <v>WHLR</v>
      </c>
      <c r="AE131" s="49">
        <f t="shared" si="943"/>
        <v>38.659529999999997</v>
      </c>
      <c r="AF131" s="50" t="e">
        <f t="shared" si="692"/>
        <v>#REF!</v>
      </c>
      <c r="AG131" s="890" t="e">
        <f t="shared" si="910"/>
        <v>#REF!</v>
      </c>
      <c r="AH131" s="207" t="s">
        <v>321</v>
      </c>
      <c r="AI131" s="240">
        <f t="shared" si="693"/>
        <v>3.3928250969085271E-3</v>
      </c>
      <c r="AJ131" s="11">
        <f t="shared" si="595"/>
        <v>4</v>
      </c>
      <c r="AK131" s="11"/>
      <c r="AL131" s="11"/>
      <c r="AM131" s="11"/>
      <c r="AN131" s="11"/>
      <c r="AO131" s="11"/>
      <c r="AP131" s="11"/>
      <c r="AQ131" s="11" t="str">
        <f>'Update Stock Prices'!Q131</f>
        <v>micro</v>
      </c>
      <c r="AR131" s="11"/>
      <c r="AS131" s="11"/>
      <c r="AT131" s="19"/>
      <c r="AU131" s="185" t="e">
        <f ca="1">AV128/365.25</f>
        <v>#REF!</v>
      </c>
      <c r="AV131" s="19" t="e">
        <f ca="1">AU131/24</f>
        <v>#REF!</v>
      </c>
      <c r="AW131" s="468" t="e">
        <f ca="1">AV131/60</f>
        <v>#REF!</v>
      </c>
      <c r="AX131" s="469" t="e">
        <f ca="1">AW131/60</f>
        <v>#REF!</v>
      </c>
      <c r="AY131" s="416" t="e">
        <f ca="1">SUM(AY113:AY127)</f>
        <v>#REF!</v>
      </c>
      <c r="AZ131" s="1436"/>
      <c r="BA131" s="653" t="s">
        <v>1295</v>
      </c>
      <c r="BB131" s="650">
        <f>BB129*26</f>
        <v>73566.689664000005</v>
      </c>
      <c r="BC131" s="628"/>
      <c r="BD131" s="74"/>
      <c r="BF131" s="74"/>
      <c r="BG131" s="236"/>
      <c r="BI131" s="219">
        <v>42155</v>
      </c>
      <c r="BJ131" s="482"/>
      <c r="BK131" s="20">
        <v>102932</v>
      </c>
      <c r="BL131" s="233">
        <f t="shared" si="957"/>
        <v>3.0298783844652455E-2</v>
      </c>
      <c r="BM131" s="240">
        <f t="shared" si="954"/>
        <v>2.0544079196854481</v>
      </c>
      <c r="BN131" s="20">
        <f t="shared" si="955"/>
        <v>281.81245722108144</v>
      </c>
      <c r="BO131" s="1432" t="str">
        <f t="shared" si="956"/>
        <v>doubled!</v>
      </c>
      <c r="BS131" s="420" t="str">
        <f t="shared" si="715"/>
        <v>WHLR</v>
      </c>
      <c r="BT131" s="425">
        <f t="shared" si="716"/>
        <v>22.7409</v>
      </c>
      <c r="BU131" s="19">
        <f t="shared" si="717"/>
        <v>1.7</v>
      </c>
      <c r="BV131" s="19">
        <f t="shared" si="718"/>
        <v>38.659529999999997</v>
      </c>
      <c r="BW131" s="539">
        <f t="shared" si="719"/>
        <v>0.21000000000000002</v>
      </c>
      <c r="BX131" s="19">
        <f t="shared" si="720"/>
        <v>4.7755890000000001</v>
      </c>
      <c r="BY131" s="10">
        <f t="shared" si="721"/>
        <v>2.8091699999999999</v>
      </c>
      <c r="BZ131" s="10">
        <f t="shared" si="722"/>
        <v>25.550069999999998</v>
      </c>
      <c r="CA131" s="539">
        <f t="shared" si="723"/>
        <v>43.435118999999993</v>
      </c>
      <c r="CB131" s="19">
        <f t="shared" si="724"/>
        <v>5.3655147000000003</v>
      </c>
      <c r="CC131" s="10">
        <f t="shared" si="725"/>
        <v>3.156185117647059</v>
      </c>
      <c r="CD131" s="10">
        <f t="shared" si="726"/>
        <v>28.706255117647057</v>
      </c>
      <c r="CE131" s="539">
        <f t="shared" si="727"/>
        <v>48.800633699999999</v>
      </c>
      <c r="CF131" s="19">
        <f t="shared" si="728"/>
        <v>6.0283135747058827</v>
      </c>
      <c r="CG131" s="10">
        <f t="shared" si="729"/>
        <v>3.5460668086505192</v>
      </c>
      <c r="CH131" s="10">
        <f t="shared" si="730"/>
        <v>32.252321926297576</v>
      </c>
      <c r="CI131" s="539">
        <f t="shared" si="731"/>
        <v>54.828947274705875</v>
      </c>
      <c r="CJ131" s="19">
        <f t="shared" si="732"/>
        <v>6.7729876045224913</v>
      </c>
      <c r="CK131" s="10">
        <f t="shared" si="733"/>
        <v>3.9841103556014654</v>
      </c>
      <c r="CL131" s="10">
        <f t="shared" si="734"/>
        <v>36.236432281899042</v>
      </c>
      <c r="CM131" s="539">
        <f t="shared" si="735"/>
        <v>61.601934879228367</v>
      </c>
      <c r="CN131" s="19">
        <f t="shared" si="736"/>
        <v>7.6096507791987991</v>
      </c>
      <c r="CO131" s="10">
        <f t="shared" si="737"/>
        <v>4.4762651642345874</v>
      </c>
      <c r="CP131" s="10">
        <f t="shared" si="738"/>
        <v>40.712697446133632</v>
      </c>
      <c r="CQ131" s="539">
        <f t="shared" si="739"/>
        <v>69.211585658427168</v>
      </c>
      <c r="CR131" s="19">
        <f t="shared" si="740"/>
        <v>8.5496664636880642</v>
      </c>
      <c r="CS131" s="10">
        <f t="shared" si="741"/>
        <v>5.0292155668753322</v>
      </c>
      <c r="CT131" s="10">
        <f t="shared" si="742"/>
        <v>45.741913013008961</v>
      </c>
      <c r="CU131" s="539">
        <f t="shared" si="743"/>
        <v>77.761252122115238</v>
      </c>
      <c r="CV131" s="19">
        <f t="shared" si="744"/>
        <v>9.6058017327318836</v>
      </c>
      <c r="CW131" s="10">
        <f t="shared" si="745"/>
        <v>5.6504716074893437</v>
      </c>
      <c r="CX131" s="10">
        <f t="shared" si="746"/>
        <v>51.392384620498305</v>
      </c>
      <c r="CY131" s="539">
        <f t="shared" si="747"/>
        <v>87.367053854847114</v>
      </c>
      <c r="CZ131" s="19">
        <f t="shared" si="748"/>
        <v>10.792400770304646</v>
      </c>
      <c r="DA131" s="10">
        <f t="shared" si="749"/>
        <v>6.3484710413556744</v>
      </c>
      <c r="DB131" s="10">
        <f t="shared" si="750"/>
        <v>57.740855661853978</v>
      </c>
      <c r="DC131" s="539">
        <f t="shared" si="751"/>
        <v>98.159454625151753</v>
      </c>
      <c r="DD131" s="19">
        <f t="shared" si="752"/>
        <v>12.125579688989337</v>
      </c>
      <c r="DE131" s="10">
        <f t="shared" si="753"/>
        <v>7.1326939346996099</v>
      </c>
      <c r="DF131" s="10">
        <f t="shared" si="754"/>
        <v>64.873549596553588</v>
      </c>
      <c r="DG131" s="539">
        <f t="shared" si="755"/>
        <v>110.2850343141411</v>
      </c>
      <c r="DH131" s="19">
        <f t="shared" si="756"/>
        <v>13.623445415276255</v>
      </c>
      <c r="DI131" s="10">
        <f t="shared" si="757"/>
        <v>8.0137914207507386</v>
      </c>
      <c r="DJ131" s="10">
        <f t="shared" si="758"/>
        <v>72.887341017304323</v>
      </c>
      <c r="DK131" s="539">
        <f t="shared" si="759"/>
        <v>123.90847972941735</v>
      </c>
      <c r="DL131" s="19">
        <f t="shared" si="760"/>
        <v>15.30634161363391</v>
      </c>
      <c r="DM131" s="10">
        <f t="shared" si="761"/>
        <v>9.0037303609611232</v>
      </c>
      <c r="DN131" s="10">
        <f t="shared" si="762"/>
        <v>81.891071378265451</v>
      </c>
      <c r="DO131" s="539">
        <f t="shared" si="763"/>
        <v>139.21482134305126</v>
      </c>
      <c r="DP131" s="19">
        <f t="shared" si="764"/>
        <v>17.197124989435746</v>
      </c>
      <c r="DQ131" s="10">
        <f t="shared" si="765"/>
        <v>10.115955876138674</v>
      </c>
      <c r="DR131" s="10">
        <f t="shared" si="766"/>
        <v>92.007027254404122</v>
      </c>
      <c r="DS131" s="539">
        <f t="shared" si="767"/>
        <v>156.41194633248699</v>
      </c>
      <c r="DT131" s="19">
        <f t="shared" si="768"/>
        <v>19.321475723424868</v>
      </c>
      <c r="DU131" s="10">
        <f t="shared" si="769"/>
        <v>11.365573954955805</v>
      </c>
      <c r="DV131" s="10">
        <f t="shared" si="770"/>
        <v>103.37260120935993</v>
      </c>
      <c r="DW131" s="539">
        <f t="shared" si="771"/>
        <v>175.73342205591186</v>
      </c>
      <c r="DX131" s="19">
        <f t="shared" si="772"/>
        <v>21.708246253965587</v>
      </c>
      <c r="DY131" s="10">
        <f t="shared" si="773"/>
        <v>12.769556619979758</v>
      </c>
      <c r="DZ131" s="10">
        <f t="shared" si="774"/>
        <v>116.14215782933968</v>
      </c>
      <c r="EA131" s="539">
        <f t="shared" si="775"/>
        <v>197.44166830987746</v>
      </c>
      <c r="EB131" s="19">
        <f t="shared" si="776"/>
        <v>24.389853144161336</v>
      </c>
      <c r="EC131" s="10">
        <f t="shared" si="777"/>
        <v>14.346972437741963</v>
      </c>
      <c r="ED131" s="10">
        <f t="shared" si="778"/>
        <v>130.48913026708163</v>
      </c>
      <c r="EE131" s="539">
        <f t="shared" si="779"/>
        <v>221.83152145403878</v>
      </c>
      <c r="EF131" s="19">
        <f t="shared" si="780"/>
        <v>27.402717356087145</v>
      </c>
      <c r="EG131" s="10">
        <f t="shared" si="781"/>
        <v>16.119245503580675</v>
      </c>
      <c r="EH131" s="10">
        <f t="shared" si="782"/>
        <v>146.60837577066232</v>
      </c>
      <c r="EI131" s="539">
        <f t="shared" si="783"/>
        <v>249.23423881012593</v>
      </c>
      <c r="EJ131" s="19">
        <f t="shared" si="784"/>
        <v>30.787758911839092</v>
      </c>
      <c r="EK131" s="10">
        <f t="shared" si="785"/>
        <v>18.110446418728877</v>
      </c>
      <c r="EL131" s="10">
        <f t="shared" si="786"/>
        <v>164.7188221893912</v>
      </c>
      <c r="EM131" s="539">
        <f t="shared" si="787"/>
        <v>280.02199772196502</v>
      </c>
      <c r="EN131" s="19">
        <f t="shared" si="788"/>
        <v>34.590952659772157</v>
      </c>
      <c r="EO131" s="10">
        <f t="shared" si="789"/>
        <v>20.347619211630683</v>
      </c>
      <c r="EP131" s="10">
        <f t="shared" si="790"/>
        <v>185.06644140102188</v>
      </c>
      <c r="EQ131" s="539">
        <f t="shared" si="791"/>
        <v>314.61295038173716</v>
      </c>
      <c r="ER131" s="19">
        <f t="shared" si="792"/>
        <v>38.863952694214596</v>
      </c>
      <c r="ES131" s="10">
        <f t="shared" si="793"/>
        <v>22.861148643655646</v>
      </c>
      <c r="ET131" s="10">
        <f t="shared" si="794"/>
        <v>207.92759004467752</v>
      </c>
      <c r="EU131" s="539">
        <f t="shared" si="795"/>
        <v>353.47690307595178</v>
      </c>
      <c r="EV131" s="19">
        <f t="shared" si="796"/>
        <v>43.664793909382283</v>
      </c>
      <c r="EW131" s="10">
        <f t="shared" si="797"/>
        <v>25.685172887871932</v>
      </c>
      <c r="EX131" s="10">
        <f t="shared" si="798"/>
        <v>233.61276293254946</v>
      </c>
      <c r="EY131" s="539">
        <f t="shared" si="799"/>
        <v>397.14169698533408</v>
      </c>
      <c r="EZ131" s="19">
        <f t="shared" si="800"/>
        <v>49.058680215835388</v>
      </c>
      <c r="FA131" s="10">
        <f t="shared" si="801"/>
        <v>28.858047185785523</v>
      </c>
      <c r="FB131" s="10">
        <f t="shared" si="802"/>
        <v>262.47081011833495</v>
      </c>
      <c r="FC131" s="539">
        <f t="shared" si="803"/>
        <v>446.20037720116943</v>
      </c>
      <c r="FD131" s="19">
        <f t="shared" si="804"/>
        <v>55.118870124850346</v>
      </c>
      <c r="FE131" s="10">
        <f t="shared" si="805"/>
        <v>32.422864779323731</v>
      </c>
      <c r="FF131" s="10">
        <f t="shared" si="806"/>
        <v>294.89367489765868</v>
      </c>
      <c r="FG131" s="539">
        <f t="shared" si="807"/>
        <v>501.31924732601976</v>
      </c>
      <c r="FH131" s="19">
        <f t="shared" si="808"/>
        <v>61.927671728508329</v>
      </c>
      <c r="FI131" s="10">
        <f t="shared" si="809"/>
        <v>36.428042193240195</v>
      </c>
      <c r="FJ131" s="10">
        <f t="shared" si="810"/>
        <v>331.32171709089886</v>
      </c>
      <c r="FK131" s="539">
        <f t="shared" si="811"/>
        <v>563.24691905452801</v>
      </c>
      <c r="FL131" s="19">
        <f t="shared" si="812"/>
        <v>69.577560589088762</v>
      </c>
      <c r="FM131" s="10">
        <f t="shared" si="813"/>
        <v>40.927976817111038</v>
      </c>
      <c r="FN131" s="10">
        <f t="shared" si="814"/>
        <v>372.24969390800987</v>
      </c>
      <c r="FO131" s="539">
        <f t="shared" si="815"/>
        <v>632.82447964361677</v>
      </c>
      <c r="FP131" s="19">
        <f t="shared" si="816"/>
        <v>78.172435720682074</v>
      </c>
      <c r="FQ131" s="10">
        <f t="shared" si="817"/>
        <v>45.983785718048281</v>
      </c>
      <c r="FR131" s="10">
        <f t="shared" si="818"/>
        <v>418.23347962605817</v>
      </c>
      <c r="FS131" s="539">
        <f t="shared" si="819"/>
        <v>710.99691536429884</v>
      </c>
      <c r="FT131" s="19">
        <f t="shared" si="820"/>
        <v>87.829030721472222</v>
      </c>
      <c r="FU131" s="10">
        <f t="shared" si="821"/>
        <v>51.664135718513073</v>
      </c>
      <c r="FV131" s="10">
        <f t="shared" si="822"/>
        <v>469.89761534457125</v>
      </c>
      <c r="FW131" s="539">
        <f t="shared" si="823"/>
        <v>798.82594608577108</v>
      </c>
      <c r="FX131" s="19">
        <f t="shared" si="824"/>
        <v>98.678499222359974</v>
      </c>
      <c r="FY131" s="10">
        <f t="shared" si="825"/>
        <v>58.04617601315293</v>
      </c>
      <c r="FZ131" s="10">
        <f t="shared" si="826"/>
        <v>527.94379135772419</v>
      </c>
      <c r="GA131" s="539">
        <f t="shared" si="827"/>
        <v>897.50444530813115</v>
      </c>
      <c r="GB131" s="19">
        <f t="shared" si="828"/>
        <v>110.86819618512209</v>
      </c>
      <c r="GC131" s="10">
        <f t="shared" si="829"/>
        <v>65.216585991248294</v>
      </c>
      <c r="GD131" s="10">
        <f t="shared" si="830"/>
        <v>593.16037734897247</v>
      </c>
      <c r="GE131" s="539">
        <f t="shared" si="831"/>
        <v>1008.3726414932531</v>
      </c>
      <c r="GF131" s="19">
        <f t="shared" si="832"/>
        <v>124.56367924328423</v>
      </c>
      <c r="GG131" s="10">
        <f t="shared" si="833"/>
        <v>73.272752496049549</v>
      </c>
      <c r="GH131" s="10">
        <f t="shared" si="834"/>
        <v>666.43312984502199</v>
      </c>
      <c r="GI131" s="539">
        <f t="shared" si="835"/>
        <v>1132.9363207365373</v>
      </c>
      <c r="GJ131" s="19">
        <f t="shared" si="836"/>
        <v>139.95095726745464</v>
      </c>
      <c r="GK131" s="10">
        <f t="shared" si="837"/>
        <v>82.324092510267434</v>
      </c>
      <c r="GL131" s="10">
        <f t="shared" si="838"/>
        <v>748.7572223552894</v>
      </c>
      <c r="GM131" s="539">
        <f t="shared" si="839"/>
        <v>1272.8872780039919</v>
      </c>
      <c r="GN131" s="19">
        <f t="shared" si="840"/>
        <v>157.2390166946108</v>
      </c>
      <c r="GO131" s="10">
        <f t="shared" si="841"/>
        <v>92.493539232124007</v>
      </c>
      <c r="GP131" s="10">
        <f t="shared" si="842"/>
        <v>841.25076158741342</v>
      </c>
      <c r="GQ131" s="539">
        <f t="shared" si="843"/>
        <v>1430.1262946986028</v>
      </c>
      <c r="GR131" s="19">
        <f t="shared" si="844"/>
        <v>176.66265993335685</v>
      </c>
      <c r="GS131" s="10">
        <f t="shared" si="845"/>
        <v>103.91921172550403</v>
      </c>
      <c r="GT131" s="10">
        <f t="shared" si="846"/>
        <v>945.16997331291748</v>
      </c>
      <c r="GU131" s="539">
        <f t="shared" si="847"/>
        <v>1606.7889546319598</v>
      </c>
      <c r="GV131" s="19">
        <f t="shared" si="848"/>
        <v>198.4856943957127</v>
      </c>
      <c r="GW131" s="10">
        <f t="shared" si="849"/>
        <v>116.75629082100747</v>
      </c>
      <c r="GX131" s="10">
        <f t="shared" si="850"/>
        <v>1061.9262641339249</v>
      </c>
      <c r="GY131" s="539">
        <f t="shared" si="851"/>
        <v>1805.2746490276722</v>
      </c>
      <c r="GZ131" s="19">
        <f t="shared" si="852"/>
        <v>223.00451546812425</v>
      </c>
      <c r="HA131" s="10">
        <f t="shared" si="853"/>
        <v>131.17912674595544</v>
      </c>
      <c r="HB131" s="10">
        <f t="shared" si="854"/>
        <v>1193.1053908798804</v>
      </c>
      <c r="HC131" s="539">
        <f t="shared" si="855"/>
        <v>2028.2791644957965</v>
      </c>
      <c r="HD131" s="19">
        <f t="shared" si="856"/>
        <v>250.55213208477491</v>
      </c>
      <c r="HE131" s="10">
        <f t="shared" si="857"/>
        <v>147.38360710869114</v>
      </c>
      <c r="HF131" s="10">
        <f t="shared" si="858"/>
        <v>1340.4889979885716</v>
      </c>
      <c r="HG131" s="539">
        <f t="shared" si="859"/>
        <v>2278.8312965805717</v>
      </c>
      <c r="HH131" s="19">
        <f t="shared" si="860"/>
        <v>281.50268957760005</v>
      </c>
      <c r="HI131" s="10">
        <f t="shared" si="861"/>
        <v>165.58981739858828</v>
      </c>
      <c r="HJ131" s="10">
        <f t="shared" si="862"/>
        <v>1506.0788153871599</v>
      </c>
      <c r="HK131" s="539">
        <f t="shared" si="863"/>
        <v>2560.3339861581717</v>
      </c>
      <c r="HL131" s="19">
        <f t="shared" si="864"/>
        <v>316.27655123130359</v>
      </c>
      <c r="HM131" s="10">
        <f t="shared" si="865"/>
        <v>186.04503013606094</v>
      </c>
      <c r="HN131" s="10">
        <f t="shared" si="866"/>
        <v>1692.1238455232208</v>
      </c>
      <c r="HO131" s="539">
        <f t="shared" si="867"/>
        <v>2876.6105373894752</v>
      </c>
      <c r="HP131" s="19">
        <f t="shared" si="868"/>
        <v>355.3460075598764</v>
      </c>
      <c r="HQ131" s="10">
        <f t="shared" si="869"/>
        <v>209.02706327051553</v>
      </c>
      <c r="HR131" s="10">
        <f t="shared" si="870"/>
        <v>1901.1509087937363</v>
      </c>
      <c r="HS131" s="539">
        <f t="shared" si="871"/>
        <v>3231.9565449493516</v>
      </c>
      <c r="HT131" s="19">
        <f t="shared" si="872"/>
        <v>399.24169084668466</v>
      </c>
      <c r="HU131" s="10">
        <f t="shared" si="873"/>
        <v>234.84805343922628</v>
      </c>
      <c r="HV131" s="10">
        <f t="shared" si="874"/>
        <v>2135.9989622329626</v>
      </c>
      <c r="HW131" s="539">
        <f t="shared" si="875"/>
        <v>3631.1982357960364</v>
      </c>
      <c r="HX131" s="19">
        <f t="shared" si="876"/>
        <v>448.55978206892217</v>
      </c>
      <c r="HY131" s="10">
        <f t="shared" si="877"/>
        <v>263.85869533466013</v>
      </c>
      <c r="HZ131" s="10">
        <f t="shared" si="878"/>
        <v>2399.8576575676229</v>
      </c>
      <c r="IA131" s="539">
        <f t="shared" si="879"/>
        <v>4079.7580178649587</v>
      </c>
      <c r="IB131" s="19">
        <f t="shared" si="880"/>
        <v>503.97010808920089</v>
      </c>
      <c r="IM131" s="11"/>
      <c r="IN131" s="19"/>
      <c r="IO131" s="20"/>
      <c r="IP131" s="10"/>
    </row>
    <row r="132" spans="1:261">
      <c r="A132" s="11"/>
      <c r="B132" s="20"/>
      <c r="C132" s="826" t="s">
        <v>2344</v>
      </c>
      <c r="D132" s="47" t="s">
        <v>619</v>
      </c>
      <c r="E132" s="396">
        <f t="shared" si="931"/>
        <v>5.0517000000000003</v>
      </c>
      <c r="F132" s="242">
        <v>1.0517000000000001</v>
      </c>
      <c r="G132" s="48">
        <f>'Update Stock Prices'!S132</f>
        <v>442067480.25843501</v>
      </c>
      <c r="H132" s="991">
        <f t="shared" si="610"/>
        <v>2.3790485547255603E-9</v>
      </c>
      <c r="I132" s="49">
        <f>'Update Stock Prices'!D132</f>
        <v>69.650000000000006</v>
      </c>
      <c r="J132" s="49">
        <f t="shared" ref="J132:J146" si="1039">F132*I132</f>
        <v>73.250905000000017</v>
      </c>
      <c r="K132" s="30">
        <v>47.37</v>
      </c>
      <c r="L132" s="49">
        <f t="shared" si="611"/>
        <v>25.88090500000002</v>
      </c>
      <c r="M132" s="50">
        <f t="shared" si="613"/>
        <v>0.54635644922947058</v>
      </c>
      <c r="N132" s="49">
        <f t="shared" si="612"/>
        <v>45.041361605020434</v>
      </c>
      <c r="O132" s="48">
        <f t="shared" si="932"/>
        <v>4</v>
      </c>
      <c r="P132" s="49">
        <f t="shared" si="933"/>
        <v>42.409999999999968</v>
      </c>
      <c r="Q132" s="30">
        <f>0.425*4</f>
        <v>1.7</v>
      </c>
      <c r="R132" s="49">
        <f>S132/365.25</f>
        <v>4.8949760438056125E-3</v>
      </c>
      <c r="S132" s="49">
        <f t="shared" si="935"/>
        <v>1.78789</v>
      </c>
      <c r="T132" s="49">
        <f>S132/12</f>
        <v>0.14899083333333332</v>
      </c>
      <c r="U132" s="49" t="s">
        <v>54</v>
      </c>
      <c r="V132" s="50">
        <f t="shared" si="937"/>
        <v>2.4407753050969129E-2</v>
      </c>
      <c r="W132" s="50">
        <f t="shared" si="575"/>
        <v>3.7743086341566395E-2</v>
      </c>
      <c r="X132" s="49">
        <f t="shared" si="938"/>
        <v>6.8</v>
      </c>
      <c r="Y132" s="49">
        <f t="shared" si="654"/>
        <v>0.44697249999999999</v>
      </c>
      <c r="Z132" s="860">
        <f t="shared" si="939"/>
        <v>0</v>
      </c>
      <c r="AA132" s="860">
        <f t="shared" si="940"/>
        <v>162.83065294117648</v>
      </c>
      <c r="AB132" s="49">
        <f t="shared" si="941"/>
        <v>11341.154977352942</v>
      </c>
      <c r="AC132" s="48">
        <v>1</v>
      </c>
      <c r="AD132" s="47" t="str">
        <f t="shared" si="942"/>
        <v>WM</v>
      </c>
      <c r="AE132" s="49">
        <f t="shared" si="943"/>
        <v>73.250905000000017</v>
      </c>
      <c r="AF132" s="50" t="e">
        <f t="shared" ref="AF132:AF174" si="1040">(AE132/$AE$191)</f>
        <v>#REF!</v>
      </c>
      <c r="AG132" s="890" t="e">
        <f t="shared" si="910"/>
        <v>#REF!</v>
      </c>
      <c r="AH132" s="207" t="s">
        <v>618</v>
      </c>
      <c r="AI132" s="240">
        <f t="shared" ref="AI132:AI146" si="1041">(100*(AE132/$AI$147))^2</f>
        <v>1.2180758187684751E-2</v>
      </c>
      <c r="AJ132" s="11">
        <f t="shared" si="595"/>
        <v>2</v>
      </c>
      <c r="AK132" s="11"/>
      <c r="AL132" s="11"/>
      <c r="AM132" s="11"/>
      <c r="AN132" s="11"/>
      <c r="AO132" s="11"/>
      <c r="AP132" s="11"/>
      <c r="AQ132" s="11" t="str">
        <f>'Update Stock Prices'!Q132</f>
        <v>big</v>
      </c>
      <c r="AR132" s="11"/>
      <c r="AS132" s="11"/>
      <c r="AT132" s="19"/>
      <c r="AU132" s="224"/>
      <c r="AV132" s="65"/>
      <c r="AW132" s="20"/>
      <c r="AY132" s="186" t="e">
        <f ca="1">AY131*365.25</f>
        <v>#REF!</v>
      </c>
      <c r="AZ132" s="236"/>
      <c r="BA132" s="224"/>
      <c r="BB132" s="512"/>
      <c r="BD132" s="74"/>
      <c r="BE132" s="19"/>
      <c r="BF132" s="885"/>
      <c r="BG132" s="227"/>
      <c r="BH132" s="11"/>
      <c r="BI132" s="219">
        <v>42370</v>
      </c>
      <c r="BJ132" s="482"/>
      <c r="BK132" s="20">
        <v>104433</v>
      </c>
      <c r="BL132" s="233">
        <f t="shared" si="957"/>
        <v>1.4582442777756111E-2</v>
      </c>
      <c r="BM132" s="240">
        <f t="shared" si="954"/>
        <v>2.0843662056164303</v>
      </c>
      <c r="BN132" s="20">
        <f t="shared" si="955"/>
        <v>285.92197125256672</v>
      </c>
      <c r="BO132" s="1432" t="str">
        <f t="shared" si="956"/>
        <v>doubled!</v>
      </c>
      <c r="BS132" s="420" t="str">
        <f t="shared" si="715"/>
        <v>WM</v>
      </c>
      <c r="BT132" s="425">
        <f t="shared" si="716"/>
        <v>1.0517000000000001</v>
      </c>
      <c r="BU132" s="19">
        <f t="shared" si="717"/>
        <v>69.650000000000006</v>
      </c>
      <c r="BV132" s="19">
        <f t="shared" si="718"/>
        <v>73.250905000000017</v>
      </c>
      <c r="BW132" s="539">
        <f t="shared" si="719"/>
        <v>1.7</v>
      </c>
      <c r="BX132" s="19">
        <f t="shared" si="720"/>
        <v>1.78789</v>
      </c>
      <c r="BY132" s="10">
        <f t="shared" si="721"/>
        <v>2.5669633883704232E-2</v>
      </c>
      <c r="BZ132" s="10">
        <f t="shared" si="722"/>
        <v>1.0773696338837042</v>
      </c>
      <c r="CA132" s="539">
        <f t="shared" si="723"/>
        <v>75.038795000000007</v>
      </c>
      <c r="CB132" s="19">
        <f t="shared" si="724"/>
        <v>1.831528377602297</v>
      </c>
      <c r="CC132" s="10">
        <f t="shared" si="725"/>
        <v>2.6296171968446472E-2</v>
      </c>
      <c r="CD132" s="10">
        <f t="shared" si="726"/>
        <v>1.1036658058521507</v>
      </c>
      <c r="CE132" s="539">
        <f t="shared" si="727"/>
        <v>76.870323377602304</v>
      </c>
      <c r="CF132" s="19">
        <f t="shared" si="728"/>
        <v>1.8762318699486562</v>
      </c>
      <c r="CG132" s="10">
        <f t="shared" si="729"/>
        <v>2.6938002440038133E-2</v>
      </c>
      <c r="CH132" s="10">
        <f t="shared" si="730"/>
        <v>1.1306038082921888</v>
      </c>
      <c r="CI132" s="539">
        <f t="shared" si="731"/>
        <v>78.746555247550958</v>
      </c>
      <c r="CJ132" s="19">
        <f t="shared" si="732"/>
        <v>1.9220264740967208</v>
      </c>
      <c r="CK132" s="10">
        <f t="shared" si="733"/>
        <v>2.7595498551280986E-2</v>
      </c>
      <c r="CL132" s="10">
        <f t="shared" si="734"/>
        <v>1.1581993068434697</v>
      </c>
      <c r="CM132" s="539">
        <f t="shared" si="735"/>
        <v>80.668581721647669</v>
      </c>
      <c r="CN132" s="19">
        <f t="shared" si="736"/>
        <v>1.9689388216338986</v>
      </c>
      <c r="CO132" s="10">
        <f t="shared" si="737"/>
        <v>2.8269042665239028E-2</v>
      </c>
      <c r="CP132" s="10">
        <f t="shared" si="738"/>
        <v>1.1864683495087087</v>
      </c>
      <c r="CQ132" s="539">
        <f t="shared" si="739"/>
        <v>82.637520543281568</v>
      </c>
      <c r="CR132" s="19">
        <f t="shared" si="740"/>
        <v>2.0169961941648049</v>
      </c>
      <c r="CS132" s="10">
        <f t="shared" si="741"/>
        <v>2.8959026477599493E-2</v>
      </c>
      <c r="CT132" s="10">
        <f t="shared" si="742"/>
        <v>1.2154273759863081</v>
      </c>
      <c r="CU132" s="539">
        <f t="shared" si="743"/>
        <v>84.654516737446372</v>
      </c>
      <c r="CV132" s="19">
        <f t="shared" si="744"/>
        <v>2.0662265391767236</v>
      </c>
      <c r="CW132" s="10">
        <f t="shared" si="745"/>
        <v>2.9665851244461212E-2</v>
      </c>
      <c r="CX132" s="10">
        <f t="shared" si="746"/>
        <v>1.2450932272307693</v>
      </c>
      <c r="CY132" s="539">
        <f t="shared" si="747"/>
        <v>86.720743276623097</v>
      </c>
      <c r="CZ132" s="19">
        <f t="shared" si="748"/>
        <v>2.1166584862923079</v>
      </c>
      <c r="DA132" s="10">
        <f t="shared" si="749"/>
        <v>3.0389928015682809E-2</v>
      </c>
      <c r="DB132" s="10">
        <f t="shared" si="750"/>
        <v>1.2754831552464521</v>
      </c>
      <c r="DC132" s="539">
        <f t="shared" si="751"/>
        <v>88.837401762915391</v>
      </c>
      <c r="DD132" s="19">
        <f t="shared" si="752"/>
        <v>2.1683213639189685</v>
      </c>
      <c r="DE132" s="10">
        <f t="shared" si="753"/>
        <v>3.113167787392632E-2</v>
      </c>
      <c r="DF132" s="10">
        <f t="shared" si="754"/>
        <v>1.3066148331203784</v>
      </c>
      <c r="DG132" s="539">
        <f t="shared" si="755"/>
        <v>91.005723126834368</v>
      </c>
      <c r="DH132" s="19">
        <f t="shared" si="756"/>
        <v>2.2212452163046432</v>
      </c>
      <c r="DI132" s="10">
        <f t="shared" si="757"/>
        <v>3.1891532179535435E-2</v>
      </c>
      <c r="DJ132" s="10">
        <f t="shared" si="758"/>
        <v>1.3385063652999138</v>
      </c>
      <c r="DK132" s="539">
        <f t="shared" si="759"/>
        <v>93.226968343139006</v>
      </c>
      <c r="DL132" s="19">
        <f t="shared" si="760"/>
        <v>2.2754608210098537</v>
      </c>
      <c r="DM132" s="10">
        <f t="shared" si="761"/>
        <v>3.2669932821390572E-2</v>
      </c>
      <c r="DN132" s="10">
        <f t="shared" si="762"/>
        <v>1.3711762981213045</v>
      </c>
      <c r="DO132" s="539">
        <f t="shared" si="763"/>
        <v>95.502429164148865</v>
      </c>
      <c r="DP132" s="19">
        <f t="shared" si="764"/>
        <v>2.3309997068062174</v>
      </c>
      <c r="DQ132" s="10">
        <f t="shared" si="765"/>
        <v>3.3467332473886821E-2</v>
      </c>
      <c r="DR132" s="10">
        <f t="shared" si="766"/>
        <v>1.4046436305951913</v>
      </c>
      <c r="DS132" s="539">
        <f t="shared" si="767"/>
        <v>97.833428870955075</v>
      </c>
      <c r="DT132" s="19">
        <f t="shared" si="768"/>
        <v>2.387894172011825</v>
      </c>
      <c r="DU132" s="10">
        <f t="shared" si="769"/>
        <v>3.4284194860184129E-2</v>
      </c>
      <c r="DV132" s="10">
        <f t="shared" si="770"/>
        <v>1.4389278254553755</v>
      </c>
      <c r="DW132" s="539">
        <f t="shared" si="771"/>
        <v>100.22132304296692</v>
      </c>
      <c r="DX132" s="19">
        <f t="shared" si="772"/>
        <v>2.4461773032741383</v>
      </c>
      <c r="DY132" s="10">
        <f t="shared" si="773"/>
        <v>3.5120995021882817E-2</v>
      </c>
      <c r="DZ132" s="10">
        <f t="shared" si="774"/>
        <v>1.4740488204772584</v>
      </c>
      <c r="EA132" s="539">
        <f t="shared" si="775"/>
        <v>102.66750034624106</v>
      </c>
      <c r="EB132" s="19">
        <f t="shared" si="776"/>
        <v>2.5058829948113392</v>
      </c>
      <c r="EC132" s="10">
        <f t="shared" si="777"/>
        <v>3.5978219595281247E-2</v>
      </c>
      <c r="ED132" s="10">
        <f t="shared" si="778"/>
        <v>1.5100270400725395</v>
      </c>
      <c r="EE132" s="539">
        <f t="shared" si="779"/>
        <v>105.17338334105239</v>
      </c>
      <c r="EF132" s="19">
        <f t="shared" si="780"/>
        <v>2.5670459681233173</v>
      </c>
      <c r="EG132" s="10">
        <f t="shared" si="781"/>
        <v>3.685636709437641E-2</v>
      </c>
      <c r="EH132" s="10">
        <f t="shared" si="782"/>
        <v>1.546883407166916</v>
      </c>
      <c r="EI132" s="539">
        <f t="shared" si="783"/>
        <v>107.74042930917571</v>
      </c>
      <c r="EJ132" s="19">
        <f t="shared" si="784"/>
        <v>2.6297017921837571</v>
      </c>
      <c r="EK132" s="10">
        <f t="shared" si="785"/>
        <v>3.7755948200771813E-2</v>
      </c>
      <c r="EL132" s="10">
        <f t="shared" si="786"/>
        <v>1.5846393553676879</v>
      </c>
      <c r="EM132" s="539">
        <f t="shared" si="787"/>
        <v>110.37013110135946</v>
      </c>
      <c r="EN132" s="19">
        <f t="shared" si="788"/>
        <v>2.6938869041250695</v>
      </c>
      <c r="EO132" s="10">
        <f t="shared" si="789"/>
        <v>3.8677486060661438E-2</v>
      </c>
      <c r="EP132" s="10">
        <f t="shared" si="790"/>
        <v>1.6233168414283492</v>
      </c>
      <c r="EQ132" s="539">
        <f t="shared" si="791"/>
        <v>113.06401800548453</v>
      </c>
      <c r="ER132" s="19">
        <f t="shared" si="792"/>
        <v>2.7596386304281935</v>
      </c>
      <c r="ES132" s="10">
        <f t="shared" si="793"/>
        <v>3.9621516589062357E-2</v>
      </c>
      <c r="ET132" s="10">
        <f t="shared" si="794"/>
        <v>1.6629383580174115</v>
      </c>
      <c r="EU132" s="539">
        <f t="shared" si="795"/>
        <v>115.82365663591273</v>
      </c>
      <c r="EV132" s="19">
        <f t="shared" si="796"/>
        <v>2.8269952086295995</v>
      </c>
      <c r="EW132" s="10">
        <f t="shared" si="797"/>
        <v>4.0588588781473069E-2</v>
      </c>
      <c r="EX132" s="10">
        <f t="shared" si="798"/>
        <v>1.7035269467988845</v>
      </c>
      <c r="EY132" s="539">
        <f t="shared" si="799"/>
        <v>118.65065184454231</v>
      </c>
      <c r="EZ132" s="19">
        <f t="shared" si="800"/>
        <v>2.8959958095581038</v>
      </c>
      <c r="FA132" s="10">
        <f t="shared" si="801"/>
        <v>4.15792650331386E-2</v>
      </c>
      <c r="FB132" s="10">
        <f t="shared" si="802"/>
        <v>1.7451062118320231</v>
      </c>
      <c r="FC132" s="539">
        <f t="shared" si="803"/>
        <v>121.54664765410041</v>
      </c>
      <c r="FD132" s="19">
        <f t="shared" si="804"/>
        <v>2.966680560114439</v>
      </c>
      <c r="FE132" s="10">
        <f t="shared" si="805"/>
        <v>4.2594121466108241E-2</v>
      </c>
      <c r="FF132" s="10">
        <f t="shared" si="806"/>
        <v>1.7877003332981314</v>
      </c>
      <c r="FG132" s="539">
        <f t="shared" si="807"/>
        <v>124.51332821421487</v>
      </c>
      <c r="FH132" s="19">
        <f t="shared" si="808"/>
        <v>3.0390905666068231</v>
      </c>
      <c r="FI132" s="10">
        <f t="shared" si="809"/>
        <v>4.363374826427599E-2</v>
      </c>
      <c r="FJ132" s="10">
        <f t="shared" si="810"/>
        <v>1.8313340815624073</v>
      </c>
      <c r="FK132" s="539">
        <f t="shared" si="811"/>
        <v>127.55241878082168</v>
      </c>
      <c r="FL132" s="19">
        <f t="shared" si="812"/>
        <v>3.1132679386560924</v>
      </c>
      <c r="FM132" s="10">
        <f t="shared" si="813"/>
        <v>4.4698750016598593E-2</v>
      </c>
      <c r="FN132" s="10">
        <f t="shared" si="814"/>
        <v>1.8760328315790058</v>
      </c>
      <c r="FO132" s="539">
        <f t="shared" si="815"/>
        <v>130.66568671947778</v>
      </c>
      <c r="FP132" s="19">
        <f t="shared" si="816"/>
        <v>3.1892558136843099</v>
      </c>
      <c r="FQ132" s="10">
        <f t="shared" si="817"/>
        <v>4.5789746068690733E-2</v>
      </c>
      <c r="FR132" s="10">
        <f t="shared" si="818"/>
        <v>1.9218225776476965</v>
      </c>
      <c r="FS132" s="539">
        <f t="shared" si="819"/>
        <v>133.85494253316207</v>
      </c>
      <c r="FT132" s="19">
        <f t="shared" si="820"/>
        <v>3.2670983820010839</v>
      </c>
      <c r="FU132" s="10">
        <f t="shared" si="821"/>
        <v>4.6907370883001918E-2</v>
      </c>
      <c r="FV132" s="10">
        <f t="shared" si="822"/>
        <v>1.9687299485306984</v>
      </c>
      <c r="FW132" s="539">
        <f t="shared" si="823"/>
        <v>137.12204091516315</v>
      </c>
      <c r="FX132" s="19">
        <f t="shared" si="824"/>
        <v>3.346840912502187</v>
      </c>
      <c r="FY132" s="10">
        <f t="shared" si="825"/>
        <v>4.8052274407784444E-2</v>
      </c>
      <c r="FZ132" s="10">
        <f t="shared" si="826"/>
        <v>2.0167822229384829</v>
      </c>
      <c r="GA132" s="539">
        <f t="shared" si="827"/>
        <v>140.46888182766534</v>
      </c>
      <c r="GB132" s="19">
        <f t="shared" si="828"/>
        <v>3.4285297789954208</v>
      </c>
      <c r="GC132" s="10">
        <f t="shared" si="829"/>
        <v>4.9225122455067057E-2</v>
      </c>
      <c r="GD132" s="10">
        <f t="shared" si="830"/>
        <v>2.0660073453935501</v>
      </c>
      <c r="GE132" s="539">
        <f t="shared" si="831"/>
        <v>143.89741160666077</v>
      </c>
      <c r="GF132" s="19">
        <f t="shared" si="832"/>
        <v>3.5122124871690352</v>
      </c>
      <c r="GG132" s="10">
        <f t="shared" si="833"/>
        <v>5.0426597087854054E-2</v>
      </c>
      <c r="GH132" s="10">
        <f t="shared" si="834"/>
        <v>2.1164339424814043</v>
      </c>
      <c r="GI132" s="539">
        <f t="shared" si="835"/>
        <v>147.40962409382982</v>
      </c>
      <c r="GJ132" s="19">
        <f t="shared" si="836"/>
        <v>3.5979377022183869</v>
      </c>
      <c r="GK132" s="10">
        <f t="shared" si="837"/>
        <v>5.1657397016775117E-2</v>
      </c>
      <c r="GL132" s="10">
        <f t="shared" si="838"/>
        <v>2.1680913394981793</v>
      </c>
      <c r="GM132" s="539">
        <f t="shared" si="839"/>
        <v>151.00756179604821</v>
      </c>
      <c r="GN132" s="19">
        <f t="shared" si="840"/>
        <v>3.6857552771469049</v>
      </c>
      <c r="GO132" s="10">
        <f t="shared" si="841"/>
        <v>5.2918238006416436E-2</v>
      </c>
      <c r="GP132" s="10">
        <f t="shared" si="842"/>
        <v>2.2210095775045957</v>
      </c>
      <c r="GQ132" s="539">
        <f t="shared" si="843"/>
        <v>154.69331707319512</v>
      </c>
      <c r="GR132" s="19">
        <f t="shared" si="844"/>
        <v>3.7757162817578127</v>
      </c>
      <c r="GS132" s="10">
        <f t="shared" si="845"/>
        <v>5.4209853291569451E-2</v>
      </c>
      <c r="GT132" s="10">
        <f t="shared" si="846"/>
        <v>2.2752194307961653</v>
      </c>
      <c r="GU132" s="539">
        <f t="shared" si="847"/>
        <v>158.46903335495293</v>
      </c>
      <c r="GV132" s="19">
        <f t="shared" si="848"/>
        <v>3.8678730323534807</v>
      </c>
      <c r="GW132" s="10">
        <f t="shared" si="849"/>
        <v>5.5532994003639348E-2</v>
      </c>
      <c r="GX132" s="10">
        <f t="shared" si="850"/>
        <v>2.3307524247998046</v>
      </c>
      <c r="GY132" s="539">
        <f t="shared" si="851"/>
        <v>162.33690638730641</v>
      </c>
      <c r="GZ132" s="19">
        <f t="shared" si="852"/>
        <v>3.9622791221596678</v>
      </c>
      <c r="HA132" s="10">
        <f t="shared" si="853"/>
        <v>5.6888429607461127E-2</v>
      </c>
      <c r="HB132" s="10">
        <f t="shared" si="854"/>
        <v>2.3876408544072656</v>
      </c>
      <c r="HC132" s="539">
        <f t="shared" si="855"/>
        <v>166.29918550946607</v>
      </c>
      <c r="HD132" s="19">
        <f t="shared" si="856"/>
        <v>4.0589894524923515</v>
      </c>
      <c r="HE132" s="10">
        <f t="shared" si="857"/>
        <v>5.8276948348777474E-2</v>
      </c>
      <c r="HF132" s="10">
        <f t="shared" si="858"/>
        <v>2.4459178027560431</v>
      </c>
      <c r="HG132" s="539">
        <f t="shared" si="859"/>
        <v>170.35817496195841</v>
      </c>
      <c r="HH132" s="19">
        <f t="shared" si="860"/>
        <v>4.1580602646852736</v>
      </c>
      <c r="HI132" s="10">
        <f t="shared" si="861"/>
        <v>5.9699357712638526E-2</v>
      </c>
      <c r="HJ132" s="10">
        <f t="shared" si="862"/>
        <v>2.5056171604686814</v>
      </c>
      <c r="HK132" s="539">
        <f t="shared" si="863"/>
        <v>174.51623522664369</v>
      </c>
      <c r="HL132" s="19">
        <f t="shared" si="864"/>
        <v>4.259549172796758</v>
      </c>
      <c r="HM132" s="10">
        <f t="shared" si="865"/>
        <v>6.1156484892990061E-2</v>
      </c>
      <c r="HN132" s="10">
        <f t="shared" si="866"/>
        <v>2.5667736453616716</v>
      </c>
      <c r="HO132" s="539">
        <f t="shared" si="867"/>
        <v>178.77578439944045</v>
      </c>
      <c r="HP132" s="19">
        <f t="shared" si="868"/>
        <v>4.3635151971148414</v>
      </c>
      <c r="HQ132" s="10">
        <f t="shared" si="869"/>
        <v>6.2649177273723489E-2</v>
      </c>
      <c r="HR132" s="10">
        <f t="shared" si="870"/>
        <v>2.6294228226353953</v>
      </c>
      <c r="HS132" s="539">
        <f t="shared" si="871"/>
        <v>183.1392995965553</v>
      </c>
      <c r="HT132" s="19">
        <f t="shared" si="872"/>
        <v>4.4700187984801723</v>
      </c>
      <c r="HU132" s="10">
        <f t="shared" si="873"/>
        <v>6.4178302921466937E-2</v>
      </c>
      <c r="HV132" s="10">
        <f t="shared" si="874"/>
        <v>2.6936011255568624</v>
      </c>
      <c r="HW132" s="539">
        <f t="shared" si="875"/>
        <v>187.60931839503547</v>
      </c>
      <c r="HX132" s="19">
        <f t="shared" si="876"/>
        <v>4.5791219134466656</v>
      </c>
      <c r="HY132" s="10">
        <f t="shared" si="877"/>
        <v>6.5744751090404382E-2</v>
      </c>
      <c r="HZ132" s="10">
        <f t="shared" si="878"/>
        <v>2.7593458766472669</v>
      </c>
      <c r="IA132" s="539">
        <f t="shared" si="879"/>
        <v>192.18844030848217</v>
      </c>
      <c r="IB132" s="19">
        <f t="shared" si="880"/>
        <v>4.6908879903003537</v>
      </c>
      <c r="IM132" s="11"/>
      <c r="IN132" s="19"/>
      <c r="IO132" s="20"/>
      <c r="IP132" s="10"/>
    </row>
    <row r="133" spans="1:261" ht="13.5" thickBot="1">
      <c r="A133" s="11"/>
      <c r="B133" s="20"/>
      <c r="C133" s="826" t="s">
        <v>2342</v>
      </c>
      <c r="D133" s="47" t="s">
        <v>340</v>
      </c>
      <c r="E133" s="396">
        <f t="shared" si="931"/>
        <v>24.145199999999999</v>
      </c>
      <c r="F133" s="242">
        <v>1.1452</v>
      </c>
      <c r="G133" s="48">
        <f>'Update Stock Prices'!S133</f>
        <v>29721664.275466286</v>
      </c>
      <c r="H133" s="991">
        <f t="shared" si="610"/>
        <v>3.8530816759992275E-8</v>
      </c>
      <c r="I133" s="49">
        <f>'Update Stock Prices'!D133</f>
        <v>13.94</v>
      </c>
      <c r="J133" s="49">
        <f t="shared" si="1039"/>
        <v>15.964087999999999</v>
      </c>
      <c r="K133" s="30">
        <v>16.61</v>
      </c>
      <c r="L133" s="49">
        <f t="shared" si="611"/>
        <v>-0.64591200000000093</v>
      </c>
      <c r="M133" s="50">
        <f t="shared" si="613"/>
        <v>-3.8886935580975376E-2</v>
      </c>
      <c r="N133" s="49">
        <f t="shared" si="612"/>
        <v>14.504016765630457</v>
      </c>
      <c r="O133" s="48">
        <f t="shared" si="932"/>
        <v>23</v>
      </c>
      <c r="P133" s="49">
        <f>IF(($B$11-$B$12)-(O133*I133)&lt;0,0,($B$11-$B$12)-(O133*I133))</f>
        <v>0.38999999999998636</v>
      </c>
      <c r="Q133" s="30">
        <f>0.095*12</f>
        <v>1.1400000000000001</v>
      </c>
      <c r="R133" s="49">
        <f t="shared" si="242"/>
        <v>3.5743408624229985E-3</v>
      </c>
      <c r="S133" s="49">
        <f t="shared" si="935"/>
        <v>1.3055280000000002</v>
      </c>
      <c r="T133" s="49">
        <f t="shared" si="399"/>
        <v>0.10879400000000002</v>
      </c>
      <c r="U133" s="49" t="s">
        <v>56</v>
      </c>
      <c r="V133" s="50">
        <f t="shared" si="937"/>
        <v>8.1779053084648501E-2</v>
      </c>
      <c r="W133" s="50">
        <f t="shared" si="575"/>
        <v>7.8598916315472625E-2</v>
      </c>
      <c r="X133" s="49">
        <f>12*((E133*Q133)/12-T133)</f>
        <v>26.22</v>
      </c>
      <c r="Y133" s="49">
        <f t="shared" si="654"/>
        <v>0.10879400000000002</v>
      </c>
      <c r="Z133" s="860">
        <f t="shared" si="939"/>
        <v>0</v>
      </c>
      <c r="AA133" s="860">
        <f t="shared" si="940"/>
        <v>145.59164210526313</v>
      </c>
      <c r="AB133" s="49">
        <f t="shared" si="941"/>
        <v>2029.547490947368</v>
      </c>
      <c r="AC133" s="48">
        <v>1</v>
      </c>
      <c r="AD133" s="47" t="str">
        <f t="shared" si="942"/>
        <v>WSR</v>
      </c>
      <c r="AE133" s="49">
        <f t="shared" si="943"/>
        <v>15.964087999999999</v>
      </c>
      <c r="AF133" s="50" t="e">
        <f t="shared" si="1040"/>
        <v>#REF!</v>
      </c>
      <c r="AG133" s="890" t="e">
        <f t="shared" si="910"/>
        <v>#REF!</v>
      </c>
      <c r="AH133" s="207" t="s">
        <v>321</v>
      </c>
      <c r="AI133" s="240">
        <f t="shared" si="1041"/>
        <v>5.7854421926815675E-4</v>
      </c>
      <c r="AJ133" s="11">
        <f t="shared" si="595"/>
        <v>3</v>
      </c>
      <c r="AK133" s="11"/>
      <c r="AL133" s="11"/>
      <c r="AM133" s="11"/>
      <c r="AN133" s="11"/>
      <c r="AO133" s="11"/>
      <c r="AP133" s="11"/>
      <c r="AQ133" s="11" t="str">
        <f>'Update Stock Prices'!Q133</f>
        <v>small</v>
      </c>
      <c r="AR133" s="11"/>
      <c r="AS133" s="11"/>
      <c r="AU133" s="228" t="s">
        <v>1763</v>
      </c>
      <c r="AV133" s="894" t="s">
        <v>841</v>
      </c>
      <c r="AW133" s="11"/>
      <c r="AX133" s="491" t="s">
        <v>846</v>
      </c>
      <c r="AY133" s="959" t="s">
        <v>1764</v>
      </c>
      <c r="AZ133" s="236"/>
      <c r="BA133" s="224"/>
      <c r="BB133" s="512"/>
      <c r="BD133" s="74"/>
      <c r="BE133" s="19"/>
      <c r="BF133" s="20"/>
      <c r="BG133" s="847"/>
      <c r="BH133" s="11"/>
      <c r="BI133" s="768">
        <v>42736</v>
      </c>
      <c r="BJ133" s="1433"/>
      <c r="BK133" s="537">
        <v>107435</v>
      </c>
      <c r="BL133" s="594">
        <f t="shared" si="957"/>
        <v>2.8745702986603838E-2</v>
      </c>
      <c r="BM133" s="1434">
        <f t="shared" si="954"/>
        <v>2.1442827774783946</v>
      </c>
      <c r="BN133" s="537">
        <f t="shared" si="955"/>
        <v>294.14099931553733</v>
      </c>
      <c r="BO133" s="230" t="str">
        <f t="shared" si="956"/>
        <v>doubled!</v>
      </c>
      <c r="BS133" s="420" t="str">
        <f t="shared" si="715"/>
        <v>WSR</v>
      </c>
      <c r="BT133" s="425">
        <f t="shared" si="716"/>
        <v>1.1452</v>
      </c>
      <c r="BU133" s="19">
        <f t="shared" si="717"/>
        <v>13.94</v>
      </c>
      <c r="BV133" s="19">
        <f t="shared" si="718"/>
        <v>15.964087999999999</v>
      </c>
      <c r="BW133" s="539">
        <f t="shared" si="719"/>
        <v>1.1400000000000001</v>
      </c>
      <c r="BX133" s="19">
        <f t="shared" si="720"/>
        <v>1.3055280000000002</v>
      </c>
      <c r="BY133" s="10">
        <f t="shared" si="721"/>
        <v>9.3653371592539475E-2</v>
      </c>
      <c r="BZ133" s="10">
        <f t="shared" si="722"/>
        <v>1.2388533715925394</v>
      </c>
      <c r="CA133" s="539">
        <f t="shared" si="723"/>
        <v>17.269615999999999</v>
      </c>
      <c r="CB133" s="19">
        <f t="shared" si="724"/>
        <v>1.4122928436154951</v>
      </c>
      <c r="CC133" s="10">
        <f t="shared" si="725"/>
        <v>0.10131225563956206</v>
      </c>
      <c r="CD133" s="10">
        <f t="shared" si="726"/>
        <v>1.3401656272321014</v>
      </c>
      <c r="CE133" s="539">
        <f t="shared" si="727"/>
        <v>18.681908843615492</v>
      </c>
      <c r="CF133" s="19">
        <f t="shared" si="728"/>
        <v>1.5277888150445957</v>
      </c>
      <c r="CG133" s="10">
        <f t="shared" si="729"/>
        <v>0.10959747597163529</v>
      </c>
      <c r="CH133" s="10">
        <f t="shared" si="730"/>
        <v>1.4497631032037368</v>
      </c>
      <c r="CI133" s="539">
        <f t="shared" si="731"/>
        <v>20.20969765866009</v>
      </c>
      <c r="CJ133" s="19">
        <f t="shared" si="732"/>
        <v>1.6527299376522602</v>
      </c>
      <c r="CK133" s="10">
        <f t="shared" si="733"/>
        <v>0.11856025377706314</v>
      </c>
      <c r="CL133" s="10">
        <f t="shared" si="734"/>
        <v>1.5683233569807999</v>
      </c>
      <c r="CM133" s="539">
        <f t="shared" si="735"/>
        <v>21.862427596312351</v>
      </c>
      <c r="CN133" s="19">
        <f t="shared" si="736"/>
        <v>1.7878886269581122</v>
      </c>
      <c r="CO133" s="10">
        <f t="shared" si="737"/>
        <v>0.128255999064427</v>
      </c>
      <c r="CP133" s="10">
        <f t="shared" si="738"/>
        <v>1.6965793560452269</v>
      </c>
      <c r="CQ133" s="539">
        <f t="shared" si="739"/>
        <v>23.650316223270462</v>
      </c>
      <c r="CR133" s="19">
        <f t="shared" si="740"/>
        <v>1.9341004658915588</v>
      </c>
      <c r="CS133" s="10">
        <f t="shared" si="741"/>
        <v>0.13874465322034138</v>
      </c>
      <c r="CT133" s="10">
        <f t="shared" si="742"/>
        <v>1.8353240092655683</v>
      </c>
      <c r="CU133" s="539">
        <f t="shared" si="743"/>
        <v>25.584416689162019</v>
      </c>
      <c r="CV133" s="19">
        <f t="shared" si="744"/>
        <v>2.092269370562748</v>
      </c>
      <c r="CW133" s="10">
        <f t="shared" si="745"/>
        <v>0.15009105958125882</v>
      </c>
      <c r="CX133" s="10">
        <f t="shared" si="746"/>
        <v>1.9854150688468271</v>
      </c>
      <c r="CY133" s="539">
        <f t="shared" si="747"/>
        <v>27.676686059724769</v>
      </c>
      <c r="CZ133" s="19">
        <f t="shared" si="748"/>
        <v>2.263373178485383</v>
      </c>
      <c r="DA133" s="10">
        <f t="shared" si="749"/>
        <v>0.16236536431028573</v>
      </c>
      <c r="DB133" s="10">
        <f t="shared" si="750"/>
        <v>2.1477804331571129</v>
      </c>
      <c r="DC133" s="539">
        <f t="shared" si="751"/>
        <v>29.940059238210154</v>
      </c>
      <c r="DD133" s="19">
        <f t="shared" si="752"/>
        <v>2.4484696937991091</v>
      </c>
      <c r="DE133" s="10">
        <f t="shared" si="753"/>
        <v>0.1756434500573249</v>
      </c>
      <c r="DF133" s="10">
        <f t="shared" si="754"/>
        <v>2.3234238832144376</v>
      </c>
      <c r="DG133" s="539">
        <f t="shared" si="755"/>
        <v>32.388528932009258</v>
      </c>
      <c r="DH133" s="19">
        <f t="shared" si="756"/>
        <v>2.648703226864459</v>
      </c>
      <c r="DI133" s="10">
        <f t="shared" si="757"/>
        <v>0.19000740508353364</v>
      </c>
      <c r="DJ133" s="10">
        <f t="shared" si="758"/>
        <v>2.513431288297971</v>
      </c>
      <c r="DK133" s="539">
        <f t="shared" si="759"/>
        <v>35.037232158873714</v>
      </c>
      <c r="DL133" s="19">
        <f t="shared" si="760"/>
        <v>2.8653116686596873</v>
      </c>
      <c r="DM133" s="10">
        <f t="shared" si="761"/>
        <v>0.20554603075033626</v>
      </c>
      <c r="DN133" s="10">
        <f t="shared" si="762"/>
        <v>2.7189773190483071</v>
      </c>
      <c r="DO133" s="539">
        <f t="shared" si="763"/>
        <v>37.9025438275334</v>
      </c>
      <c r="DP133" s="19">
        <f t="shared" si="764"/>
        <v>3.0996341437150705</v>
      </c>
      <c r="DQ133" s="10">
        <f t="shared" si="765"/>
        <v>0.22235539051040679</v>
      </c>
      <c r="DR133" s="10">
        <f t="shared" si="766"/>
        <v>2.9413327095587141</v>
      </c>
      <c r="DS133" s="539">
        <f t="shared" si="767"/>
        <v>41.002177971248472</v>
      </c>
      <c r="DT133" s="19">
        <f t="shared" si="768"/>
        <v>3.3531192888969343</v>
      </c>
      <c r="DU133" s="10">
        <f t="shared" si="769"/>
        <v>0.24053940379461511</v>
      </c>
      <c r="DV133" s="10">
        <f t="shared" si="770"/>
        <v>3.1818721133533292</v>
      </c>
      <c r="DW133" s="539">
        <f t="shared" si="771"/>
        <v>44.355297260145406</v>
      </c>
      <c r="DX133" s="19">
        <f t="shared" si="772"/>
        <v>3.6273342092227958</v>
      </c>
      <c r="DY133" s="10">
        <f t="shared" si="773"/>
        <v>0.26021048846648465</v>
      </c>
      <c r="DZ133" s="10">
        <f t="shared" si="774"/>
        <v>3.4420826018198136</v>
      </c>
      <c r="EA133" s="539">
        <f t="shared" si="775"/>
        <v>47.982631469368201</v>
      </c>
      <c r="EB133" s="19">
        <f t="shared" si="776"/>
        <v>3.9239741660745882</v>
      </c>
      <c r="EC133" s="10">
        <f t="shared" si="777"/>
        <v>0.28149025581596759</v>
      </c>
      <c r="ED133" s="10">
        <f t="shared" si="778"/>
        <v>3.7235728576357814</v>
      </c>
      <c r="EE133" s="539">
        <f t="shared" si="779"/>
        <v>51.906605635442787</v>
      </c>
      <c r="EF133" s="19">
        <f t="shared" si="780"/>
        <v>4.2448730577047913</v>
      </c>
      <c r="EG133" s="10">
        <f t="shared" si="781"/>
        <v>0.30451026238915291</v>
      </c>
      <c r="EH133" s="10">
        <f t="shared" si="782"/>
        <v>4.0280831200249345</v>
      </c>
      <c r="EI133" s="539">
        <f t="shared" si="783"/>
        <v>56.151478693147588</v>
      </c>
      <c r="EJ133" s="19">
        <f t="shared" si="784"/>
        <v>4.5920147568284255</v>
      </c>
      <c r="EK133" s="10">
        <f t="shared" si="785"/>
        <v>0.3294128233018957</v>
      </c>
      <c r="EL133" s="10">
        <f t="shared" si="786"/>
        <v>4.3574959433268301</v>
      </c>
      <c r="EM133" s="539">
        <f t="shared" si="787"/>
        <v>60.743493449976008</v>
      </c>
      <c r="EN133" s="19">
        <f t="shared" si="788"/>
        <v>4.9675453753925867</v>
      </c>
      <c r="EO133" s="10">
        <f t="shared" si="789"/>
        <v>0.35635189206546536</v>
      </c>
      <c r="EP133" s="10">
        <f t="shared" si="790"/>
        <v>4.7138478353922952</v>
      </c>
      <c r="EQ133" s="539">
        <f t="shared" si="791"/>
        <v>65.71103882536859</v>
      </c>
      <c r="ER133" s="19">
        <f t="shared" si="792"/>
        <v>5.3737865323472169</v>
      </c>
      <c r="ES133" s="10">
        <f t="shared" si="793"/>
        <v>0.38549401236350195</v>
      </c>
      <c r="ET133" s="10">
        <f t="shared" si="794"/>
        <v>5.099341847755797</v>
      </c>
      <c r="EU133" s="539">
        <f t="shared" si="795"/>
        <v>71.084825357715815</v>
      </c>
      <c r="EV133" s="19">
        <f t="shared" si="796"/>
        <v>5.8132497064416091</v>
      </c>
      <c r="EW133" s="10">
        <f t="shared" si="797"/>
        <v>0.41701934766439092</v>
      </c>
      <c r="EX133" s="10">
        <f t="shared" si="798"/>
        <v>5.5163611954201883</v>
      </c>
      <c r="EY133" s="539">
        <f t="shared" si="799"/>
        <v>76.898075064157425</v>
      </c>
      <c r="EZ133" s="19">
        <f t="shared" si="800"/>
        <v>6.2886517627790157</v>
      </c>
      <c r="FA133" s="10">
        <f t="shared" si="801"/>
        <v>0.4511227950343627</v>
      </c>
      <c r="FB133" s="10">
        <f t="shared" si="802"/>
        <v>5.9674839904545509</v>
      </c>
      <c r="FC133" s="539">
        <f t="shared" si="803"/>
        <v>83.186726826936436</v>
      </c>
      <c r="FD133" s="19">
        <f t="shared" si="804"/>
        <v>6.8029317491181889</v>
      </c>
      <c r="FE133" s="10">
        <f t="shared" si="805"/>
        <v>0.48801519003717281</v>
      </c>
      <c r="FF133" s="10">
        <f t="shared" si="806"/>
        <v>6.4554991804917234</v>
      </c>
      <c r="FG133" s="539">
        <f t="shared" si="807"/>
        <v>89.989658576054623</v>
      </c>
      <c r="FH133" s="19">
        <f t="shared" si="808"/>
        <v>7.3592690657605653</v>
      </c>
      <c r="FI133" s="10">
        <f t="shared" si="809"/>
        <v>0.52792461016933756</v>
      </c>
      <c r="FJ133" s="10">
        <f t="shared" si="810"/>
        <v>6.9834237906610612</v>
      </c>
      <c r="FK133" s="539">
        <f t="shared" si="811"/>
        <v>97.348927641815195</v>
      </c>
      <c r="FL133" s="19">
        <f t="shared" si="812"/>
        <v>7.9611031213536103</v>
      </c>
      <c r="FM133" s="10">
        <f t="shared" si="813"/>
        <v>0.57109778488906815</v>
      </c>
      <c r="FN133" s="10">
        <f t="shared" si="814"/>
        <v>7.5545215755501296</v>
      </c>
      <c r="FO133" s="539">
        <f t="shared" si="815"/>
        <v>105.3100307631688</v>
      </c>
      <c r="FP133" s="19">
        <f t="shared" si="816"/>
        <v>8.612154596127148</v>
      </c>
      <c r="FQ133" s="10">
        <f t="shared" si="817"/>
        <v>0.61780162095603641</v>
      </c>
      <c r="FR133" s="10">
        <f t="shared" si="818"/>
        <v>8.1723231965061665</v>
      </c>
      <c r="FS133" s="539">
        <f t="shared" si="819"/>
        <v>113.92218535929595</v>
      </c>
      <c r="FT133" s="19">
        <f t="shared" si="820"/>
        <v>9.3164484440170305</v>
      </c>
      <c r="FU133" s="10">
        <f t="shared" si="821"/>
        <v>0.66832485251198215</v>
      </c>
      <c r="FV133" s="10">
        <f t="shared" si="822"/>
        <v>8.8406480490181494</v>
      </c>
      <c r="FW133" s="539">
        <f t="shared" si="823"/>
        <v>123.23863380331299</v>
      </c>
      <c r="FX133" s="19">
        <f t="shared" si="824"/>
        <v>10.078338775880692</v>
      </c>
      <c r="FY133" s="10">
        <f t="shared" si="825"/>
        <v>0.72297982610334954</v>
      </c>
      <c r="FZ133" s="10">
        <f t="shared" si="826"/>
        <v>9.5636278751214991</v>
      </c>
      <c r="GA133" s="539">
        <f t="shared" si="827"/>
        <v>133.3169725791937</v>
      </c>
      <c r="GB133" s="19">
        <f t="shared" si="828"/>
        <v>10.90253577763851</v>
      </c>
      <c r="GC133" s="10">
        <f t="shared" si="829"/>
        <v>0.78210443168138533</v>
      </c>
      <c r="GD133" s="10">
        <f t="shared" si="830"/>
        <v>10.345732306802885</v>
      </c>
      <c r="GE133" s="539">
        <f t="shared" si="831"/>
        <v>144.21950835683222</v>
      </c>
      <c r="GF133" s="19">
        <f t="shared" si="832"/>
        <v>11.79413482975529</v>
      </c>
      <c r="GG133" s="10">
        <f t="shared" si="833"/>
        <v>0.84606419151759615</v>
      </c>
      <c r="GH133" s="10">
        <f t="shared" si="834"/>
        <v>11.191796498320482</v>
      </c>
      <c r="GI133" s="539">
        <f t="shared" si="835"/>
        <v>156.0136431865875</v>
      </c>
      <c r="GJ133" s="19">
        <f t="shared" si="836"/>
        <v>12.75864800808535</v>
      </c>
      <c r="GK133" s="10">
        <f t="shared" si="837"/>
        <v>0.91525451994873386</v>
      </c>
      <c r="GL133" s="10">
        <f t="shared" si="838"/>
        <v>12.107051018269216</v>
      </c>
      <c r="GM133" s="539">
        <f t="shared" si="839"/>
        <v>168.77229119467287</v>
      </c>
      <c r="GN133" s="19">
        <f t="shared" si="840"/>
        <v>13.802038160826907</v>
      </c>
      <c r="GO133" s="10">
        <f t="shared" si="841"/>
        <v>0.99010316792158592</v>
      </c>
      <c r="GP133" s="10">
        <f t="shared" si="842"/>
        <v>13.097154186190801</v>
      </c>
      <c r="GQ133" s="539">
        <f t="shared" si="843"/>
        <v>182.57432935549977</v>
      </c>
      <c r="GR133" s="19">
        <f t="shared" si="844"/>
        <v>14.930755772257514</v>
      </c>
      <c r="GS133" s="10">
        <f t="shared" si="845"/>
        <v>1.0710728674503238</v>
      </c>
      <c r="GT133" s="10">
        <f t="shared" si="846"/>
        <v>14.168227053641125</v>
      </c>
      <c r="GU133" s="539">
        <f t="shared" si="847"/>
        <v>197.50508512775727</v>
      </c>
      <c r="GV133" s="19">
        <f t="shared" si="848"/>
        <v>16.151778841150886</v>
      </c>
      <c r="GW133" s="10">
        <f t="shared" si="849"/>
        <v>1.1586641923350707</v>
      </c>
      <c r="GX133" s="10">
        <f t="shared" si="850"/>
        <v>15.326891245976196</v>
      </c>
      <c r="GY133" s="539">
        <f t="shared" si="851"/>
        <v>213.65686396890817</v>
      </c>
      <c r="GZ133" s="19">
        <f t="shared" si="852"/>
        <v>17.472656020412867</v>
      </c>
      <c r="HA133" s="10">
        <f t="shared" si="853"/>
        <v>1.2534186528273219</v>
      </c>
      <c r="HB133" s="10">
        <f t="shared" si="854"/>
        <v>16.580309898803517</v>
      </c>
      <c r="HC133" s="539">
        <f t="shared" si="855"/>
        <v>231.12951998932101</v>
      </c>
      <c r="HD133" s="19">
        <f t="shared" si="856"/>
        <v>18.901553284636012</v>
      </c>
      <c r="HE133" s="10">
        <f t="shared" si="857"/>
        <v>1.3559220433741759</v>
      </c>
      <c r="HF133" s="10">
        <f t="shared" si="858"/>
        <v>17.936231942177692</v>
      </c>
      <c r="HG133" s="539">
        <f t="shared" si="859"/>
        <v>250.03107327395702</v>
      </c>
      <c r="HH133" s="19">
        <f t="shared" si="860"/>
        <v>20.44730441408257</v>
      </c>
      <c r="HI133" s="10">
        <f t="shared" si="861"/>
        <v>1.4668080641379175</v>
      </c>
      <c r="HJ133" s="10">
        <f t="shared" si="862"/>
        <v>19.40304000631561</v>
      </c>
      <c r="HK133" s="539">
        <f t="shared" si="863"/>
        <v>270.47837768803959</v>
      </c>
      <c r="HL133" s="19">
        <f t="shared" si="864"/>
        <v>22.119465607199796</v>
      </c>
      <c r="HM133" s="10">
        <f t="shared" si="865"/>
        <v>1.5867622386800428</v>
      </c>
      <c r="HN133" s="10">
        <f t="shared" si="866"/>
        <v>20.989802244995651</v>
      </c>
      <c r="HO133" s="539">
        <f t="shared" si="867"/>
        <v>292.59784329523939</v>
      </c>
      <c r="HP133" s="19">
        <f t="shared" si="868"/>
        <v>23.928374559295044</v>
      </c>
      <c r="HQ133" s="10">
        <f t="shared" si="869"/>
        <v>1.7165261520297737</v>
      </c>
      <c r="HR133" s="10">
        <f t="shared" si="870"/>
        <v>22.706328397025423</v>
      </c>
      <c r="HS133" s="539">
        <f t="shared" si="871"/>
        <v>316.52621785453437</v>
      </c>
      <c r="HT133" s="19">
        <f t="shared" si="872"/>
        <v>25.885214372608985</v>
      </c>
      <c r="HU133" s="10">
        <f t="shared" si="873"/>
        <v>1.8569020353378038</v>
      </c>
      <c r="HV133" s="10">
        <f t="shared" si="874"/>
        <v>24.563230432363227</v>
      </c>
      <c r="HW133" s="539">
        <f t="shared" si="875"/>
        <v>342.41143222714339</v>
      </c>
      <c r="HX133" s="19">
        <f t="shared" si="876"/>
        <v>28.002082692894081</v>
      </c>
      <c r="HY133" s="10">
        <f t="shared" si="877"/>
        <v>2.0087577254586861</v>
      </c>
      <c r="HZ133" s="10">
        <f t="shared" si="878"/>
        <v>26.571988157821913</v>
      </c>
      <c r="IA133" s="539">
        <f t="shared" si="879"/>
        <v>370.41351492003747</v>
      </c>
      <c r="IB133" s="19">
        <f t="shared" si="880"/>
        <v>30.292066499916984</v>
      </c>
      <c r="IM133" s="11"/>
      <c r="IN133" s="19"/>
      <c r="IO133" s="20"/>
      <c r="IP133" s="10"/>
    </row>
    <row r="134" spans="1:261" ht="13.5" thickBot="1">
      <c r="A134" s="20"/>
      <c r="B134" s="20"/>
      <c r="C134" s="826" t="s">
        <v>2343</v>
      </c>
      <c r="D134" s="47" t="s">
        <v>451</v>
      </c>
      <c r="E134" s="396">
        <f t="shared" si="931"/>
        <v>28.404399999999999</v>
      </c>
      <c r="F134" s="242">
        <v>18.404399999999999</v>
      </c>
      <c r="G134" s="48">
        <f>'Update Stock Prices'!S134</f>
        <v>178702163.06156406</v>
      </c>
      <c r="H134" s="991">
        <f t="shared" si="610"/>
        <v>1.0298924022346368E-7</v>
      </c>
      <c r="I134" s="49">
        <f>'Update Stock Prices'!D134</f>
        <v>30.05</v>
      </c>
      <c r="J134" s="49">
        <f t="shared" si="1039"/>
        <v>553.05222000000003</v>
      </c>
      <c r="K134" s="30">
        <v>511.3</v>
      </c>
      <c r="L134" s="49">
        <f t="shared" si="611"/>
        <v>41.752220000000023</v>
      </c>
      <c r="M134" s="50">
        <f t="shared" si="613"/>
        <v>8.1658947780168245E-2</v>
      </c>
      <c r="N134" s="49">
        <f t="shared" si="612"/>
        <v>27.781400099976096</v>
      </c>
      <c r="O134" s="48">
        <f t="shared" si="932"/>
        <v>10</v>
      </c>
      <c r="P134" s="49">
        <f>IF(($B$11-$B$12)-(O134*I134)&lt;0,0,($B$11-$B$12)-(O134*I134))</f>
        <v>20.509999999999991</v>
      </c>
      <c r="Q134" s="30">
        <f>0.1913*4</f>
        <v>0.76519999999999999</v>
      </c>
      <c r="R134" s="49">
        <f t="shared" si="242"/>
        <v>3.8557280985626281E-2</v>
      </c>
      <c r="S134" s="49">
        <f t="shared" si="935"/>
        <v>14.083046879999999</v>
      </c>
      <c r="T134" s="49">
        <f t="shared" si="399"/>
        <v>1.17358724</v>
      </c>
      <c r="U134" s="49" t="s">
        <v>54</v>
      </c>
      <c r="V134" s="50">
        <f t="shared" si="937"/>
        <v>2.5464226289517469E-2</v>
      </c>
      <c r="W134" s="50">
        <f t="shared" si="575"/>
        <v>2.7543608214355562E-2</v>
      </c>
      <c r="X134" s="49">
        <f>12*((E134*Q134)/12-T134)</f>
        <v>7.6519999999999992</v>
      </c>
      <c r="Y134" s="49">
        <f t="shared" si="654"/>
        <v>3.5207617200000003</v>
      </c>
      <c r="Z134" s="860">
        <f t="shared" si="939"/>
        <v>0</v>
      </c>
      <c r="AA134" s="860">
        <f t="shared" si="940"/>
        <v>138.67871552535283</v>
      </c>
      <c r="AB134" s="49">
        <f t="shared" si="941"/>
        <v>4167.2954015368523</v>
      </c>
      <c r="AC134" s="48">
        <v>1</v>
      </c>
      <c r="AD134" s="47" t="str">
        <f t="shared" si="942"/>
        <v>WTR</v>
      </c>
      <c r="AE134" s="49">
        <f t="shared" si="943"/>
        <v>553.05222000000003</v>
      </c>
      <c r="AF134" s="50" t="e">
        <f t="shared" si="1040"/>
        <v>#REF!</v>
      </c>
      <c r="AG134" s="890" t="e">
        <f t="shared" si="910"/>
        <v>#REF!</v>
      </c>
      <c r="AH134" s="207" t="s">
        <v>452</v>
      </c>
      <c r="AI134" s="240">
        <f t="shared" si="1041"/>
        <v>0.69435347323466157</v>
      </c>
      <c r="AJ134" s="11">
        <f t="shared" si="595"/>
        <v>3</v>
      </c>
      <c r="AK134" s="11"/>
      <c r="AL134" s="11">
        <v>1</v>
      </c>
      <c r="AM134" s="11"/>
      <c r="AN134" s="11"/>
      <c r="AO134" s="11"/>
      <c r="AP134" s="11"/>
      <c r="AQ134" s="11" t="str">
        <f>'Update Stock Prices'!Q134</f>
        <v>mid</v>
      </c>
      <c r="AR134" s="11"/>
      <c r="AS134" s="11"/>
      <c r="AU134" s="191" t="e">
        <f ca="1">SUM(AY113:AY127)-#REF!</f>
        <v>#REF!</v>
      </c>
      <c r="AV134" s="432" t="e">
        <f ca="1">SUM(AY113:AY116)-#REF!</f>
        <v>#REF!</v>
      </c>
      <c r="AW134" s="919"/>
      <c r="AX134" s="832" t="e">
        <f ca="1">SUM(AV113:AV127)/AV112</f>
        <v>#REF!</v>
      </c>
      <c r="AY134" s="920">
        <f ca="1">SUM(AV113:AV116)/AV112</f>
        <v>5.4337623197140708E-2</v>
      </c>
      <c r="AZ134" s="236"/>
      <c r="BA134" s="224"/>
      <c r="BB134" s="420" t="s">
        <v>1650</v>
      </c>
      <c r="BC134" s="420" t="s">
        <v>1651</v>
      </c>
      <c r="BD134" s="20"/>
      <c r="BE134" s="507"/>
      <c r="BF134" s="555"/>
      <c r="BG134" s="186"/>
      <c r="BH134" s="11"/>
      <c r="BJ134" s="1441"/>
      <c r="BK134" s="1442"/>
      <c r="BL134" s="15"/>
      <c r="BN134" s="183"/>
      <c r="BS134" s="420" t="str">
        <f t="shared" si="715"/>
        <v>WTR</v>
      </c>
      <c r="BT134" s="425">
        <f t="shared" si="716"/>
        <v>18.404399999999999</v>
      </c>
      <c r="BU134" s="19">
        <f t="shared" si="717"/>
        <v>30.05</v>
      </c>
      <c r="BV134" s="19">
        <f t="shared" si="718"/>
        <v>553.05222000000003</v>
      </c>
      <c r="BW134" s="539">
        <f t="shared" si="719"/>
        <v>0.76519999999999999</v>
      </c>
      <c r="BX134" s="19">
        <f t="shared" si="720"/>
        <v>14.083046879999999</v>
      </c>
      <c r="BY134" s="10">
        <f t="shared" si="721"/>
        <v>0.4686538063227953</v>
      </c>
      <c r="BZ134" s="10">
        <f t="shared" si="722"/>
        <v>18.873053806322794</v>
      </c>
      <c r="CA134" s="539">
        <f t="shared" si="723"/>
        <v>567.13526688000002</v>
      </c>
      <c r="CB134" s="19">
        <f t="shared" si="724"/>
        <v>14.441660772598201</v>
      </c>
      <c r="CC134" s="10">
        <f t="shared" si="725"/>
        <v>0.4805877128984426</v>
      </c>
      <c r="CD134" s="10">
        <f t="shared" si="726"/>
        <v>19.353641519221238</v>
      </c>
      <c r="CE134" s="539">
        <f t="shared" si="727"/>
        <v>581.57692765259821</v>
      </c>
      <c r="CF134" s="19">
        <f t="shared" si="728"/>
        <v>14.809406490508092</v>
      </c>
      <c r="CG134" s="10">
        <f t="shared" si="729"/>
        <v>0.4928255071716503</v>
      </c>
      <c r="CH134" s="10">
        <f t="shared" si="730"/>
        <v>19.846467026392887</v>
      </c>
      <c r="CI134" s="539">
        <f t="shared" si="731"/>
        <v>596.3863341431063</v>
      </c>
      <c r="CJ134" s="19">
        <f t="shared" si="732"/>
        <v>15.186516568595836</v>
      </c>
      <c r="CK134" s="10">
        <f t="shared" si="733"/>
        <v>0.50537492740751533</v>
      </c>
      <c r="CL134" s="10">
        <f t="shared" si="734"/>
        <v>20.351841953800403</v>
      </c>
      <c r="CM134" s="539">
        <f t="shared" si="735"/>
        <v>611.57285071170213</v>
      </c>
      <c r="CN134" s="19">
        <f t="shared" si="736"/>
        <v>15.573229463048067</v>
      </c>
      <c r="CO134" s="10">
        <f t="shared" si="737"/>
        <v>0.51824390892006877</v>
      </c>
      <c r="CP134" s="10">
        <f t="shared" si="738"/>
        <v>20.870085862720472</v>
      </c>
      <c r="CQ134" s="539">
        <f t="shared" si="739"/>
        <v>627.14608017475018</v>
      </c>
      <c r="CR134" s="19">
        <f t="shared" si="740"/>
        <v>15.969789702153705</v>
      </c>
      <c r="CS134" s="10">
        <f t="shared" si="741"/>
        <v>0.53144058908997349</v>
      </c>
      <c r="CT134" s="10">
        <f t="shared" si="742"/>
        <v>21.401526451810447</v>
      </c>
      <c r="CU134" s="539">
        <f t="shared" si="743"/>
        <v>643.11586987690396</v>
      </c>
      <c r="CV134" s="19">
        <f t="shared" si="744"/>
        <v>16.376448040925354</v>
      </c>
      <c r="CW134" s="10">
        <f t="shared" si="745"/>
        <v>0.54497331250999514</v>
      </c>
      <c r="CX134" s="10">
        <f t="shared" si="746"/>
        <v>21.946499764320443</v>
      </c>
      <c r="CY134" s="539">
        <f t="shared" si="747"/>
        <v>659.49231791782927</v>
      </c>
      <c r="CZ134" s="19">
        <f t="shared" si="748"/>
        <v>16.793461619658004</v>
      </c>
      <c r="DA134" s="10">
        <f t="shared" si="749"/>
        <v>0.55885063626149767</v>
      </c>
      <c r="DB134" s="10">
        <f t="shared" si="750"/>
        <v>22.505350400581939</v>
      </c>
      <c r="DC134" s="539">
        <f t="shared" si="751"/>
        <v>676.28577953748731</v>
      </c>
      <c r="DD134" s="19">
        <f t="shared" si="752"/>
        <v>17.221094126525301</v>
      </c>
      <c r="DE134" s="10">
        <f t="shared" si="753"/>
        <v>0.57308133532530114</v>
      </c>
      <c r="DF134" s="10">
        <f t="shared" si="754"/>
        <v>23.078431735907241</v>
      </c>
      <c r="DG134" s="539">
        <f t="shared" si="755"/>
        <v>693.50687366401257</v>
      </c>
      <c r="DH134" s="19">
        <f t="shared" si="756"/>
        <v>17.65961596431622</v>
      </c>
      <c r="DI134" s="10">
        <f t="shared" si="757"/>
        <v>0.58767440813032346</v>
      </c>
      <c r="DJ134" s="10">
        <f t="shared" si="758"/>
        <v>23.666106144037563</v>
      </c>
      <c r="DK134" s="539">
        <f t="shared" si="759"/>
        <v>711.1664896283288</v>
      </c>
      <c r="DL134" s="19">
        <f t="shared" si="760"/>
        <v>18.109304421417544</v>
      </c>
      <c r="DM134" s="10">
        <f t="shared" si="761"/>
        <v>0.60263908224351226</v>
      </c>
      <c r="DN134" s="10">
        <f t="shared" si="762"/>
        <v>24.268745226281077</v>
      </c>
      <c r="DO134" s="539">
        <f t="shared" si="763"/>
        <v>729.27579404974642</v>
      </c>
      <c r="DP134" s="19">
        <f t="shared" si="764"/>
        <v>18.57044384715028</v>
      </c>
      <c r="DQ134" s="10">
        <f t="shared" si="765"/>
        <v>0.61798482020466816</v>
      </c>
      <c r="DR134" s="10">
        <f t="shared" si="766"/>
        <v>24.886730046485745</v>
      </c>
      <c r="DS134" s="539">
        <f t="shared" si="767"/>
        <v>747.8462378968967</v>
      </c>
      <c r="DT134" s="19">
        <f t="shared" si="768"/>
        <v>19.043325831570893</v>
      </c>
      <c r="DU134" s="10">
        <f t="shared" si="769"/>
        <v>0.63372132550984672</v>
      </c>
      <c r="DV134" s="10">
        <f t="shared" si="770"/>
        <v>25.520451371995591</v>
      </c>
      <c r="DW134" s="539">
        <f t="shared" si="771"/>
        <v>766.88956372846758</v>
      </c>
      <c r="DX134" s="19">
        <f t="shared" si="772"/>
        <v>19.528249389851027</v>
      </c>
      <c r="DY134" s="10">
        <f t="shared" si="773"/>
        <v>0.64985854874712234</v>
      </c>
      <c r="DZ134" s="10">
        <f t="shared" si="774"/>
        <v>26.170309920742714</v>
      </c>
      <c r="EA134" s="539">
        <f t="shared" si="775"/>
        <v>786.41781311831858</v>
      </c>
      <c r="EB134" s="19">
        <f t="shared" si="776"/>
        <v>20.025521151352326</v>
      </c>
      <c r="EC134" s="10">
        <f t="shared" si="777"/>
        <v>0.66640669388859652</v>
      </c>
      <c r="ED134" s="10">
        <f t="shared" si="778"/>
        <v>26.83671661463131</v>
      </c>
      <c r="EE134" s="539">
        <f t="shared" si="779"/>
        <v>806.44333426967091</v>
      </c>
      <c r="EF134" s="19">
        <f t="shared" si="780"/>
        <v>20.535455553515877</v>
      </c>
      <c r="EG134" s="10">
        <f t="shared" si="781"/>
        <v>0.68337622474262483</v>
      </c>
      <c r="EH134" s="10">
        <f t="shared" si="782"/>
        <v>27.520092839373934</v>
      </c>
      <c r="EI134" s="539">
        <f t="shared" si="783"/>
        <v>826.97878982318673</v>
      </c>
      <c r="EJ134" s="19">
        <f t="shared" si="784"/>
        <v>21.058375040688933</v>
      </c>
      <c r="EK134" s="10">
        <f t="shared" si="785"/>
        <v>0.70077787157034721</v>
      </c>
      <c r="EL134" s="10">
        <f t="shared" si="786"/>
        <v>28.220870710944283</v>
      </c>
      <c r="EM134" s="539">
        <f t="shared" si="787"/>
        <v>848.03716486387566</v>
      </c>
      <c r="EN134" s="19">
        <f t="shared" si="788"/>
        <v>21.594610268014566</v>
      </c>
      <c r="EO134" s="10">
        <f t="shared" si="789"/>
        <v>0.71862263787070102</v>
      </c>
      <c r="EP134" s="10">
        <f t="shared" si="790"/>
        <v>28.939493348814985</v>
      </c>
      <c r="EQ134" s="539">
        <f t="shared" si="791"/>
        <v>869.63177513189032</v>
      </c>
      <c r="ER134" s="19">
        <f t="shared" si="792"/>
        <v>22.144500310513227</v>
      </c>
      <c r="ES134" s="10">
        <f t="shared" si="793"/>
        <v>0.73692180733821055</v>
      </c>
      <c r="ET134" s="10">
        <f t="shared" si="794"/>
        <v>29.676415156153194</v>
      </c>
      <c r="EU134" s="539">
        <f t="shared" si="795"/>
        <v>891.77627544240352</v>
      </c>
      <c r="EV134" s="19">
        <f t="shared" si="796"/>
        <v>22.708392877488425</v>
      </c>
      <c r="EW134" s="10">
        <f t="shared" si="797"/>
        <v>0.75568695099795091</v>
      </c>
      <c r="EX134" s="10">
        <f t="shared" si="798"/>
        <v>30.432102107151145</v>
      </c>
      <c r="EY134" s="539">
        <f t="shared" si="799"/>
        <v>914.48466831989197</v>
      </c>
      <c r="EZ134" s="19">
        <f t="shared" si="800"/>
        <v>23.286644532392057</v>
      </c>
      <c r="FA134" s="10">
        <f t="shared" si="801"/>
        <v>0.77492993452219816</v>
      </c>
      <c r="FB134" s="10">
        <f t="shared" si="802"/>
        <v>31.207032041673344</v>
      </c>
      <c r="FC134" s="539">
        <f t="shared" si="803"/>
        <v>937.77131285228404</v>
      </c>
      <c r="FD134" s="19">
        <f t="shared" si="804"/>
        <v>23.879620918288442</v>
      </c>
      <c r="FE134" s="10">
        <f t="shared" si="805"/>
        <v>0.79466292573339237</v>
      </c>
      <c r="FF134" s="10">
        <f t="shared" si="806"/>
        <v>32.001694967406735</v>
      </c>
      <c r="FG134" s="539">
        <f t="shared" si="807"/>
        <v>961.65093377057235</v>
      </c>
      <c r="FH134" s="19">
        <f t="shared" si="808"/>
        <v>24.487696989059632</v>
      </c>
      <c r="FI134" s="10">
        <f t="shared" si="809"/>
        <v>0.81489840229815746</v>
      </c>
      <c r="FJ134" s="10">
        <f t="shared" si="810"/>
        <v>32.81659336970489</v>
      </c>
      <c r="FK134" s="539">
        <f t="shared" si="811"/>
        <v>986.13863075963195</v>
      </c>
      <c r="FL134" s="19">
        <f t="shared" si="812"/>
        <v>25.11125724649818</v>
      </c>
      <c r="FM134" s="10">
        <f t="shared" si="813"/>
        <v>0.83564915961724395</v>
      </c>
      <c r="FN134" s="10">
        <f t="shared" si="814"/>
        <v>33.652242529322137</v>
      </c>
      <c r="FO134" s="539">
        <f t="shared" si="815"/>
        <v>1011.2498880061303</v>
      </c>
      <c r="FP134" s="19">
        <f t="shared" si="816"/>
        <v>25.7506959834373</v>
      </c>
      <c r="FQ134" s="10">
        <f t="shared" si="817"/>
        <v>0.85692831891638266</v>
      </c>
      <c r="FR134" s="10">
        <f t="shared" si="818"/>
        <v>34.509170848238519</v>
      </c>
      <c r="FS134" s="539">
        <f t="shared" si="819"/>
        <v>1037.0005839895675</v>
      </c>
      <c r="FT134" s="19">
        <f t="shared" si="820"/>
        <v>26.406417533072116</v>
      </c>
      <c r="FU134" s="10">
        <f t="shared" si="821"/>
        <v>0.87874933554316526</v>
      </c>
      <c r="FV134" s="10">
        <f t="shared" si="822"/>
        <v>35.387920183781681</v>
      </c>
      <c r="FW134" s="539">
        <f t="shared" si="823"/>
        <v>1063.4070015226396</v>
      </c>
      <c r="FX134" s="19">
        <f t="shared" si="824"/>
        <v>27.078836524629743</v>
      </c>
      <c r="FY134" s="10">
        <f t="shared" si="825"/>
        <v>0.90112600747519944</v>
      </c>
      <c r="FZ134" s="10">
        <f t="shared" si="826"/>
        <v>36.28904619125688</v>
      </c>
      <c r="GA134" s="539">
        <f t="shared" si="827"/>
        <v>1090.4858380472692</v>
      </c>
      <c r="GB134" s="19">
        <f t="shared" si="828"/>
        <v>27.768378145549764</v>
      </c>
      <c r="GC134" s="10">
        <f t="shared" si="829"/>
        <v>0.92407248404491726</v>
      </c>
      <c r="GD134" s="10">
        <f t="shared" si="830"/>
        <v>37.2131186753018</v>
      </c>
      <c r="GE134" s="539">
        <f t="shared" si="831"/>
        <v>1118.2542161928191</v>
      </c>
      <c r="GF134" s="19">
        <f t="shared" si="832"/>
        <v>28.475478410340937</v>
      </c>
      <c r="GG134" s="10">
        <f t="shared" si="833"/>
        <v>0.9476032748865536</v>
      </c>
      <c r="GH134" s="10">
        <f t="shared" si="834"/>
        <v>38.160721950188353</v>
      </c>
      <c r="GI134" s="539">
        <f t="shared" si="835"/>
        <v>1146.7296946031599</v>
      </c>
      <c r="GJ134" s="19">
        <f t="shared" si="836"/>
        <v>29.200584436284128</v>
      </c>
      <c r="GK134" s="10">
        <f t="shared" si="837"/>
        <v>0.97173325911095265</v>
      </c>
      <c r="GL134" s="10">
        <f t="shared" si="838"/>
        <v>39.132455209299309</v>
      </c>
      <c r="GM134" s="539">
        <f t="shared" si="839"/>
        <v>1175.9302790394443</v>
      </c>
      <c r="GN134" s="19">
        <f t="shared" si="840"/>
        <v>29.94415472615583</v>
      </c>
      <c r="GO134" s="10">
        <f t="shared" si="841"/>
        <v>0.99647769471400427</v>
      </c>
      <c r="GP134" s="10">
        <f t="shared" si="842"/>
        <v>40.128932904013311</v>
      </c>
      <c r="GQ134" s="539">
        <f t="shared" si="843"/>
        <v>1205.8744337656001</v>
      </c>
      <c r="GR134" s="19">
        <f t="shared" si="844"/>
        <v>30.706659458150984</v>
      </c>
      <c r="GS134" s="10">
        <f t="shared" si="845"/>
        <v>1.0218522282246583</v>
      </c>
      <c r="GT134" s="10">
        <f t="shared" si="846"/>
        <v>41.150785132237971</v>
      </c>
      <c r="GU134" s="539">
        <f t="shared" si="847"/>
        <v>1236.5810932237509</v>
      </c>
      <c r="GV134" s="19">
        <f t="shared" si="848"/>
        <v>31.488580783188496</v>
      </c>
      <c r="GW134" s="10">
        <f t="shared" si="849"/>
        <v>1.0478729045986188</v>
      </c>
      <c r="GX134" s="10">
        <f t="shared" si="850"/>
        <v>42.198658036836591</v>
      </c>
      <c r="GY134" s="539">
        <f t="shared" si="851"/>
        <v>1268.0696740069395</v>
      </c>
      <c r="GZ134" s="19">
        <f t="shared" si="852"/>
        <v>32.29041312978736</v>
      </c>
      <c r="HA134" s="10">
        <f t="shared" si="853"/>
        <v>1.074556177363972</v>
      </c>
      <c r="HB134" s="10">
        <f t="shared" si="854"/>
        <v>43.273214214200564</v>
      </c>
      <c r="HC134" s="539">
        <f t="shared" si="855"/>
        <v>1300.3600871367271</v>
      </c>
      <c r="HD134" s="19">
        <f t="shared" si="856"/>
        <v>33.11266351670627</v>
      </c>
      <c r="HE134" s="10">
        <f t="shared" si="857"/>
        <v>1.101918919025167</v>
      </c>
      <c r="HF134" s="10">
        <f t="shared" si="858"/>
        <v>44.375133133225731</v>
      </c>
      <c r="HG134" s="539">
        <f t="shared" si="859"/>
        <v>1333.4727506534332</v>
      </c>
      <c r="HH134" s="19">
        <f t="shared" si="860"/>
        <v>33.955851873544326</v>
      </c>
      <c r="HI134" s="10">
        <f t="shared" si="861"/>
        <v>1.1299784317319244</v>
      </c>
      <c r="HJ134" s="10">
        <f t="shared" si="862"/>
        <v>45.505111564957659</v>
      </c>
      <c r="HK134" s="539">
        <f t="shared" si="863"/>
        <v>1367.4286025269778</v>
      </c>
      <c r="HL134" s="19">
        <f t="shared" si="864"/>
        <v>34.820511369505603</v>
      </c>
      <c r="HM134" s="10">
        <f t="shared" si="865"/>
        <v>1.1587524582198203</v>
      </c>
      <c r="HN134" s="10">
        <f t="shared" si="866"/>
        <v>46.663864023177481</v>
      </c>
      <c r="HO134" s="539">
        <f t="shared" si="867"/>
        <v>1402.2491138964833</v>
      </c>
      <c r="HP134" s="19">
        <f t="shared" si="868"/>
        <v>35.707188750535408</v>
      </c>
      <c r="HQ134" s="10">
        <f t="shared" si="869"/>
        <v>1.1882591930294646</v>
      </c>
      <c r="HR134" s="10">
        <f t="shared" si="870"/>
        <v>47.852123216206948</v>
      </c>
      <c r="HS134" s="539">
        <f t="shared" si="871"/>
        <v>1437.9563026470189</v>
      </c>
      <c r="HT134" s="19">
        <f t="shared" si="872"/>
        <v>36.616444685041557</v>
      </c>
      <c r="HU134" s="10">
        <f t="shared" si="873"/>
        <v>1.2185172940113662</v>
      </c>
      <c r="HV134" s="10">
        <f t="shared" si="874"/>
        <v>49.070640510218311</v>
      </c>
      <c r="HW134" s="539">
        <f t="shared" si="875"/>
        <v>1474.5727473320603</v>
      </c>
      <c r="HX134" s="19">
        <f t="shared" si="876"/>
        <v>37.548854118419051</v>
      </c>
      <c r="HY134" s="10">
        <f t="shared" si="877"/>
        <v>1.249545894123762</v>
      </c>
      <c r="HZ134" s="10">
        <f t="shared" si="878"/>
        <v>50.320186404342074</v>
      </c>
      <c r="IA134" s="539">
        <f t="shared" si="879"/>
        <v>1512.1216014504794</v>
      </c>
      <c r="IB134" s="19">
        <f t="shared" si="880"/>
        <v>38.505006636602552</v>
      </c>
      <c r="IM134" s="11"/>
      <c r="IN134" s="19"/>
      <c r="IO134" s="20"/>
      <c r="IP134" s="10"/>
    </row>
    <row r="135" spans="1:261">
      <c r="A135" s="11"/>
      <c r="B135" s="20"/>
      <c r="C135" s="826" t="s">
        <v>2344</v>
      </c>
      <c r="D135" s="47" t="s">
        <v>874</v>
      </c>
      <c r="E135" s="396">
        <f t="shared" si="931"/>
        <v>18.0779</v>
      </c>
      <c r="F135" s="242">
        <v>2.0779000000000001</v>
      </c>
      <c r="G135" s="48">
        <f>'Update Stock Prices'!S135</f>
        <v>490736104.15623438</v>
      </c>
      <c r="H135" s="991">
        <f t="shared" si="610"/>
        <v>4.2342513265306121E-9</v>
      </c>
      <c r="I135" s="49">
        <f>'Update Stock Prices'!D135</f>
        <v>19.97</v>
      </c>
      <c r="J135" s="49">
        <f t="shared" si="1039"/>
        <v>41.495663</v>
      </c>
      <c r="K135" s="30">
        <v>35.869999999999997</v>
      </c>
      <c r="L135" s="49">
        <f t="shared" si="611"/>
        <v>5.625663000000003</v>
      </c>
      <c r="M135" s="50">
        <f t="shared" si="613"/>
        <v>0.15683476442709796</v>
      </c>
      <c r="N135" s="49">
        <f t="shared" si="612"/>
        <v>17.262620915347224</v>
      </c>
      <c r="O135" s="48">
        <f t="shared" si="932"/>
        <v>16</v>
      </c>
      <c r="P135" s="49">
        <f t="shared" si="933"/>
        <v>1.4900000000000091</v>
      </c>
      <c r="Q135" s="30">
        <f>0.16*4</f>
        <v>0.64</v>
      </c>
      <c r="R135" s="49">
        <f t="shared" ref="R135" si="1042">S135/365.25</f>
        <v>3.640947296372348E-3</v>
      </c>
      <c r="S135" s="49">
        <f t="shared" si="935"/>
        <v>1.3298560000000001</v>
      </c>
      <c r="T135" s="49">
        <f t="shared" ref="T135" si="1043">S135/12</f>
        <v>0.11082133333333334</v>
      </c>
      <c r="U135" s="49" t="s">
        <v>54</v>
      </c>
      <c r="V135" s="50">
        <f t="shared" si="937"/>
        <v>3.2048072108162247E-2</v>
      </c>
      <c r="W135" s="50">
        <f t="shared" si="575"/>
        <v>3.7074323947588521E-2</v>
      </c>
      <c r="X135" s="49">
        <f t="shared" si="938"/>
        <v>10.239999999999998</v>
      </c>
      <c r="Y135" s="49">
        <f t="shared" si="654"/>
        <v>0.33246400000000004</v>
      </c>
      <c r="Z135" s="860">
        <f t="shared" si="939"/>
        <v>0</v>
      </c>
      <c r="AA135" s="860">
        <f t="shared" si="940"/>
        <v>122.73459999999999</v>
      </c>
      <c r="AB135" s="49">
        <f t="shared" si="941"/>
        <v>2451.0099619999996</v>
      </c>
      <c r="AC135" s="48">
        <v>1</v>
      </c>
      <c r="AD135" s="47" t="str">
        <f t="shared" si="942"/>
        <v>WU</v>
      </c>
      <c r="AE135" s="49">
        <f t="shared" si="943"/>
        <v>41.495663</v>
      </c>
      <c r="AF135" s="50" t="e">
        <f t="shared" si="1040"/>
        <v>#REF!</v>
      </c>
      <c r="AG135" s="890" t="e">
        <f t="shared" si="910"/>
        <v>#REF!</v>
      </c>
      <c r="AH135" s="207" t="s">
        <v>878</v>
      </c>
      <c r="AI135" s="240">
        <f t="shared" si="1041"/>
        <v>3.9088926918999607E-3</v>
      </c>
      <c r="AJ135" s="11">
        <f t="shared" ref="AJ135:AJ146" si="1044">LEN(D135)</f>
        <v>2</v>
      </c>
      <c r="AK135" s="11"/>
      <c r="AL135" s="11"/>
      <c r="AM135" s="11"/>
      <c r="AN135" s="11"/>
      <c r="AO135" s="11"/>
      <c r="AP135" s="11"/>
      <c r="AQ135" s="11" t="str">
        <f>'Update Stock Prices'!Q135</f>
        <v>mid</v>
      </c>
      <c r="AR135" s="11"/>
      <c r="AS135" s="11"/>
      <c r="AT135" s="420" t="s">
        <v>2440</v>
      </c>
      <c r="AU135" s="185" t="e">
        <f ca="1">AU134*365.25</f>
        <v>#REF!</v>
      </c>
      <c r="AV135" s="19" t="e">
        <f ca="1">AV134*365.25</f>
        <v>#REF!</v>
      </c>
      <c r="AW135" s="555"/>
      <c r="AX135" s="183"/>
      <c r="AY135" s="233"/>
      <c r="AZ135" s="236"/>
      <c r="BA135" s="225" t="s">
        <v>1430</v>
      </c>
      <c r="BB135" s="555">
        <f>BB115</f>
        <v>107435</v>
      </c>
      <c r="BC135" s="20">
        <f>BB127</f>
        <v>110529.128</v>
      </c>
      <c r="BD135" s="25">
        <f>BC135-BB135</f>
        <v>3094.127999999997</v>
      </c>
      <c r="BE135" s="25"/>
      <c r="BF135" s="25"/>
      <c r="BG135" s="1012"/>
      <c r="BH135" s="746"/>
      <c r="BK135" s="19"/>
      <c r="BS135" s="420" t="str">
        <f t="shared" si="715"/>
        <v>WU</v>
      </c>
      <c r="BT135" s="425">
        <f t="shared" si="716"/>
        <v>2.0779000000000001</v>
      </c>
      <c r="BU135" s="19">
        <f t="shared" si="717"/>
        <v>19.97</v>
      </c>
      <c r="BV135" s="19">
        <f t="shared" si="718"/>
        <v>41.495663</v>
      </c>
      <c r="BW135" s="539">
        <f t="shared" si="719"/>
        <v>0.64</v>
      </c>
      <c r="BX135" s="19">
        <f t="shared" si="720"/>
        <v>1.3298560000000001</v>
      </c>
      <c r="BY135" s="10">
        <f t="shared" si="721"/>
        <v>6.659268903355034E-2</v>
      </c>
      <c r="BZ135" s="10">
        <f t="shared" si="722"/>
        <v>2.1444926890335503</v>
      </c>
      <c r="CA135" s="539">
        <f t="shared" si="723"/>
        <v>42.825519</v>
      </c>
      <c r="CB135" s="19">
        <f t="shared" si="724"/>
        <v>1.3724753209814722</v>
      </c>
      <c r="CC135" s="10">
        <f t="shared" si="725"/>
        <v>6.8726856333573977E-2</v>
      </c>
      <c r="CD135" s="10">
        <f t="shared" si="726"/>
        <v>2.2132195453671244</v>
      </c>
      <c r="CE135" s="539">
        <f t="shared" si="727"/>
        <v>44.197994320981472</v>
      </c>
      <c r="CF135" s="19">
        <f t="shared" si="728"/>
        <v>1.4164605090349596</v>
      </c>
      <c r="CG135" s="10">
        <f t="shared" si="729"/>
        <v>7.092941958111966E-2</v>
      </c>
      <c r="CH135" s="10">
        <f t="shared" si="730"/>
        <v>2.284148964948244</v>
      </c>
      <c r="CI135" s="539">
        <f t="shared" si="731"/>
        <v>45.614454830016427</v>
      </c>
      <c r="CJ135" s="19">
        <f t="shared" si="732"/>
        <v>1.4618553375668761</v>
      </c>
      <c r="CK135" s="10">
        <f t="shared" si="733"/>
        <v>7.3202570734445485E-2</v>
      </c>
      <c r="CL135" s="10">
        <f t="shared" si="734"/>
        <v>2.3573515356826897</v>
      </c>
      <c r="CM135" s="539">
        <f t="shared" si="735"/>
        <v>47.076310167583308</v>
      </c>
      <c r="CN135" s="19">
        <f t="shared" si="736"/>
        <v>1.5087049828369214</v>
      </c>
      <c r="CO135" s="10">
        <f t="shared" si="737"/>
        <v>7.554857199984584E-2</v>
      </c>
      <c r="CP135" s="10">
        <f t="shared" si="738"/>
        <v>2.4329001076825354</v>
      </c>
      <c r="CQ135" s="539">
        <f t="shared" si="739"/>
        <v>48.585015150420226</v>
      </c>
      <c r="CR135" s="19">
        <f t="shared" si="740"/>
        <v>1.5570560689168227</v>
      </c>
      <c r="CS135" s="10">
        <f t="shared" si="741"/>
        <v>7.7969758082965593E-2</v>
      </c>
      <c r="CT135" s="10">
        <f t="shared" si="742"/>
        <v>2.5108698657655011</v>
      </c>
      <c r="CU135" s="539">
        <f t="shared" si="743"/>
        <v>50.142071219337055</v>
      </c>
      <c r="CV135" s="19">
        <f t="shared" si="744"/>
        <v>1.6069567140899208</v>
      </c>
      <c r="CW135" s="10">
        <f t="shared" si="745"/>
        <v>8.0468538512264445E-2</v>
      </c>
      <c r="CX135" s="10">
        <f t="shared" si="746"/>
        <v>2.5913384042777654</v>
      </c>
      <c r="CY135" s="539">
        <f t="shared" si="747"/>
        <v>51.749027933426973</v>
      </c>
      <c r="CZ135" s="19">
        <f t="shared" si="748"/>
        <v>1.6584565787377699</v>
      </c>
      <c r="DA135" s="10">
        <f t="shared" si="749"/>
        <v>8.3047400036943914E-2</v>
      </c>
      <c r="DB135" s="10">
        <f t="shared" si="750"/>
        <v>2.6743858043147095</v>
      </c>
      <c r="DC135" s="539">
        <f t="shared" si="751"/>
        <v>53.407484512164743</v>
      </c>
      <c r="DD135" s="19">
        <f t="shared" si="752"/>
        <v>1.7116069147614141</v>
      </c>
      <c r="DE135" s="10">
        <f t="shared" si="753"/>
        <v>8.5708909101723296E-2</v>
      </c>
      <c r="DF135" s="10">
        <f t="shared" si="754"/>
        <v>2.7600947134164326</v>
      </c>
      <c r="DG135" s="539">
        <f t="shared" si="755"/>
        <v>55.119091426926154</v>
      </c>
      <c r="DH135" s="19">
        <f t="shared" si="756"/>
        <v>1.7664606165865169</v>
      </c>
      <c r="DI135" s="10">
        <f t="shared" si="757"/>
        <v>8.8455714400927241E-2</v>
      </c>
      <c r="DJ135" s="10">
        <f t="shared" si="758"/>
        <v>2.8485504278173597</v>
      </c>
      <c r="DK135" s="539">
        <f t="shared" si="759"/>
        <v>56.885552043512668</v>
      </c>
      <c r="DL135" s="19">
        <f t="shared" si="760"/>
        <v>1.8230722738031102</v>
      </c>
      <c r="DM135" s="10">
        <f t="shared" si="761"/>
        <v>9.1290549514427152E-2</v>
      </c>
      <c r="DN135" s="10">
        <f t="shared" si="762"/>
        <v>2.9398409773317868</v>
      </c>
      <c r="DO135" s="539">
        <f t="shared" si="763"/>
        <v>58.708624317315781</v>
      </c>
      <c r="DP135" s="19">
        <f t="shared" si="764"/>
        <v>1.8814982254923436</v>
      </c>
      <c r="DQ135" s="10">
        <f t="shared" si="765"/>
        <v>9.4216235628059267E-2</v>
      </c>
      <c r="DR135" s="10">
        <f t="shared" si="766"/>
        <v>3.034057212959846</v>
      </c>
      <c r="DS135" s="539">
        <f t="shared" si="767"/>
        <v>60.590122542808118</v>
      </c>
      <c r="DT135" s="19">
        <f t="shared" si="768"/>
        <v>1.9417966162943014</v>
      </c>
      <c r="DU135" s="10">
        <f t="shared" si="769"/>
        <v>9.7235684341226924E-2</v>
      </c>
      <c r="DV135" s="10">
        <f t="shared" si="770"/>
        <v>3.1312928973010727</v>
      </c>
      <c r="DW135" s="539">
        <f t="shared" si="771"/>
        <v>62.531919159102422</v>
      </c>
      <c r="DX135" s="19">
        <f t="shared" si="772"/>
        <v>2.0040274542726868</v>
      </c>
      <c r="DY135" s="10">
        <f t="shared" si="773"/>
        <v>0.10035190056448107</v>
      </c>
      <c r="DZ135" s="10">
        <f t="shared" si="774"/>
        <v>3.2316447978655538</v>
      </c>
      <c r="EA135" s="539">
        <f t="shared" si="775"/>
        <v>64.535946613375103</v>
      </c>
      <c r="EB135" s="19">
        <f t="shared" si="776"/>
        <v>2.0682526706339543</v>
      </c>
      <c r="EC135" s="10">
        <f t="shared" si="777"/>
        <v>0.10356798550996267</v>
      </c>
      <c r="ED135" s="10">
        <f t="shared" si="778"/>
        <v>3.3352127833755163</v>
      </c>
      <c r="EE135" s="539">
        <f t="shared" si="779"/>
        <v>66.604199284009056</v>
      </c>
      <c r="EF135" s="19">
        <f t="shared" si="780"/>
        <v>2.1345361813603305</v>
      </c>
      <c r="EG135" s="10">
        <f t="shared" si="781"/>
        <v>0.10688713977768306</v>
      </c>
      <c r="EH135" s="10">
        <f t="shared" si="782"/>
        <v>3.4420999231531995</v>
      </c>
      <c r="EI135" s="539">
        <f t="shared" si="783"/>
        <v>68.738735465369388</v>
      </c>
      <c r="EJ135" s="19">
        <f t="shared" si="784"/>
        <v>2.2029439508180477</v>
      </c>
      <c r="EK135" s="10">
        <f t="shared" si="785"/>
        <v>0.11031266654071346</v>
      </c>
      <c r="EL135" s="10">
        <f t="shared" si="786"/>
        <v>3.5524125896939127</v>
      </c>
      <c r="EM135" s="539">
        <f t="shared" si="787"/>
        <v>70.941679416187426</v>
      </c>
      <c r="EN135" s="19">
        <f t="shared" si="788"/>
        <v>2.2735440574041044</v>
      </c>
      <c r="EO135" s="10">
        <f t="shared" si="789"/>
        <v>0.1138479748324539</v>
      </c>
      <c r="EP135" s="10">
        <f t="shared" si="790"/>
        <v>3.6662605645263664</v>
      </c>
      <c r="EQ135" s="539">
        <f t="shared" si="791"/>
        <v>73.215223473591536</v>
      </c>
      <c r="ER135" s="19">
        <f t="shared" si="792"/>
        <v>2.3464067612968744</v>
      </c>
      <c r="ES135" s="10">
        <f t="shared" si="793"/>
        <v>0.11749658293925261</v>
      </c>
      <c r="ET135" s="10">
        <f t="shared" si="794"/>
        <v>3.7837571474656189</v>
      </c>
      <c r="EU135" s="539">
        <f t="shared" si="795"/>
        <v>75.561630234888398</v>
      </c>
      <c r="EV135" s="19">
        <f t="shared" si="796"/>
        <v>2.4216045743779961</v>
      </c>
      <c r="EW135" s="10">
        <f t="shared" si="797"/>
        <v>0.12126212190175244</v>
      </c>
      <c r="EX135" s="10">
        <f t="shared" si="798"/>
        <v>3.9050192693673713</v>
      </c>
      <c r="EY135" s="539">
        <f t="shared" si="799"/>
        <v>77.983234809266406</v>
      </c>
      <c r="EZ135" s="19">
        <f t="shared" si="800"/>
        <v>2.4992123323951176</v>
      </c>
      <c r="FA135" s="10">
        <f t="shared" si="801"/>
        <v>0.12514833912844855</v>
      </c>
      <c r="FB135" s="10">
        <f t="shared" si="802"/>
        <v>4.0301676084958196</v>
      </c>
      <c r="FC135" s="539">
        <f t="shared" si="803"/>
        <v>80.48244714166151</v>
      </c>
      <c r="FD135" s="19">
        <f t="shared" si="804"/>
        <v>2.5793072694373245</v>
      </c>
      <c r="FE135" s="10">
        <f t="shared" si="805"/>
        <v>0.1291591021250538</v>
      </c>
      <c r="FF135" s="10">
        <f t="shared" si="806"/>
        <v>4.1593267106208733</v>
      </c>
      <c r="FG135" s="539">
        <f t="shared" si="807"/>
        <v>83.061754411098832</v>
      </c>
      <c r="FH135" s="19">
        <f t="shared" si="808"/>
        <v>2.6619690947973589</v>
      </c>
      <c r="FI135" s="10">
        <f t="shared" si="809"/>
        <v>0.13329840234338303</v>
      </c>
      <c r="FJ135" s="10">
        <f t="shared" si="810"/>
        <v>4.2926251129642568</v>
      </c>
      <c r="FK135" s="539">
        <f t="shared" si="811"/>
        <v>85.723723505896203</v>
      </c>
      <c r="FL135" s="19">
        <f t="shared" si="812"/>
        <v>2.7472800722971242</v>
      </c>
      <c r="FM135" s="10">
        <f t="shared" si="813"/>
        <v>0.13757035915358659</v>
      </c>
      <c r="FN135" s="10">
        <f t="shared" si="814"/>
        <v>4.4301954721178429</v>
      </c>
      <c r="FO135" s="539">
        <f t="shared" si="815"/>
        <v>88.471003578193319</v>
      </c>
      <c r="FP135" s="19">
        <f t="shared" si="816"/>
        <v>2.8353251021554193</v>
      </c>
      <c r="FQ135" s="10">
        <f t="shared" si="817"/>
        <v>0.14197922394368651</v>
      </c>
      <c r="FR135" s="10">
        <f t="shared" si="818"/>
        <v>4.5721746960615297</v>
      </c>
      <c r="FS135" s="539">
        <f t="shared" si="819"/>
        <v>91.306328680348741</v>
      </c>
      <c r="FT135" s="19">
        <f t="shared" si="820"/>
        <v>2.926191805479379</v>
      </c>
      <c r="FU135" s="10">
        <f t="shared" si="821"/>
        <v>0.1465293843504947</v>
      </c>
      <c r="FV135" s="10">
        <f t="shared" si="822"/>
        <v>4.7187040804120244</v>
      </c>
      <c r="FW135" s="539">
        <f t="shared" si="823"/>
        <v>94.232520485828118</v>
      </c>
      <c r="FX135" s="19">
        <f t="shared" si="824"/>
        <v>3.0199706114636955</v>
      </c>
      <c r="FY135" s="10">
        <f t="shared" si="825"/>
        <v>0.15122536862612396</v>
      </c>
      <c r="FZ135" s="10">
        <f t="shared" si="826"/>
        <v>4.869929449038148</v>
      </c>
      <c r="GA135" s="539">
        <f t="shared" si="827"/>
        <v>97.252491097291809</v>
      </c>
      <c r="GB135" s="19">
        <f t="shared" si="828"/>
        <v>3.1167548473844149</v>
      </c>
      <c r="GC135" s="10">
        <f t="shared" si="829"/>
        <v>0.15607185014443742</v>
      </c>
      <c r="GD135" s="10">
        <f t="shared" si="830"/>
        <v>5.0260012991825853</v>
      </c>
      <c r="GE135" s="539">
        <f t="shared" si="831"/>
        <v>100.36924594467622</v>
      </c>
      <c r="GF135" s="19">
        <f t="shared" si="832"/>
        <v>3.2166408314768549</v>
      </c>
      <c r="GG135" s="10">
        <f t="shared" si="833"/>
        <v>0.16107365205192065</v>
      </c>
      <c r="GH135" s="10">
        <f t="shared" si="834"/>
        <v>5.1870749512345062</v>
      </c>
      <c r="GI135" s="539">
        <f t="shared" si="835"/>
        <v>103.58588677615309</v>
      </c>
      <c r="GJ135" s="19">
        <f t="shared" si="836"/>
        <v>3.319727968790084</v>
      </c>
      <c r="GK135" s="10">
        <f t="shared" si="837"/>
        <v>0.16623575206760563</v>
      </c>
      <c r="GL135" s="10">
        <f t="shared" si="838"/>
        <v>5.3533107033021121</v>
      </c>
      <c r="GM135" s="539">
        <f t="shared" si="839"/>
        <v>106.90561474494318</v>
      </c>
      <c r="GN135" s="19">
        <f t="shared" si="840"/>
        <v>3.4261188501133519</v>
      </c>
      <c r="GO135" s="10">
        <f t="shared" si="841"/>
        <v>0.17156328743682284</v>
      </c>
      <c r="GP135" s="10">
        <f t="shared" si="842"/>
        <v>5.5248739907389348</v>
      </c>
      <c r="GQ135" s="539">
        <f t="shared" si="843"/>
        <v>110.33173359505652</v>
      </c>
      <c r="GR135" s="19">
        <f t="shared" si="844"/>
        <v>3.5359193540729184</v>
      </c>
      <c r="GS135" s="10">
        <f t="shared" si="845"/>
        <v>0.17706156004371149</v>
      </c>
      <c r="GT135" s="10">
        <f t="shared" si="846"/>
        <v>5.7019355507826459</v>
      </c>
      <c r="GU135" s="539">
        <f t="shared" si="847"/>
        <v>113.86765294912944</v>
      </c>
      <c r="GV135" s="19">
        <f t="shared" si="848"/>
        <v>3.6492387525008936</v>
      </c>
      <c r="GW135" s="10">
        <f t="shared" si="849"/>
        <v>0.18273604168757604</v>
      </c>
      <c r="GX135" s="10">
        <f t="shared" si="850"/>
        <v>5.8846715924702222</v>
      </c>
      <c r="GY135" s="539">
        <f t="shared" si="851"/>
        <v>117.51689170163033</v>
      </c>
      <c r="GZ135" s="19">
        <f t="shared" si="852"/>
        <v>3.7661898191809424</v>
      </c>
      <c r="HA135" s="10">
        <f t="shared" si="853"/>
        <v>0.18859237952833965</v>
      </c>
      <c r="HB135" s="10">
        <f t="shared" si="854"/>
        <v>6.0732639719985615</v>
      </c>
      <c r="HC135" s="539">
        <f t="shared" si="855"/>
        <v>121.28308152081127</v>
      </c>
      <c r="HD135" s="19">
        <f t="shared" si="856"/>
        <v>3.8868889420790795</v>
      </c>
      <c r="HE135" s="10">
        <f t="shared" si="857"/>
        <v>0.19463640170651375</v>
      </c>
      <c r="HF135" s="10">
        <f t="shared" si="858"/>
        <v>6.2679003737050749</v>
      </c>
      <c r="HG135" s="539">
        <f t="shared" si="859"/>
        <v>125.16997046289033</v>
      </c>
      <c r="HH135" s="19">
        <f t="shared" si="860"/>
        <v>4.0114562391712481</v>
      </c>
      <c r="HI135" s="10">
        <f t="shared" si="861"/>
        <v>0.20087412314327732</v>
      </c>
      <c r="HJ135" s="10">
        <f t="shared" si="862"/>
        <v>6.4687744968483525</v>
      </c>
      <c r="HK135" s="539">
        <f t="shared" si="863"/>
        <v>129.1814267020616</v>
      </c>
      <c r="HL135" s="19">
        <f t="shared" si="864"/>
        <v>4.1400156779829453</v>
      </c>
      <c r="HM135" s="10">
        <f t="shared" si="865"/>
        <v>0.20731175152643694</v>
      </c>
      <c r="HN135" s="10">
        <f t="shared" si="866"/>
        <v>6.6760862483747898</v>
      </c>
      <c r="HO135" s="539">
        <f t="shared" si="867"/>
        <v>133.32144238004454</v>
      </c>
      <c r="HP135" s="19">
        <f t="shared" si="868"/>
        <v>4.2726951989598652</v>
      </c>
      <c r="HQ135" s="10">
        <f t="shared" si="869"/>
        <v>0.2139556934882256</v>
      </c>
      <c r="HR135" s="10">
        <f t="shared" si="870"/>
        <v>6.8900419418630152</v>
      </c>
      <c r="HS135" s="539">
        <f t="shared" si="871"/>
        <v>137.59413757900441</v>
      </c>
      <c r="HT135" s="19">
        <f t="shared" si="872"/>
        <v>4.4096268427923295</v>
      </c>
      <c r="HU135" s="10">
        <f t="shared" si="873"/>
        <v>0.22081256098108812</v>
      </c>
      <c r="HV135" s="10">
        <f t="shared" si="874"/>
        <v>7.110854502844103</v>
      </c>
      <c r="HW135" s="539">
        <f t="shared" si="875"/>
        <v>142.00376442179672</v>
      </c>
      <c r="HX135" s="19">
        <f t="shared" si="876"/>
        <v>4.5509468818202263</v>
      </c>
      <c r="HY135" s="10">
        <f t="shared" si="877"/>
        <v>0.22788917785779803</v>
      </c>
      <c r="HZ135" s="10">
        <f t="shared" si="878"/>
        <v>7.3387436807019011</v>
      </c>
      <c r="IA135" s="539">
        <f t="shared" si="879"/>
        <v>146.55471130361695</v>
      </c>
      <c r="IB135" s="19">
        <f t="shared" si="880"/>
        <v>4.6967959556492165</v>
      </c>
      <c r="IM135" s="11"/>
      <c r="IN135" s="19"/>
      <c r="IO135" s="20"/>
      <c r="IP135" s="10"/>
      <c r="JA135" s="11"/>
    </row>
    <row r="136" spans="1:261" ht="13.5" thickBot="1">
      <c r="A136" s="11"/>
      <c r="B136" s="20"/>
      <c r="C136" s="826" t="s">
        <v>2341</v>
      </c>
      <c r="D136" s="47" t="s">
        <v>143</v>
      </c>
      <c r="E136" s="396">
        <f t="shared" si="931"/>
        <v>16.0898</v>
      </c>
      <c r="F136" s="242">
        <v>7.0898000000000003</v>
      </c>
      <c r="G136" s="48">
        <f>'Update Stock Prices'!S136</f>
        <v>167258732.97809353</v>
      </c>
      <c r="H136" s="991">
        <f t="shared" si="610"/>
        <v>4.2388220176991154E-8</v>
      </c>
      <c r="I136" s="49">
        <f>'Update Stock Prices'!D136</f>
        <v>33.78</v>
      </c>
      <c r="J136" s="49">
        <f t="shared" si="1039"/>
        <v>239.49344400000001</v>
      </c>
      <c r="K136" s="30">
        <v>99.27</v>
      </c>
      <c r="L136" s="49">
        <f t="shared" si="611"/>
        <v>140.22344400000003</v>
      </c>
      <c r="M136" s="50">
        <f t="shared" si="613"/>
        <v>1.4125460259897253</v>
      </c>
      <c r="N136" s="49">
        <f t="shared" si="612"/>
        <v>14.00180541058986</v>
      </c>
      <c r="O136" s="48">
        <f t="shared" si="932"/>
        <v>9</v>
      </c>
      <c r="P136" s="49">
        <f t="shared" si="933"/>
        <v>16.990000000000009</v>
      </c>
      <c r="Q136" s="30">
        <f>0.05*4</f>
        <v>0.2</v>
      </c>
      <c r="R136" s="49">
        <f t="shared" ref="R136" si="1045">S136/365.25</f>
        <v>3.8821629021218345E-3</v>
      </c>
      <c r="S136" s="49">
        <f t="shared" si="935"/>
        <v>1.4179600000000001</v>
      </c>
      <c r="T136" s="49">
        <f t="shared" ref="T136" si="1046">S136/12</f>
        <v>0.11816333333333334</v>
      </c>
      <c r="U136" s="49" t="s">
        <v>54</v>
      </c>
      <c r="V136" s="50">
        <f t="shared" si="937"/>
        <v>5.920663114268798E-3</v>
      </c>
      <c r="W136" s="50">
        <f t="shared" si="575"/>
        <v>1.4283872267553139E-2</v>
      </c>
      <c r="X136" s="49">
        <f t="shared" si="938"/>
        <v>1.8000000000000003</v>
      </c>
      <c r="Y136" s="49">
        <f t="shared" si="654"/>
        <v>0.35449000000000003</v>
      </c>
      <c r="Z136" s="860">
        <f t="shared" si="939"/>
        <v>0</v>
      </c>
      <c r="AA136" s="860">
        <f t="shared" si="940"/>
        <v>668.51020000000005</v>
      </c>
      <c r="AB136" s="49">
        <f t="shared" si="941"/>
        <v>22582.274556000004</v>
      </c>
      <c r="AC136" s="48">
        <v>1</v>
      </c>
      <c r="AD136" s="47" t="str">
        <f t="shared" si="942"/>
        <v>X</v>
      </c>
      <c r="AE136" s="49">
        <f t="shared" si="943"/>
        <v>239.49344400000001</v>
      </c>
      <c r="AF136" s="50" t="e">
        <f t="shared" si="1040"/>
        <v>#REF!</v>
      </c>
      <c r="AG136" s="890" t="e">
        <f t="shared" si="910"/>
        <v>#REF!</v>
      </c>
      <c r="AH136" s="207" t="s">
        <v>1145</v>
      </c>
      <c r="AI136" s="240">
        <f t="shared" si="1041"/>
        <v>0.13020737723308165</v>
      </c>
      <c r="AJ136" s="11">
        <f t="shared" si="1044"/>
        <v>1</v>
      </c>
      <c r="AK136" s="11"/>
      <c r="AL136" s="11"/>
      <c r="AM136" s="11"/>
      <c r="AN136" s="11"/>
      <c r="AO136" s="11"/>
      <c r="AP136" s="11"/>
      <c r="AQ136" s="11" t="str">
        <f>'Update Stock Prices'!Q136</f>
        <v>mid</v>
      </c>
      <c r="AR136" s="11"/>
      <c r="AS136" s="11"/>
      <c r="AU136" s="709"/>
      <c r="AZ136" s="236"/>
      <c r="BA136" s="224" t="s">
        <v>1843</v>
      </c>
      <c r="BB136" s="25">
        <v>112021</v>
      </c>
      <c r="BC136" s="810">
        <f>BB136*(1+BA127)</f>
        <v>115247.20479999999</v>
      </c>
      <c r="BD136" s="20">
        <f>BC136-BB136</f>
        <v>3226.2047999999922</v>
      </c>
      <c r="BE136" s="20">
        <f>BC136-BB135</f>
        <v>7812.2047999999922</v>
      </c>
      <c r="BF136" s="1055"/>
      <c r="BG136" s="186"/>
      <c r="BH136" s="20"/>
      <c r="BK136" s="19"/>
      <c r="BS136" s="420" t="str">
        <f t="shared" si="715"/>
        <v>X</v>
      </c>
      <c r="BT136" s="425">
        <f t="shared" si="716"/>
        <v>7.0898000000000003</v>
      </c>
      <c r="BU136" s="19">
        <f t="shared" si="717"/>
        <v>33.78</v>
      </c>
      <c r="BV136" s="19">
        <f t="shared" si="718"/>
        <v>239.49344400000001</v>
      </c>
      <c r="BW136" s="539">
        <f t="shared" si="719"/>
        <v>0.2</v>
      </c>
      <c r="BX136" s="19">
        <f t="shared" si="720"/>
        <v>1.4179600000000001</v>
      </c>
      <c r="BY136" s="10">
        <f t="shared" si="721"/>
        <v>4.1976317347542924E-2</v>
      </c>
      <c r="BZ136" s="10">
        <f t="shared" si="722"/>
        <v>7.1317763173475432</v>
      </c>
      <c r="CA136" s="539">
        <f t="shared" si="723"/>
        <v>240.91140400000003</v>
      </c>
      <c r="CB136" s="19">
        <f t="shared" si="724"/>
        <v>1.4263552634695087</v>
      </c>
      <c r="CC136" s="10">
        <f t="shared" si="725"/>
        <v>4.2224844981335365E-2</v>
      </c>
      <c r="CD136" s="10">
        <f t="shared" si="726"/>
        <v>7.1740011623288789</v>
      </c>
      <c r="CE136" s="539">
        <f t="shared" si="727"/>
        <v>242.33775926346954</v>
      </c>
      <c r="CF136" s="19">
        <f t="shared" si="728"/>
        <v>1.4348002324657758</v>
      </c>
      <c r="CG136" s="10">
        <f t="shared" si="729"/>
        <v>4.2474844063522074E-2</v>
      </c>
      <c r="CH136" s="10">
        <f t="shared" si="730"/>
        <v>7.2164760063924005</v>
      </c>
      <c r="CI136" s="539">
        <f t="shared" si="731"/>
        <v>243.7725594959353</v>
      </c>
      <c r="CJ136" s="19">
        <f t="shared" si="732"/>
        <v>1.4432952012784801</v>
      </c>
      <c r="CK136" s="10">
        <f t="shared" si="733"/>
        <v>4.272632330605329E-2</v>
      </c>
      <c r="CL136" s="10">
        <f t="shared" si="734"/>
        <v>7.2592023296984536</v>
      </c>
      <c r="CM136" s="539">
        <f t="shared" si="735"/>
        <v>245.21585469721376</v>
      </c>
      <c r="CN136" s="19">
        <f t="shared" si="736"/>
        <v>1.4518404659396908</v>
      </c>
      <c r="CO136" s="10">
        <f t="shared" si="737"/>
        <v>4.2979291472459762E-2</v>
      </c>
      <c r="CP136" s="10">
        <f t="shared" si="738"/>
        <v>7.302181621170913</v>
      </c>
      <c r="CQ136" s="539">
        <f t="shared" si="739"/>
        <v>246.66769516315344</v>
      </c>
      <c r="CR136" s="19">
        <f t="shared" si="740"/>
        <v>1.4604363242341827</v>
      </c>
      <c r="CS136" s="10">
        <f t="shared" si="741"/>
        <v>4.3233757378158162E-2</v>
      </c>
      <c r="CT136" s="10">
        <f t="shared" si="742"/>
        <v>7.3454153785490712</v>
      </c>
      <c r="CU136" s="539">
        <f t="shared" si="743"/>
        <v>248.12813148738763</v>
      </c>
      <c r="CV136" s="19">
        <f t="shared" si="744"/>
        <v>1.4690830757098143</v>
      </c>
      <c r="CW136" s="10">
        <f t="shared" si="745"/>
        <v>4.3489729890758271E-2</v>
      </c>
      <c r="CX136" s="10">
        <f t="shared" si="746"/>
        <v>7.3889051084398298</v>
      </c>
      <c r="CY136" s="539">
        <f t="shared" si="747"/>
        <v>249.59721456309745</v>
      </c>
      <c r="CZ136" s="19">
        <f t="shared" si="748"/>
        <v>1.4777810216879661</v>
      </c>
      <c r="DA136" s="10">
        <f t="shared" si="749"/>
        <v>4.3747217930372E-2</v>
      </c>
      <c r="DB136" s="10">
        <f t="shared" si="750"/>
        <v>7.432652326370202</v>
      </c>
      <c r="DC136" s="539">
        <f t="shared" si="751"/>
        <v>251.07499558478543</v>
      </c>
      <c r="DD136" s="19">
        <f t="shared" si="752"/>
        <v>1.4865304652740405</v>
      </c>
      <c r="DE136" s="10">
        <f t="shared" si="753"/>
        <v>4.4006230469924232E-2</v>
      </c>
      <c r="DF136" s="10">
        <f t="shared" si="754"/>
        <v>7.4766585568401265</v>
      </c>
      <c r="DG136" s="539">
        <f t="shared" si="755"/>
        <v>252.56152605005948</v>
      </c>
      <c r="DH136" s="19">
        <f t="shared" si="756"/>
        <v>1.4953317113680253</v>
      </c>
      <c r="DI136" s="10">
        <f t="shared" si="757"/>
        <v>4.426677653546552E-2</v>
      </c>
      <c r="DJ136" s="10">
        <f t="shared" si="758"/>
        <v>7.5209253333755921</v>
      </c>
      <c r="DK136" s="539">
        <f t="shared" si="759"/>
        <v>254.05685776142752</v>
      </c>
      <c r="DL136" s="19">
        <f t="shared" si="760"/>
        <v>1.5041850666751184</v>
      </c>
      <c r="DM136" s="10">
        <f t="shared" si="761"/>
        <v>4.4528865206486627E-2</v>
      </c>
      <c r="DN136" s="10">
        <f t="shared" si="762"/>
        <v>7.5654541985820787</v>
      </c>
      <c r="DO136" s="539">
        <f t="shared" si="763"/>
        <v>255.56104282810261</v>
      </c>
      <c r="DP136" s="19">
        <f t="shared" si="764"/>
        <v>1.5130908397164158</v>
      </c>
      <c r="DQ136" s="10">
        <f t="shared" si="765"/>
        <v>4.4792505616234921E-2</v>
      </c>
      <c r="DR136" s="10">
        <f t="shared" si="766"/>
        <v>7.6102467041983139</v>
      </c>
      <c r="DS136" s="539">
        <f t="shared" si="767"/>
        <v>257.07413366781907</v>
      </c>
      <c r="DT136" s="19">
        <f t="shared" si="768"/>
        <v>1.5220493408396629</v>
      </c>
      <c r="DU136" s="10">
        <f t="shared" si="769"/>
        <v>4.505770695203265E-2</v>
      </c>
      <c r="DV136" s="10">
        <f t="shared" si="770"/>
        <v>7.6553044111503468</v>
      </c>
      <c r="DW136" s="539">
        <f t="shared" si="771"/>
        <v>258.59618300865873</v>
      </c>
      <c r="DX136" s="19">
        <f t="shared" si="772"/>
        <v>1.5310608822300695</v>
      </c>
      <c r="DY136" s="10">
        <f t="shared" si="773"/>
        <v>4.5324478455597082E-2</v>
      </c>
      <c r="DZ136" s="10">
        <f t="shared" si="774"/>
        <v>7.7006288896059436</v>
      </c>
      <c r="EA136" s="539">
        <f t="shared" si="775"/>
        <v>260.12724389088879</v>
      </c>
      <c r="EB136" s="19">
        <f t="shared" si="776"/>
        <v>1.5401257779211888</v>
      </c>
      <c r="EC136" s="10">
        <f t="shared" si="777"/>
        <v>4.5592829423362603E-2</v>
      </c>
      <c r="ED136" s="10">
        <f t="shared" si="778"/>
        <v>7.7462217190293066</v>
      </c>
      <c r="EE136" s="539">
        <f t="shared" si="779"/>
        <v>261.66736966881001</v>
      </c>
      <c r="EF136" s="19">
        <f t="shared" si="780"/>
        <v>1.5492443438058614</v>
      </c>
      <c r="EG136" s="10">
        <f t="shared" si="781"/>
        <v>4.5862769206804661E-2</v>
      </c>
      <c r="EH136" s="10">
        <f t="shared" si="782"/>
        <v>7.7920844882361111</v>
      </c>
      <c r="EI136" s="539">
        <f t="shared" si="783"/>
        <v>263.21661401261582</v>
      </c>
      <c r="EJ136" s="19">
        <f t="shared" si="784"/>
        <v>1.5584168976472224</v>
      </c>
      <c r="EK136" s="10">
        <f t="shared" si="785"/>
        <v>4.613430721276561E-2</v>
      </c>
      <c r="EL136" s="10">
        <f t="shared" si="786"/>
        <v>7.8382187954488769</v>
      </c>
      <c r="EM136" s="539">
        <f t="shared" si="787"/>
        <v>264.77503091026307</v>
      </c>
      <c r="EN136" s="19">
        <f t="shared" si="788"/>
        <v>1.5676437590897754</v>
      </c>
      <c r="EO136" s="10">
        <f t="shared" si="789"/>
        <v>4.6407452903782571E-2</v>
      </c>
      <c r="EP136" s="10">
        <f t="shared" si="790"/>
        <v>7.8846262483526592</v>
      </c>
      <c r="EQ136" s="539">
        <f t="shared" si="791"/>
        <v>266.34267466935285</v>
      </c>
      <c r="ER136" s="19">
        <f t="shared" si="792"/>
        <v>1.5769252496705319</v>
      </c>
      <c r="ES136" s="10">
        <f t="shared" si="793"/>
        <v>4.6682215798417165E-2</v>
      </c>
      <c r="ET136" s="10">
        <f t="shared" si="794"/>
        <v>7.9313084641510763</v>
      </c>
      <c r="EU136" s="539">
        <f t="shared" si="795"/>
        <v>267.91959991902337</v>
      </c>
      <c r="EV136" s="19">
        <f t="shared" si="796"/>
        <v>1.5862616928302153</v>
      </c>
      <c r="EW136" s="10">
        <f t="shared" si="797"/>
        <v>4.6958605471587193E-2</v>
      </c>
      <c r="EX136" s="10">
        <f t="shared" si="798"/>
        <v>7.9782670696226639</v>
      </c>
      <c r="EY136" s="539">
        <f t="shared" si="799"/>
        <v>269.50586161185362</v>
      </c>
      <c r="EZ136" s="19">
        <f t="shared" si="800"/>
        <v>1.5956534139245329</v>
      </c>
      <c r="FA136" s="10">
        <f t="shared" si="801"/>
        <v>4.7236631554900321E-2</v>
      </c>
      <c r="FB136" s="10">
        <f t="shared" si="802"/>
        <v>8.0255037011775645</v>
      </c>
      <c r="FC136" s="539">
        <f t="shared" si="803"/>
        <v>271.10151502577816</v>
      </c>
      <c r="FD136" s="19">
        <f t="shared" si="804"/>
        <v>1.6051007402355131</v>
      </c>
      <c r="FE136" s="10">
        <f t="shared" si="805"/>
        <v>4.7516303736989729E-2</v>
      </c>
      <c r="FF136" s="10">
        <f t="shared" si="806"/>
        <v>8.0730200049145537</v>
      </c>
      <c r="FG136" s="539">
        <f t="shared" si="807"/>
        <v>272.70661576601361</v>
      </c>
      <c r="FH136" s="19">
        <f t="shared" si="808"/>
        <v>1.6146040009829108</v>
      </c>
      <c r="FI136" s="10">
        <f t="shared" si="809"/>
        <v>4.7797631763851711E-2</v>
      </c>
      <c r="FJ136" s="10">
        <f t="shared" si="810"/>
        <v>8.1208176366784048</v>
      </c>
      <c r="FK136" s="539">
        <f t="shared" si="811"/>
        <v>274.32121976699653</v>
      </c>
      <c r="FL136" s="19">
        <f t="shared" si="812"/>
        <v>1.6241635273356811</v>
      </c>
      <c r="FM136" s="10">
        <f t="shared" si="813"/>
        <v>4.808062543918535E-2</v>
      </c>
      <c r="FN136" s="10">
        <f t="shared" si="814"/>
        <v>8.1688982621175903</v>
      </c>
      <c r="FO136" s="539">
        <f t="shared" si="815"/>
        <v>275.9453832943322</v>
      </c>
      <c r="FP136" s="19">
        <f t="shared" si="816"/>
        <v>1.6337796524235182</v>
      </c>
      <c r="FQ136" s="10">
        <f t="shared" si="817"/>
        <v>4.8365294624734108E-2</v>
      </c>
      <c r="FR136" s="10">
        <f t="shared" si="818"/>
        <v>8.2172635567423242</v>
      </c>
      <c r="FS136" s="539">
        <f t="shared" si="819"/>
        <v>277.57916294675573</v>
      </c>
      <c r="FT136" s="19">
        <f t="shared" si="820"/>
        <v>1.6434527113484649</v>
      </c>
      <c r="FU136" s="10">
        <f t="shared" si="821"/>
        <v>4.8651649240629508E-2</v>
      </c>
      <c r="FV136" s="10">
        <f t="shared" si="822"/>
        <v>8.265915205982953</v>
      </c>
      <c r="FW136" s="539">
        <f t="shared" si="823"/>
        <v>279.22261565810419</v>
      </c>
      <c r="FX136" s="19">
        <f t="shared" si="824"/>
        <v>1.6531830411965907</v>
      </c>
      <c r="FY136" s="10">
        <f t="shared" si="825"/>
        <v>4.8939699265736845E-2</v>
      </c>
      <c r="FZ136" s="10">
        <f t="shared" si="826"/>
        <v>8.3148549052486906</v>
      </c>
      <c r="GA136" s="539">
        <f t="shared" si="827"/>
        <v>280.87579869930079</v>
      </c>
      <c r="GB136" s="19">
        <f t="shared" si="828"/>
        <v>1.6629709810497382</v>
      </c>
      <c r="GC136" s="10">
        <f t="shared" si="829"/>
        <v>4.9229454738002908E-2</v>
      </c>
      <c r="GD136" s="10">
        <f t="shared" si="830"/>
        <v>8.364084359986693</v>
      </c>
      <c r="GE136" s="539">
        <f t="shared" si="831"/>
        <v>282.53876968035053</v>
      </c>
      <c r="GF136" s="19">
        <f t="shared" si="832"/>
        <v>1.6728168719973386</v>
      </c>
      <c r="GG136" s="10">
        <f t="shared" si="833"/>
        <v>4.952092575480576E-2</v>
      </c>
      <c r="GH136" s="10">
        <f t="shared" si="834"/>
        <v>8.4136052857414985</v>
      </c>
      <c r="GI136" s="539">
        <f t="shared" si="835"/>
        <v>284.21158655234785</v>
      </c>
      <c r="GJ136" s="19">
        <f t="shared" si="836"/>
        <v>1.6827210571482998</v>
      </c>
      <c r="GK136" s="10">
        <f t="shared" si="837"/>
        <v>4.9814122473306681E-2</v>
      </c>
      <c r="GL136" s="10">
        <f t="shared" si="838"/>
        <v>8.463419408214806</v>
      </c>
      <c r="GM136" s="539">
        <f t="shared" si="839"/>
        <v>285.89430760949614</v>
      </c>
      <c r="GN136" s="19">
        <f t="shared" si="840"/>
        <v>1.6926838816429612</v>
      </c>
      <c r="GO136" s="10">
        <f t="shared" si="841"/>
        <v>5.010905511080406E-2</v>
      </c>
      <c r="GP136" s="10">
        <f t="shared" si="842"/>
        <v>8.5135284633256099</v>
      </c>
      <c r="GQ136" s="539">
        <f t="shared" si="843"/>
        <v>287.58699149113909</v>
      </c>
      <c r="GR136" s="19">
        <f t="shared" si="844"/>
        <v>1.7027056926651221</v>
      </c>
      <c r="GS136" s="10">
        <f t="shared" si="845"/>
        <v>5.0405733945089459E-2</v>
      </c>
      <c r="GT136" s="10">
        <f t="shared" si="846"/>
        <v>8.563934197270699</v>
      </c>
      <c r="GU136" s="539">
        <f t="shared" si="847"/>
        <v>289.28969718380421</v>
      </c>
      <c r="GV136" s="19">
        <f t="shared" si="848"/>
        <v>1.7127868394541399</v>
      </c>
      <c r="GW136" s="10">
        <f t="shared" si="849"/>
        <v>5.07041693148058E-2</v>
      </c>
      <c r="GX136" s="10">
        <f t="shared" si="850"/>
        <v>8.6146383665855044</v>
      </c>
      <c r="GY136" s="539">
        <f t="shared" si="851"/>
        <v>291.00248402325838</v>
      </c>
      <c r="GZ136" s="19">
        <f t="shared" si="852"/>
        <v>1.7229276733171011</v>
      </c>
      <c r="HA136" s="10">
        <f t="shared" si="853"/>
        <v>5.1004371619807608E-2</v>
      </c>
      <c r="HB136" s="10">
        <f t="shared" si="854"/>
        <v>8.6656427382053121</v>
      </c>
      <c r="HC136" s="539">
        <f t="shared" si="855"/>
        <v>292.72541169657546</v>
      </c>
      <c r="HD136" s="19">
        <f t="shared" si="856"/>
        <v>1.7331285476410625</v>
      </c>
      <c r="HE136" s="10">
        <f t="shared" si="857"/>
        <v>5.1306351321523461E-2</v>
      </c>
      <c r="HF136" s="10">
        <f t="shared" si="858"/>
        <v>8.7169490895268353</v>
      </c>
      <c r="HG136" s="539">
        <f t="shared" si="859"/>
        <v>294.45854024421652</v>
      </c>
      <c r="HH136" s="19">
        <f t="shared" si="860"/>
        <v>1.7433898179053671</v>
      </c>
      <c r="HI136" s="10">
        <f t="shared" si="861"/>
        <v>5.1610118943320515E-2</v>
      </c>
      <c r="HJ136" s="10">
        <f t="shared" si="862"/>
        <v>8.7685592084701565</v>
      </c>
      <c r="HK136" s="539">
        <f t="shared" si="863"/>
        <v>296.2019300621219</v>
      </c>
      <c r="HL136" s="19">
        <f t="shared" si="864"/>
        <v>1.7537118416940314</v>
      </c>
      <c r="HM136" s="10">
        <f t="shared" si="865"/>
        <v>5.1915685070871263E-2</v>
      </c>
      <c r="HN136" s="10">
        <f t="shared" si="866"/>
        <v>8.8204748935410269</v>
      </c>
      <c r="HO136" s="539">
        <f t="shared" si="867"/>
        <v>297.95564190381589</v>
      </c>
      <c r="HP136" s="19">
        <f t="shared" si="868"/>
        <v>1.7640949787082054</v>
      </c>
      <c r="HQ136" s="10">
        <f t="shared" si="869"/>
        <v>5.222306035252236E-2</v>
      </c>
      <c r="HR136" s="10">
        <f t="shared" si="870"/>
        <v>8.8726979538935495</v>
      </c>
      <c r="HS136" s="539">
        <f t="shared" si="871"/>
        <v>299.7197368825241</v>
      </c>
      <c r="HT136" s="19">
        <f t="shared" si="872"/>
        <v>1.77453959077871</v>
      </c>
      <c r="HU136" s="10">
        <f t="shared" si="873"/>
        <v>5.2532255499665781E-2</v>
      </c>
      <c r="HV136" s="10">
        <f t="shared" si="874"/>
        <v>8.9252302093932148</v>
      </c>
      <c r="HW136" s="539">
        <f t="shared" si="875"/>
        <v>301.49427647330282</v>
      </c>
      <c r="HX136" s="19">
        <f t="shared" si="876"/>
        <v>1.7850460418786431</v>
      </c>
      <c r="HY136" s="10">
        <f t="shared" si="877"/>
        <v>5.2843281287111993E-2</v>
      </c>
      <c r="HZ136" s="10">
        <f t="shared" si="878"/>
        <v>8.9780734906803268</v>
      </c>
      <c r="IA136" s="539">
        <f t="shared" si="879"/>
        <v>303.27932251518143</v>
      </c>
      <c r="IB136" s="19">
        <f t="shared" si="880"/>
        <v>1.7956146981360654</v>
      </c>
      <c r="IM136" s="11"/>
      <c r="IN136" s="19"/>
      <c r="IO136" s="20"/>
    </row>
    <row r="137" spans="1:261" ht="13.5" thickBot="1">
      <c r="A137" s="11"/>
      <c r="B137" s="20"/>
      <c r="C137" s="826" t="s">
        <v>2345</v>
      </c>
      <c r="D137" s="47" t="s">
        <v>1098</v>
      </c>
      <c r="E137" s="396">
        <f t="shared" si="931"/>
        <v>4.0623000000000005</v>
      </c>
      <c r="F137" s="242">
        <v>1.0623</v>
      </c>
      <c r="G137" s="48">
        <f>'Update Stock Prices'!S137</f>
        <v>4151185061.0485992</v>
      </c>
      <c r="H137" s="991">
        <f t="shared" si="610"/>
        <v>2.5590282880129184E-10</v>
      </c>
      <c r="I137" s="49">
        <f>'Update Stock Prices'!D137</f>
        <v>83.54</v>
      </c>
      <c r="J137" s="49">
        <f t="shared" si="1039"/>
        <v>88.74454200000001</v>
      </c>
      <c r="K137" s="30">
        <v>98.34</v>
      </c>
      <c r="L137" s="49">
        <f t="shared" si="611"/>
        <v>-9.5954579999999936</v>
      </c>
      <c r="M137" s="50">
        <f t="shared" si="613"/>
        <v>-9.7574313605857166E-2</v>
      </c>
      <c r="N137" s="49">
        <f t="shared" si="612"/>
        <v>92.572719570742734</v>
      </c>
      <c r="O137" s="48">
        <f t="shared" si="932"/>
        <v>3</v>
      </c>
      <c r="P137" s="49">
        <f t="shared" si="933"/>
        <v>70.389999999999986</v>
      </c>
      <c r="Q137" s="30">
        <f>0.75*4</f>
        <v>3</v>
      </c>
      <c r="R137" s="49">
        <f t="shared" ref="R137" si="1047">S137/365.25</f>
        <v>8.7252566735112943E-3</v>
      </c>
      <c r="S137" s="49">
        <f t="shared" si="935"/>
        <v>3.1869000000000001</v>
      </c>
      <c r="T137" s="49">
        <f t="shared" ref="T137" si="1048">S137/12</f>
        <v>0.26557500000000001</v>
      </c>
      <c r="U137" s="49" t="s">
        <v>54</v>
      </c>
      <c r="V137" s="50">
        <f t="shared" si="937"/>
        <v>3.5910940866650705E-2</v>
      </c>
      <c r="W137" s="50">
        <f t="shared" si="575"/>
        <v>3.2406955460646737E-2</v>
      </c>
      <c r="X137" s="49">
        <f t="shared" si="938"/>
        <v>9.0000000000000018</v>
      </c>
      <c r="Y137" s="49">
        <f t="shared" si="654"/>
        <v>0.79672500000000002</v>
      </c>
      <c r="Z137" s="860">
        <f t="shared" si="939"/>
        <v>0</v>
      </c>
      <c r="AA137" s="860">
        <f t="shared" si="940"/>
        <v>110.32436666666668</v>
      </c>
      <c r="AB137" s="49">
        <f t="shared" si="941"/>
        <v>9216.4975913333346</v>
      </c>
      <c r="AC137" s="48">
        <v>1</v>
      </c>
      <c r="AD137" s="47" t="str">
        <f t="shared" si="942"/>
        <v>XOM</v>
      </c>
      <c r="AE137" s="49">
        <f t="shared" si="943"/>
        <v>88.74454200000001</v>
      </c>
      <c r="AF137" s="50" t="e">
        <f t="shared" si="1040"/>
        <v>#REF!</v>
      </c>
      <c r="AG137" s="890" t="e">
        <f t="shared" si="910"/>
        <v>#REF!</v>
      </c>
      <c r="AH137" s="207" t="s">
        <v>1097</v>
      </c>
      <c r="AI137" s="240">
        <f t="shared" si="1041"/>
        <v>1.7878522983191935E-2</v>
      </c>
      <c r="AJ137" s="11">
        <f t="shared" si="1044"/>
        <v>3</v>
      </c>
      <c r="AK137" s="11"/>
      <c r="AL137" s="11"/>
      <c r="AM137" s="11"/>
      <c r="AN137" s="11"/>
      <c r="AO137" s="11"/>
      <c r="AP137" s="11"/>
      <c r="AQ137" s="11" t="str">
        <f>'Update Stock Prices'!Q137</f>
        <v>mega</v>
      </c>
      <c r="AR137" s="11"/>
      <c r="AS137" s="11"/>
      <c r="AU137" s="216" t="s">
        <v>1717</v>
      </c>
      <c r="AV137" s="217" t="s">
        <v>1715</v>
      </c>
      <c r="AW137" s="217" t="s">
        <v>1716</v>
      </c>
      <c r="AX137" s="217" t="s">
        <v>1715</v>
      </c>
      <c r="AY137" s="217" t="s">
        <v>1716</v>
      </c>
      <c r="AZ137" s="235"/>
      <c r="BA137" s="441" t="s">
        <v>1652</v>
      </c>
      <c r="BB137" s="378">
        <f>BB136-BB135</f>
        <v>4586</v>
      </c>
      <c r="BC137" s="378">
        <f>BC136-BC135</f>
        <v>4718.0767999999953</v>
      </c>
      <c r="BD137" s="812"/>
      <c r="BE137" s="812"/>
      <c r="BF137" s="432"/>
      <c r="BG137" s="232"/>
      <c r="BK137" s="20"/>
      <c r="BS137" s="420" t="str">
        <f t="shared" si="715"/>
        <v>XOM</v>
      </c>
      <c r="BT137" s="425">
        <f t="shared" si="716"/>
        <v>1.0623</v>
      </c>
      <c r="BU137" s="19">
        <f t="shared" si="717"/>
        <v>83.54</v>
      </c>
      <c r="BV137" s="19">
        <f t="shared" si="718"/>
        <v>88.74454200000001</v>
      </c>
      <c r="BW137" s="539">
        <f t="shared" si="719"/>
        <v>3</v>
      </c>
      <c r="BX137" s="19">
        <f t="shared" si="720"/>
        <v>3.1869000000000001</v>
      </c>
      <c r="BY137" s="10">
        <f t="shared" si="721"/>
        <v>3.8148192482643041E-2</v>
      </c>
      <c r="BZ137" s="10">
        <f t="shared" si="722"/>
        <v>1.100448192482643</v>
      </c>
      <c r="CA137" s="539">
        <f t="shared" si="723"/>
        <v>91.931442000000004</v>
      </c>
      <c r="CB137" s="19">
        <f t="shared" si="724"/>
        <v>3.3013445774479289</v>
      </c>
      <c r="CC137" s="10">
        <f t="shared" si="725"/>
        <v>3.9518129967056843E-2</v>
      </c>
      <c r="CD137" s="10">
        <f t="shared" si="726"/>
        <v>1.1399663224496999</v>
      </c>
      <c r="CE137" s="539">
        <f t="shared" si="727"/>
        <v>95.232786577447939</v>
      </c>
      <c r="CF137" s="19">
        <f t="shared" si="728"/>
        <v>3.4198989673490994</v>
      </c>
      <c r="CG137" s="10">
        <f t="shared" si="729"/>
        <v>4.0937263195464438E-2</v>
      </c>
      <c r="CH137" s="10">
        <f t="shared" si="730"/>
        <v>1.1809035856451644</v>
      </c>
      <c r="CI137" s="539">
        <f t="shared" si="731"/>
        <v>98.652685544797038</v>
      </c>
      <c r="CJ137" s="19">
        <f t="shared" si="732"/>
        <v>3.5427107569354934</v>
      </c>
      <c r="CK137" s="10">
        <f t="shared" si="733"/>
        <v>4.2407358833319288E-2</v>
      </c>
      <c r="CL137" s="10">
        <f t="shared" si="734"/>
        <v>1.2233109444784838</v>
      </c>
      <c r="CM137" s="539">
        <f t="shared" si="735"/>
        <v>102.19539630173254</v>
      </c>
      <c r="CN137" s="19">
        <f t="shared" si="736"/>
        <v>3.6699328334354515</v>
      </c>
      <c r="CO137" s="10">
        <f t="shared" si="737"/>
        <v>4.3930246988693453E-2</v>
      </c>
      <c r="CP137" s="10">
        <f t="shared" si="738"/>
        <v>1.2672411914671773</v>
      </c>
      <c r="CQ137" s="539">
        <f t="shared" si="739"/>
        <v>105.865329135168</v>
      </c>
      <c r="CR137" s="19">
        <f t="shared" si="740"/>
        <v>3.8017235744015316</v>
      </c>
      <c r="CS137" s="10">
        <f t="shared" si="741"/>
        <v>4.5507823490561781E-2</v>
      </c>
      <c r="CT137" s="10">
        <f t="shared" si="742"/>
        <v>1.312749014957739</v>
      </c>
      <c r="CU137" s="539">
        <f t="shared" si="743"/>
        <v>109.66705270956952</v>
      </c>
      <c r="CV137" s="19">
        <f t="shared" si="744"/>
        <v>3.9382470448732168</v>
      </c>
      <c r="CW137" s="10">
        <f t="shared" si="745"/>
        <v>4.714205224890132E-2</v>
      </c>
      <c r="CX137" s="10">
        <f t="shared" si="746"/>
        <v>1.3598910672066402</v>
      </c>
      <c r="CY137" s="539">
        <f t="shared" si="747"/>
        <v>113.60529975444273</v>
      </c>
      <c r="CZ137" s="19">
        <f t="shared" si="748"/>
        <v>4.0796732016199204</v>
      </c>
      <c r="DA137" s="10">
        <f t="shared" si="749"/>
        <v>4.8834967699544173E-2</v>
      </c>
      <c r="DB137" s="10">
        <f t="shared" si="750"/>
        <v>1.4087260349061843</v>
      </c>
      <c r="DC137" s="539">
        <f t="shared" si="751"/>
        <v>117.68497295606265</v>
      </c>
      <c r="DD137" s="19">
        <f t="shared" si="752"/>
        <v>4.2261781047185529</v>
      </c>
      <c r="DE137" s="10">
        <f t="shared" si="753"/>
        <v>5.0588677336827301E-2</v>
      </c>
      <c r="DF137" s="10">
        <f t="shared" si="754"/>
        <v>1.4593147122430117</v>
      </c>
      <c r="DG137" s="539">
        <f t="shared" si="755"/>
        <v>121.91115106078121</v>
      </c>
      <c r="DH137" s="19">
        <f t="shared" si="756"/>
        <v>4.3779441367290346</v>
      </c>
      <c r="DI137" s="10">
        <f t="shared" si="757"/>
        <v>5.2405364337192173E-2</v>
      </c>
      <c r="DJ137" s="10">
        <f t="shared" si="758"/>
        <v>1.5117200765802039</v>
      </c>
      <c r="DK137" s="539">
        <f t="shared" si="759"/>
        <v>126.28909519751025</v>
      </c>
      <c r="DL137" s="19">
        <f t="shared" si="760"/>
        <v>4.5351602297406117</v>
      </c>
      <c r="DM137" s="10">
        <f t="shared" si="761"/>
        <v>5.4287290277000376E-2</v>
      </c>
      <c r="DN137" s="10">
        <f t="shared" si="762"/>
        <v>1.5660073668572043</v>
      </c>
      <c r="DO137" s="539">
        <f t="shared" si="763"/>
        <v>130.82425542725085</v>
      </c>
      <c r="DP137" s="19">
        <f t="shared" si="764"/>
        <v>4.6980221005716132</v>
      </c>
      <c r="DQ137" s="10">
        <f t="shared" si="765"/>
        <v>5.623679794794844E-2</v>
      </c>
      <c r="DR137" s="10">
        <f t="shared" si="766"/>
        <v>1.6222441648051527</v>
      </c>
      <c r="DS137" s="539">
        <f t="shared" si="767"/>
        <v>135.52227752782247</v>
      </c>
      <c r="DT137" s="19">
        <f t="shared" si="768"/>
        <v>4.8667324944154577</v>
      </c>
      <c r="DU137" s="10">
        <f t="shared" si="769"/>
        <v>5.825631427358699E-2</v>
      </c>
      <c r="DV137" s="10">
        <f t="shared" si="770"/>
        <v>1.6805004790787397</v>
      </c>
      <c r="DW137" s="539">
        <f t="shared" si="771"/>
        <v>140.38901002223793</v>
      </c>
      <c r="DX137" s="19">
        <f t="shared" si="772"/>
        <v>5.041501437236219</v>
      </c>
      <c r="DY137" s="10">
        <f t="shared" si="773"/>
        <v>6.0348353330574797E-2</v>
      </c>
      <c r="DZ137" s="10">
        <f t="shared" si="774"/>
        <v>1.7408488324093145</v>
      </c>
      <c r="EA137" s="539">
        <f t="shared" si="775"/>
        <v>145.43051145947416</v>
      </c>
      <c r="EB137" s="19">
        <f t="shared" si="776"/>
        <v>5.2225464972279436</v>
      </c>
      <c r="EC137" s="10">
        <f t="shared" si="777"/>
        <v>6.2515519478428816E-2</v>
      </c>
      <c r="ED137" s="10">
        <f t="shared" si="778"/>
        <v>1.8033643518877434</v>
      </c>
      <c r="EE137" s="539">
        <f t="shared" si="779"/>
        <v>150.6530579567021</v>
      </c>
      <c r="EF137" s="19">
        <f t="shared" si="780"/>
        <v>5.4100930556632303</v>
      </c>
      <c r="EG137" s="10">
        <f t="shared" si="781"/>
        <v>6.4760510601666627E-2</v>
      </c>
      <c r="EH137" s="10">
        <f t="shared" si="782"/>
        <v>1.86812486248941</v>
      </c>
      <c r="EI137" s="539">
        <f t="shared" si="783"/>
        <v>156.06315101236532</v>
      </c>
      <c r="EJ137" s="19">
        <f t="shared" si="784"/>
        <v>5.6043745874682305</v>
      </c>
      <c r="EK137" s="10">
        <f t="shared" si="785"/>
        <v>6.7086121468377183E-2</v>
      </c>
      <c r="EL137" s="10">
        <f t="shared" si="786"/>
        <v>1.9352109839577871</v>
      </c>
      <c r="EM137" s="539">
        <f t="shared" si="787"/>
        <v>161.66752559983354</v>
      </c>
      <c r="EN137" s="19">
        <f t="shared" si="788"/>
        <v>5.8056329518733616</v>
      </c>
      <c r="EO137" s="10">
        <f t="shared" si="789"/>
        <v>6.949524720940102E-2</v>
      </c>
      <c r="EP137" s="10">
        <f t="shared" si="790"/>
        <v>2.0047062311671882</v>
      </c>
      <c r="EQ137" s="539">
        <f t="shared" si="791"/>
        <v>167.47315855170692</v>
      </c>
      <c r="ER137" s="19">
        <f t="shared" si="792"/>
        <v>6.0141186935015645</v>
      </c>
      <c r="ES137" s="10">
        <f t="shared" si="793"/>
        <v>7.1990886922451092E-2</v>
      </c>
      <c r="ET137" s="10">
        <f t="shared" si="794"/>
        <v>2.0766971180896392</v>
      </c>
      <c r="EU137" s="539">
        <f t="shared" si="795"/>
        <v>173.48727724520847</v>
      </c>
      <c r="EV137" s="19">
        <f t="shared" si="796"/>
        <v>6.230091354268918</v>
      </c>
      <c r="EW137" s="10">
        <f t="shared" si="797"/>
        <v>7.4576147405660972E-2</v>
      </c>
      <c r="EX137" s="10">
        <f t="shared" si="798"/>
        <v>2.1512732654953002</v>
      </c>
      <c r="EY137" s="539">
        <f t="shared" si="799"/>
        <v>179.7173685994774</v>
      </c>
      <c r="EZ137" s="19">
        <f t="shared" si="800"/>
        <v>6.4538197964859005</v>
      </c>
      <c r="FA137" s="10">
        <f t="shared" si="801"/>
        <v>7.7254247025208278E-2</v>
      </c>
      <c r="FB137" s="10">
        <f t="shared" si="802"/>
        <v>2.2285275125205084</v>
      </c>
      <c r="FC137" s="539">
        <f t="shared" si="803"/>
        <v>186.1711883959633</v>
      </c>
      <c r="FD137" s="19">
        <f t="shared" si="804"/>
        <v>6.6855825375615252</v>
      </c>
      <c r="FE137" s="10">
        <f t="shared" si="805"/>
        <v>8.0028519721828159E-2</v>
      </c>
      <c r="FF137" s="10">
        <f t="shared" si="806"/>
        <v>2.3085560322423366</v>
      </c>
      <c r="FG137" s="539">
        <f t="shared" si="807"/>
        <v>192.85677093352481</v>
      </c>
      <c r="FH137" s="19">
        <f t="shared" si="808"/>
        <v>6.9256680967270103</v>
      </c>
      <c r="FI137" s="10">
        <f t="shared" si="809"/>
        <v>8.2902419161204333E-2</v>
      </c>
      <c r="FJ137" s="10">
        <f t="shared" si="810"/>
        <v>2.3914584514035409</v>
      </c>
      <c r="FK137" s="539">
        <f t="shared" si="811"/>
        <v>199.78243903025182</v>
      </c>
      <c r="FL137" s="19">
        <f t="shared" si="812"/>
        <v>7.174375354210623</v>
      </c>
      <c r="FM137" s="10">
        <f t="shared" si="813"/>
        <v>8.5879523033404626E-2</v>
      </c>
      <c r="FN137" s="10">
        <f t="shared" si="814"/>
        <v>2.4773379744369457</v>
      </c>
      <c r="FO137" s="539">
        <f t="shared" si="815"/>
        <v>206.95681438446246</v>
      </c>
      <c r="FP137" s="19">
        <f t="shared" si="816"/>
        <v>7.4320139233108371</v>
      </c>
      <c r="FQ137" s="10">
        <f t="shared" si="817"/>
        <v>8.8963537506713389E-2</v>
      </c>
      <c r="FR137" s="10">
        <f t="shared" si="818"/>
        <v>2.5663015119436592</v>
      </c>
      <c r="FS137" s="539">
        <f t="shared" si="819"/>
        <v>214.38882830777331</v>
      </c>
      <c r="FT137" s="19">
        <f t="shared" si="820"/>
        <v>7.6989045358309776</v>
      </c>
      <c r="FU137" s="10">
        <f t="shared" si="821"/>
        <v>9.2158301841405041E-2</v>
      </c>
      <c r="FV137" s="10">
        <f t="shared" si="822"/>
        <v>2.6584598137850644</v>
      </c>
      <c r="FW137" s="539">
        <f t="shared" si="823"/>
        <v>222.0877328436043</v>
      </c>
      <c r="FX137" s="19">
        <f t="shared" si="824"/>
        <v>7.9753794413551926</v>
      </c>
      <c r="FY137" s="10">
        <f t="shared" si="825"/>
        <v>9.5467793169202675E-2</v>
      </c>
      <c r="FZ137" s="10">
        <f t="shared" si="826"/>
        <v>2.7539276069542669</v>
      </c>
      <c r="GA137" s="539">
        <f t="shared" si="827"/>
        <v>230.06311228495946</v>
      </c>
      <c r="GB137" s="19">
        <f t="shared" si="828"/>
        <v>8.2617828208628001</v>
      </c>
      <c r="GC137" s="10">
        <f t="shared" si="829"/>
        <v>9.8896131444371552E-2</v>
      </c>
      <c r="GD137" s="10">
        <f t="shared" si="830"/>
        <v>2.8528237383986386</v>
      </c>
      <c r="GE137" s="539">
        <f t="shared" si="831"/>
        <v>238.32489510582229</v>
      </c>
      <c r="GF137" s="19">
        <f t="shared" si="832"/>
        <v>8.5584712151959152</v>
      </c>
      <c r="GG137" s="10">
        <f t="shared" si="833"/>
        <v>0.1024475845726109</v>
      </c>
      <c r="GH137" s="10">
        <f t="shared" si="834"/>
        <v>2.9552713229712495</v>
      </c>
      <c r="GI137" s="539">
        <f t="shared" si="835"/>
        <v>246.8833663210182</v>
      </c>
      <c r="GJ137" s="19">
        <f t="shared" si="836"/>
        <v>8.8658139689137485</v>
      </c>
      <c r="GK137" s="10">
        <f t="shared" si="837"/>
        <v>0.10612657372412913</v>
      </c>
      <c r="GL137" s="10">
        <f t="shared" si="838"/>
        <v>3.0613978966953788</v>
      </c>
      <c r="GM137" s="539">
        <f t="shared" si="839"/>
        <v>255.74918028993196</v>
      </c>
      <c r="GN137" s="19">
        <f t="shared" si="840"/>
        <v>9.1841936900861363</v>
      </c>
      <c r="GO137" s="10">
        <f t="shared" si="841"/>
        <v>0.10993767883751658</v>
      </c>
      <c r="GP137" s="10">
        <f t="shared" si="842"/>
        <v>3.1713355755328951</v>
      </c>
      <c r="GQ137" s="539">
        <f t="shared" si="843"/>
        <v>264.93337398001808</v>
      </c>
      <c r="GR137" s="19">
        <f t="shared" si="844"/>
        <v>9.5140067265986854</v>
      </c>
      <c r="GS137" s="10">
        <f t="shared" si="845"/>
        <v>0.11388564432126748</v>
      </c>
      <c r="GT137" s="10">
        <f t="shared" si="846"/>
        <v>3.2852212198541628</v>
      </c>
      <c r="GU137" s="539">
        <f t="shared" si="847"/>
        <v>274.4473807066168</v>
      </c>
      <c r="GV137" s="19">
        <f t="shared" si="848"/>
        <v>9.855663659562488</v>
      </c>
      <c r="GW137" s="10">
        <f t="shared" si="849"/>
        <v>0.11797538496004893</v>
      </c>
      <c r="GX137" s="10">
        <f t="shared" si="850"/>
        <v>3.4031966048142119</v>
      </c>
      <c r="GY137" s="539">
        <f t="shared" si="851"/>
        <v>284.30304436617928</v>
      </c>
      <c r="GZ137" s="19">
        <f t="shared" si="852"/>
        <v>10.209589814442635</v>
      </c>
      <c r="HA137" s="10">
        <f t="shared" si="853"/>
        <v>0.12221199203306961</v>
      </c>
      <c r="HB137" s="10">
        <f t="shared" si="854"/>
        <v>3.5254085968472815</v>
      </c>
      <c r="HC137" s="539">
        <f t="shared" si="855"/>
        <v>294.51263418062194</v>
      </c>
      <c r="HD137" s="19">
        <f t="shared" si="856"/>
        <v>10.576225790541844</v>
      </c>
      <c r="HE137" s="10">
        <f t="shared" si="857"/>
        <v>0.12660073965216476</v>
      </c>
      <c r="HF137" s="10">
        <f t="shared" si="858"/>
        <v>3.6520093364994461</v>
      </c>
      <c r="HG137" s="539">
        <f t="shared" si="859"/>
        <v>305.08885997116374</v>
      </c>
      <c r="HH137" s="19">
        <f t="shared" si="860"/>
        <v>10.956028009498338</v>
      </c>
      <c r="HI137" s="10">
        <f t="shared" si="861"/>
        <v>0.13114709132748786</v>
      </c>
      <c r="HJ137" s="10">
        <f t="shared" si="862"/>
        <v>3.7831564278269338</v>
      </c>
      <c r="HK137" s="539">
        <f t="shared" si="863"/>
        <v>316.04488798066205</v>
      </c>
      <c r="HL137" s="19">
        <f t="shared" si="864"/>
        <v>11.349469283480801</v>
      </c>
      <c r="HM137" s="10">
        <f t="shared" si="865"/>
        <v>0.13585670676898251</v>
      </c>
      <c r="HN137" s="10">
        <f t="shared" si="866"/>
        <v>3.9190131345959163</v>
      </c>
      <c r="HO137" s="539">
        <f t="shared" si="867"/>
        <v>327.39435726414285</v>
      </c>
      <c r="HP137" s="19">
        <f t="shared" si="868"/>
        <v>11.757039403787749</v>
      </c>
      <c r="HQ137" s="10">
        <f t="shared" si="869"/>
        <v>0.14073544893210135</v>
      </c>
      <c r="HR137" s="10">
        <f t="shared" si="870"/>
        <v>4.0597485835280178</v>
      </c>
      <c r="HS137" s="539">
        <f t="shared" si="871"/>
        <v>339.15139666793061</v>
      </c>
      <c r="HT137" s="19">
        <f t="shared" si="872"/>
        <v>12.179245750584053</v>
      </c>
      <c r="HU137" s="10">
        <f t="shared" si="873"/>
        <v>0.14578939131654362</v>
      </c>
      <c r="HV137" s="10">
        <f t="shared" si="874"/>
        <v>4.2055379748445612</v>
      </c>
      <c r="HW137" s="539">
        <f t="shared" si="875"/>
        <v>351.33064241851469</v>
      </c>
      <c r="HX137" s="19">
        <f t="shared" si="876"/>
        <v>12.616613924533684</v>
      </c>
      <c r="HY137" s="10">
        <f t="shared" si="877"/>
        <v>0.15102482552709701</v>
      </c>
      <c r="HZ137" s="10">
        <f t="shared" si="878"/>
        <v>4.3565628003716581</v>
      </c>
      <c r="IA137" s="539">
        <f t="shared" si="879"/>
        <v>363.94725634304837</v>
      </c>
      <c r="IB137" s="19">
        <f t="shared" si="880"/>
        <v>13.069688401114973</v>
      </c>
      <c r="IM137" s="11"/>
      <c r="IN137" s="19"/>
      <c r="IO137" s="20"/>
    </row>
    <row r="138" spans="1:261">
      <c r="A138" s="11"/>
      <c r="B138" s="20"/>
      <c r="C138" s="826" t="s">
        <v>2344</v>
      </c>
      <c r="D138" s="47" t="s">
        <v>253</v>
      </c>
      <c r="E138" s="396">
        <f t="shared" si="931"/>
        <v>47.057900000000004</v>
      </c>
      <c r="F138" s="242">
        <v>3.0579000000000001</v>
      </c>
      <c r="G138" s="48">
        <f>'Update Stock Prices'!S138</f>
        <v>1011188811.1888112</v>
      </c>
      <c r="H138" s="991">
        <f t="shared" si="610"/>
        <v>3.0240643153526973E-9</v>
      </c>
      <c r="I138" s="49">
        <f>'Update Stock Prices'!D138</f>
        <v>7.15</v>
      </c>
      <c r="J138" s="49">
        <f t="shared" si="1039"/>
        <v>21.863985000000003</v>
      </c>
      <c r="K138" s="30">
        <v>20.74</v>
      </c>
      <c r="L138" s="49">
        <f t="shared" si="611"/>
        <v>1.1239850000000047</v>
      </c>
      <c r="M138" s="50">
        <f t="shared" si="613"/>
        <v>5.4194069431051338E-2</v>
      </c>
      <c r="N138" s="49">
        <f t="shared" si="612"/>
        <v>6.782432388240295</v>
      </c>
      <c r="O138" s="48">
        <f t="shared" si="932"/>
        <v>44</v>
      </c>
      <c r="P138" s="49">
        <f>IF(($B$11-$B$12)-(O138*I138)&lt;0,0,($B$11-$B$12)-(O138*I138))</f>
        <v>6.4099999999999682</v>
      </c>
      <c r="Q138" s="30">
        <f>0.0775*4</f>
        <v>0.31</v>
      </c>
      <c r="R138" s="49">
        <f>S138/365.25</f>
        <v>2.5953429158110885E-3</v>
      </c>
      <c r="S138" s="49">
        <f t="shared" si="935"/>
        <v>0.94794900000000004</v>
      </c>
      <c r="T138" s="49">
        <f>S138/12</f>
        <v>7.8995750000000003E-2</v>
      </c>
      <c r="U138" s="49" t="s">
        <v>54</v>
      </c>
      <c r="V138" s="50">
        <f t="shared" si="937"/>
        <v>4.3356643356643354E-2</v>
      </c>
      <c r="W138" s="50">
        <f t="shared" si="575"/>
        <v>4.5706316297010614E-2</v>
      </c>
      <c r="X138" s="49">
        <f>12*((E138*Q138)/12-T138)</f>
        <v>13.64</v>
      </c>
      <c r="Y138" s="49">
        <f t="shared" si="654"/>
        <v>0.23698725000000001</v>
      </c>
      <c r="Z138" s="860">
        <f t="shared" si="939"/>
        <v>0</v>
      </c>
      <c r="AA138" s="860">
        <f t="shared" si="940"/>
        <v>89.200164516129036</v>
      </c>
      <c r="AB138" s="49">
        <f t="shared" si="941"/>
        <v>637.78117629032261</v>
      </c>
      <c r="AC138" s="48">
        <v>1</v>
      </c>
      <c r="AD138" s="47" t="str">
        <f t="shared" si="942"/>
        <v>XRX</v>
      </c>
      <c r="AE138" s="49">
        <f t="shared" si="943"/>
        <v>21.863985000000003</v>
      </c>
      <c r="AF138" s="50" t="e">
        <f t="shared" si="1040"/>
        <v>#REF!</v>
      </c>
      <c r="AG138" s="890" t="e">
        <f t="shared" si="910"/>
        <v>#REF!</v>
      </c>
      <c r="AH138" s="207" t="s">
        <v>262</v>
      </c>
      <c r="AI138" s="240">
        <f t="shared" si="1041"/>
        <v>1.0851929752120392E-3</v>
      </c>
      <c r="AJ138" s="11">
        <f t="shared" si="1044"/>
        <v>3</v>
      </c>
      <c r="AK138" s="11"/>
      <c r="AL138" s="11"/>
      <c r="AM138" s="11"/>
      <c r="AN138" s="11"/>
      <c r="AO138" s="11"/>
      <c r="AP138" s="11"/>
      <c r="AQ138" s="11" t="str">
        <f>'Update Stock Prices'!Q138</f>
        <v>mid</v>
      </c>
      <c r="AR138" s="11">
        <v>1</v>
      </c>
      <c r="AS138" s="11"/>
      <c r="AU138" s="226" t="s">
        <v>1713</v>
      </c>
      <c r="AV138" s="183">
        <v>0.15</v>
      </c>
      <c r="AW138" s="183">
        <v>0.06</v>
      </c>
      <c r="AX138" s="20">
        <f>AV138*AV113</f>
        <v>387.92980527540993</v>
      </c>
      <c r="AY138" s="20">
        <f>AW138*AV113</f>
        <v>155.17192211016399</v>
      </c>
      <c r="AZ138" s="234">
        <f>SUM(AX138:AY138)</f>
        <v>543.10172738557389</v>
      </c>
      <c r="BB138" s="149"/>
      <c r="BC138" s="149"/>
      <c r="BD138" s="26"/>
      <c r="BE138" s="26"/>
      <c r="BK138" s="20"/>
      <c r="BS138" s="420" t="str">
        <f t="shared" si="715"/>
        <v>XRX</v>
      </c>
      <c r="BT138" s="425">
        <f t="shared" si="716"/>
        <v>3.0579000000000001</v>
      </c>
      <c r="BU138" s="19">
        <f t="shared" si="717"/>
        <v>7.15</v>
      </c>
      <c r="BV138" s="19">
        <f t="shared" si="718"/>
        <v>21.863985000000003</v>
      </c>
      <c r="BW138" s="539">
        <f t="shared" si="719"/>
        <v>0.31</v>
      </c>
      <c r="BX138" s="19">
        <f t="shared" si="720"/>
        <v>0.94794900000000004</v>
      </c>
      <c r="BY138" s="10">
        <f t="shared" si="721"/>
        <v>0.13258027972027972</v>
      </c>
      <c r="BZ138" s="10">
        <f t="shared" si="722"/>
        <v>3.1904802797202798</v>
      </c>
      <c r="CA138" s="539">
        <f t="shared" si="723"/>
        <v>22.811934000000001</v>
      </c>
      <c r="CB138" s="19">
        <f t="shared" si="724"/>
        <v>0.98904888671328672</v>
      </c>
      <c r="CC138" s="10">
        <f t="shared" si="725"/>
        <v>0.1383285156242359</v>
      </c>
      <c r="CD138" s="10">
        <f t="shared" si="726"/>
        <v>3.3288087953445156</v>
      </c>
      <c r="CE138" s="539">
        <f t="shared" si="727"/>
        <v>23.800982886713289</v>
      </c>
      <c r="CF138" s="19">
        <f t="shared" si="728"/>
        <v>1.0319307265567998</v>
      </c>
      <c r="CG138" s="10">
        <f t="shared" si="729"/>
        <v>0.14432597574220976</v>
      </c>
      <c r="CH138" s="10">
        <f t="shared" si="730"/>
        <v>3.4731347710867255</v>
      </c>
      <c r="CI138" s="539">
        <f t="shared" si="731"/>
        <v>24.83291361327009</v>
      </c>
      <c r="CJ138" s="19">
        <f t="shared" si="732"/>
        <v>1.0766717790368849</v>
      </c>
      <c r="CK138" s="10">
        <f t="shared" si="733"/>
        <v>0.15058346559956431</v>
      </c>
      <c r="CL138" s="10">
        <f t="shared" si="734"/>
        <v>3.6237182366862899</v>
      </c>
      <c r="CM138" s="539">
        <f t="shared" si="735"/>
        <v>25.909585392306973</v>
      </c>
      <c r="CN138" s="19">
        <f t="shared" si="736"/>
        <v>1.1233526533727498</v>
      </c>
      <c r="CO138" s="10">
        <f t="shared" si="737"/>
        <v>0.15711225921297201</v>
      </c>
      <c r="CP138" s="10">
        <f t="shared" si="738"/>
        <v>3.780830495899262</v>
      </c>
      <c r="CQ138" s="539">
        <f t="shared" si="739"/>
        <v>27.032938045679725</v>
      </c>
      <c r="CR138" s="19">
        <f t="shared" si="740"/>
        <v>1.1720574537287711</v>
      </c>
      <c r="CS138" s="10">
        <f t="shared" si="741"/>
        <v>0.16392411940262533</v>
      </c>
      <c r="CT138" s="10">
        <f t="shared" si="742"/>
        <v>3.9447546153018873</v>
      </c>
      <c r="CU138" s="539">
        <f t="shared" si="743"/>
        <v>28.204995499408497</v>
      </c>
      <c r="CV138" s="19">
        <f t="shared" si="744"/>
        <v>1.222873930743585</v>
      </c>
      <c r="CW138" s="10">
        <f t="shared" si="745"/>
        <v>0.17103131898511678</v>
      </c>
      <c r="CX138" s="10">
        <f t="shared" si="746"/>
        <v>4.115785934287004</v>
      </c>
      <c r="CY138" s="539">
        <f t="shared" si="747"/>
        <v>29.427869430152079</v>
      </c>
      <c r="CZ138" s="19">
        <f t="shared" si="748"/>
        <v>1.2758936396289713</v>
      </c>
      <c r="DA138" s="10">
        <f t="shared" si="749"/>
        <v>0.1784466628851708</v>
      </c>
      <c r="DB138" s="10">
        <f t="shared" si="750"/>
        <v>4.2942325971721749</v>
      </c>
      <c r="DC138" s="539">
        <f t="shared" si="751"/>
        <v>30.703763069781051</v>
      </c>
      <c r="DD138" s="19">
        <f t="shared" si="752"/>
        <v>1.3312121051233743</v>
      </c>
      <c r="DE138" s="10">
        <f t="shared" si="753"/>
        <v>0.18618351120606633</v>
      </c>
      <c r="DF138" s="10">
        <f t="shared" si="754"/>
        <v>4.4804161083782414</v>
      </c>
      <c r="DG138" s="539">
        <f t="shared" si="755"/>
        <v>32.034975174904424</v>
      </c>
      <c r="DH138" s="19">
        <f t="shared" si="756"/>
        <v>1.3889289935972549</v>
      </c>
      <c r="DI138" s="10">
        <f t="shared" si="757"/>
        <v>0.19425580330031536</v>
      </c>
      <c r="DJ138" s="10">
        <f t="shared" si="758"/>
        <v>4.6746719116785567</v>
      </c>
      <c r="DK138" s="539">
        <f t="shared" si="759"/>
        <v>33.423904168501679</v>
      </c>
      <c r="DL138" s="19">
        <f t="shared" si="760"/>
        <v>1.4491482926203525</v>
      </c>
      <c r="DM138" s="10">
        <f t="shared" si="761"/>
        <v>0.20267808288396538</v>
      </c>
      <c r="DN138" s="10">
        <f t="shared" si="762"/>
        <v>4.8773499945625218</v>
      </c>
      <c r="DO138" s="539">
        <f t="shared" si="763"/>
        <v>34.873052461122036</v>
      </c>
      <c r="DP138" s="19">
        <f t="shared" si="764"/>
        <v>1.5119784983143818</v>
      </c>
      <c r="DQ138" s="10">
        <f t="shared" si="765"/>
        <v>0.21146552423977366</v>
      </c>
      <c r="DR138" s="10">
        <f t="shared" si="766"/>
        <v>5.0888155188022957</v>
      </c>
      <c r="DS138" s="539">
        <f t="shared" si="767"/>
        <v>36.385030959436413</v>
      </c>
      <c r="DT138" s="19">
        <f t="shared" si="768"/>
        <v>1.5775328108287117</v>
      </c>
      <c r="DU138" s="10">
        <f t="shared" si="769"/>
        <v>0.22063395955646317</v>
      </c>
      <c r="DV138" s="10">
        <f t="shared" si="770"/>
        <v>5.3094494783587587</v>
      </c>
      <c r="DW138" s="539">
        <f t="shared" si="771"/>
        <v>37.962563770265128</v>
      </c>
      <c r="DX138" s="19">
        <f t="shared" si="772"/>
        <v>1.6459293382912152</v>
      </c>
      <c r="DY138" s="10">
        <f t="shared" si="773"/>
        <v>0.23019990745331681</v>
      </c>
      <c r="DZ138" s="10">
        <f t="shared" si="774"/>
        <v>5.5396493858120754</v>
      </c>
      <c r="EA138" s="539">
        <f t="shared" si="775"/>
        <v>39.608493108556338</v>
      </c>
      <c r="EB138" s="19">
        <f t="shared" si="776"/>
        <v>1.7172913096017435</v>
      </c>
      <c r="EC138" s="10">
        <f t="shared" si="777"/>
        <v>0.24018060274150257</v>
      </c>
      <c r="ED138" s="10">
        <f t="shared" si="778"/>
        <v>5.779829988553578</v>
      </c>
      <c r="EE138" s="539">
        <f t="shared" si="779"/>
        <v>41.325784418158086</v>
      </c>
      <c r="EF138" s="19">
        <f t="shared" si="780"/>
        <v>1.7917472964516092</v>
      </c>
      <c r="EG138" s="10">
        <f t="shared" si="781"/>
        <v>0.25059402747574955</v>
      </c>
      <c r="EH138" s="10">
        <f t="shared" si="782"/>
        <v>6.0304240160293272</v>
      </c>
      <c r="EI138" s="539">
        <f t="shared" si="783"/>
        <v>43.11753171460969</v>
      </c>
      <c r="EJ138" s="19">
        <f t="shared" si="784"/>
        <v>1.8694314449690914</v>
      </c>
      <c r="EK138" s="10">
        <f t="shared" si="785"/>
        <v>0.26145894335232045</v>
      </c>
      <c r="EL138" s="10">
        <f t="shared" si="786"/>
        <v>6.2918829593816472</v>
      </c>
      <c r="EM138" s="539">
        <f t="shared" si="787"/>
        <v>44.986963159578778</v>
      </c>
      <c r="EN138" s="19">
        <f t="shared" si="788"/>
        <v>1.9504837174083107</v>
      </c>
      <c r="EO138" s="10">
        <f t="shared" si="789"/>
        <v>0.27279492551165185</v>
      </c>
      <c r="EP138" s="10">
        <f t="shared" si="790"/>
        <v>6.5646778848932987</v>
      </c>
      <c r="EQ138" s="539">
        <f t="shared" si="791"/>
        <v>46.937446876987089</v>
      </c>
      <c r="ER138" s="19">
        <f t="shared" si="792"/>
        <v>2.0350501443169224</v>
      </c>
      <c r="ES138" s="10">
        <f t="shared" si="793"/>
        <v>0.28462239780656257</v>
      </c>
      <c r="ET138" s="10">
        <f t="shared" si="794"/>
        <v>6.8493002826998612</v>
      </c>
      <c r="EU138" s="539">
        <f t="shared" si="795"/>
        <v>48.972497021304008</v>
      </c>
      <c r="EV138" s="19">
        <f t="shared" si="796"/>
        <v>2.1232830876369571</v>
      </c>
      <c r="EW138" s="10">
        <f t="shared" si="797"/>
        <v>0.2969626695995744</v>
      </c>
      <c r="EX138" s="10">
        <f t="shared" si="798"/>
        <v>7.1462629522994359</v>
      </c>
      <c r="EY138" s="539">
        <f t="shared" si="799"/>
        <v>51.095780108940971</v>
      </c>
      <c r="EZ138" s="19">
        <f t="shared" si="800"/>
        <v>2.2153415152128253</v>
      </c>
      <c r="FA138" s="10">
        <f t="shared" si="801"/>
        <v>0.30983797415563991</v>
      </c>
      <c r="FB138" s="10">
        <f t="shared" si="802"/>
        <v>7.4561009264550755</v>
      </c>
      <c r="FC138" s="539">
        <f t="shared" si="803"/>
        <v>53.311121624153792</v>
      </c>
      <c r="FD138" s="19">
        <f t="shared" si="804"/>
        <v>2.3113912872010736</v>
      </c>
      <c r="FE138" s="10">
        <f t="shared" si="805"/>
        <v>0.32327150869945082</v>
      </c>
      <c r="FF138" s="10">
        <f t="shared" si="806"/>
        <v>7.7793724351545261</v>
      </c>
      <c r="FG138" s="539">
        <f t="shared" si="807"/>
        <v>55.622512911354868</v>
      </c>
      <c r="FH138" s="19">
        <f t="shared" si="808"/>
        <v>2.4116054548979031</v>
      </c>
      <c r="FI138" s="10">
        <f t="shared" si="809"/>
        <v>0.33728747620949695</v>
      </c>
      <c r="FJ138" s="10">
        <f t="shared" si="810"/>
        <v>8.1166599113640228</v>
      </c>
      <c r="FK138" s="539">
        <f t="shared" si="811"/>
        <v>58.034118366252763</v>
      </c>
      <c r="FL138" s="19">
        <f t="shared" si="812"/>
        <v>2.5161645725228472</v>
      </c>
      <c r="FM138" s="10">
        <f t="shared" si="813"/>
        <v>0.35191112902417443</v>
      </c>
      <c r="FN138" s="10">
        <f t="shared" si="814"/>
        <v>8.4685710403881966</v>
      </c>
      <c r="FO138" s="539">
        <f t="shared" si="815"/>
        <v>60.550282938775609</v>
      </c>
      <c r="FP138" s="19">
        <f t="shared" si="816"/>
        <v>2.6252570225203411</v>
      </c>
      <c r="FQ138" s="10">
        <f t="shared" si="817"/>
        <v>0.36716881433850923</v>
      </c>
      <c r="FR138" s="10">
        <f t="shared" si="818"/>
        <v>8.8357398547267056</v>
      </c>
      <c r="FS138" s="539">
        <f t="shared" si="819"/>
        <v>63.175539961295947</v>
      </c>
      <c r="FT138" s="19">
        <f t="shared" si="820"/>
        <v>2.7390793549652788</v>
      </c>
      <c r="FU138" s="10">
        <f t="shared" si="821"/>
        <v>0.38308802167346556</v>
      </c>
      <c r="FV138" s="10">
        <f t="shared" si="822"/>
        <v>9.2188278764001712</v>
      </c>
      <c r="FW138" s="539">
        <f t="shared" si="823"/>
        <v>65.914619316261224</v>
      </c>
      <c r="FX138" s="19">
        <f t="shared" si="824"/>
        <v>2.8578366416840533</v>
      </c>
      <c r="FY138" s="10">
        <f t="shared" si="825"/>
        <v>0.39969743240336408</v>
      </c>
      <c r="FZ138" s="10">
        <f t="shared" si="826"/>
        <v>9.6185253088035356</v>
      </c>
      <c r="GA138" s="539">
        <f t="shared" si="827"/>
        <v>68.772455957945283</v>
      </c>
      <c r="GB138" s="19">
        <f t="shared" si="828"/>
        <v>2.9817428457290962</v>
      </c>
      <c r="GC138" s="10">
        <f t="shared" si="829"/>
        <v>0.41702697143064282</v>
      </c>
      <c r="GD138" s="10">
        <f t="shared" si="830"/>
        <v>10.035552280234178</v>
      </c>
      <c r="GE138" s="539">
        <f t="shared" si="831"/>
        <v>71.75419880367437</v>
      </c>
      <c r="GF138" s="19">
        <f t="shared" si="832"/>
        <v>3.1110212068725951</v>
      </c>
      <c r="GG138" s="10">
        <f t="shared" si="833"/>
        <v>0.43510786110106225</v>
      </c>
      <c r="GH138" s="10">
        <f t="shared" si="834"/>
        <v>10.470660141335241</v>
      </c>
      <c r="GI138" s="539">
        <f t="shared" si="835"/>
        <v>74.865220010546977</v>
      </c>
      <c r="GJ138" s="19">
        <f t="shared" si="836"/>
        <v>3.2459046438139247</v>
      </c>
      <c r="GK138" s="10">
        <f t="shared" si="837"/>
        <v>0.45397267745649295</v>
      </c>
      <c r="GL138" s="10">
        <f t="shared" si="838"/>
        <v>10.924632818791734</v>
      </c>
      <c r="GM138" s="539">
        <f t="shared" si="839"/>
        <v>78.111124654360907</v>
      </c>
      <c r="GN138" s="19">
        <f t="shared" si="840"/>
        <v>3.3866361738254374</v>
      </c>
      <c r="GO138" s="10">
        <f t="shared" si="841"/>
        <v>0.47365540892663455</v>
      </c>
      <c r="GP138" s="10">
        <f t="shared" si="842"/>
        <v>11.398288227718368</v>
      </c>
      <c r="GQ138" s="539">
        <f t="shared" si="843"/>
        <v>81.49776082818633</v>
      </c>
      <c r="GR138" s="19">
        <f t="shared" si="844"/>
        <v>3.5334693505926942</v>
      </c>
      <c r="GS138" s="10">
        <f t="shared" si="845"/>
        <v>0.49419151756541174</v>
      </c>
      <c r="GT138" s="10">
        <f t="shared" si="846"/>
        <v>11.892479745283779</v>
      </c>
      <c r="GU138" s="539">
        <f t="shared" si="847"/>
        <v>85.031230178779026</v>
      </c>
      <c r="GV138" s="19">
        <f t="shared" si="848"/>
        <v>3.6866687210379716</v>
      </c>
      <c r="GW138" s="10">
        <f t="shared" si="849"/>
        <v>0.51561800294237359</v>
      </c>
      <c r="GX138" s="10">
        <f t="shared" si="850"/>
        <v>12.408097748226153</v>
      </c>
      <c r="GY138" s="539">
        <f t="shared" si="851"/>
        <v>88.717898899817001</v>
      </c>
      <c r="GZ138" s="19">
        <f t="shared" si="852"/>
        <v>3.8465103019501075</v>
      </c>
      <c r="HA138" s="10">
        <f t="shared" si="853"/>
        <v>0.53797346880421082</v>
      </c>
      <c r="HB138" s="10">
        <f t="shared" si="854"/>
        <v>12.946071217030363</v>
      </c>
      <c r="HC138" s="539">
        <f t="shared" si="855"/>
        <v>92.564409201767106</v>
      </c>
      <c r="HD138" s="19">
        <f t="shared" si="856"/>
        <v>4.0132820772794124</v>
      </c>
      <c r="HE138" s="10">
        <f t="shared" si="857"/>
        <v>0.56129819262649128</v>
      </c>
      <c r="HF138" s="10">
        <f t="shared" si="858"/>
        <v>13.507369409656855</v>
      </c>
      <c r="HG138" s="539">
        <f t="shared" si="859"/>
        <v>96.577691279046519</v>
      </c>
      <c r="HH138" s="19">
        <f t="shared" si="860"/>
        <v>4.1872845169936248</v>
      </c>
      <c r="HI138" s="10">
        <f t="shared" si="861"/>
        <v>0.58563419818092655</v>
      </c>
      <c r="HJ138" s="10">
        <f t="shared" si="862"/>
        <v>14.093003607837781</v>
      </c>
      <c r="HK138" s="539">
        <f t="shared" si="863"/>
        <v>100.76497579604015</v>
      </c>
      <c r="HL138" s="19">
        <f t="shared" si="864"/>
        <v>4.3688311184297124</v>
      </c>
      <c r="HM138" s="10">
        <f t="shared" si="865"/>
        <v>0.61102533124891079</v>
      </c>
      <c r="HN138" s="10">
        <f t="shared" si="866"/>
        <v>14.704028939086692</v>
      </c>
      <c r="HO138" s="539">
        <f t="shared" si="867"/>
        <v>105.13380691446986</v>
      </c>
      <c r="HP138" s="19">
        <f t="shared" si="868"/>
        <v>4.5582489711168748</v>
      </c>
      <c r="HQ138" s="10">
        <f t="shared" si="869"/>
        <v>0.63751733861774473</v>
      </c>
      <c r="HR138" s="10">
        <f t="shared" si="870"/>
        <v>15.341546277704436</v>
      </c>
      <c r="HS138" s="539">
        <f t="shared" si="871"/>
        <v>109.69205588558673</v>
      </c>
      <c r="HT138" s="19">
        <f t="shared" si="872"/>
        <v>4.755879346088375</v>
      </c>
      <c r="HU138" s="10">
        <f t="shared" si="873"/>
        <v>0.66515795050187065</v>
      </c>
      <c r="HV138" s="10">
        <f t="shared" si="874"/>
        <v>16.006704228206306</v>
      </c>
      <c r="HW138" s="539">
        <f t="shared" si="875"/>
        <v>114.44793523167509</v>
      </c>
      <c r="HX138" s="19">
        <f t="shared" si="876"/>
        <v>4.962078310743955</v>
      </c>
      <c r="HY138" s="10">
        <f t="shared" si="877"/>
        <v>0.693996966537616</v>
      </c>
      <c r="HZ138" s="10">
        <f t="shared" si="878"/>
        <v>16.700701194743921</v>
      </c>
      <c r="IA138" s="539">
        <f t="shared" si="879"/>
        <v>119.41001354241904</v>
      </c>
      <c r="IB138" s="19">
        <f t="shared" si="880"/>
        <v>5.1772173703706157</v>
      </c>
      <c r="IM138" s="11"/>
      <c r="IN138" s="19"/>
      <c r="IO138" s="20"/>
    </row>
    <row r="139" spans="1:261">
      <c r="A139" s="11"/>
      <c r="B139" s="20"/>
      <c r="C139" s="826" t="s">
        <v>2343</v>
      </c>
      <c r="D139" s="47" t="s">
        <v>812</v>
      </c>
      <c r="E139" s="396">
        <f t="shared" si="931"/>
        <v>12.071400000000001</v>
      </c>
      <c r="F139" s="242">
        <v>3.0714000000000001</v>
      </c>
      <c r="G139" s="48">
        <f>'Update Stock Prices'!S139</f>
        <v>12822988.505747128</v>
      </c>
      <c r="H139" s="991">
        <f t="shared" si="610"/>
        <v>2.3952294729293651E-7</v>
      </c>
      <c r="I139" s="49">
        <f>'Update Stock Prices'!D139</f>
        <v>34.799999999999997</v>
      </c>
      <c r="J139" s="49">
        <f t="shared" si="1039"/>
        <v>106.88472</v>
      </c>
      <c r="K139" s="30">
        <v>64.63</v>
      </c>
      <c r="L139" s="49">
        <f t="shared" si="611"/>
        <v>42.254720000000006</v>
      </c>
      <c r="M139" s="50">
        <f t="shared" si="613"/>
        <v>0.65379421321367803</v>
      </c>
      <c r="N139" s="49">
        <f t="shared" si="612"/>
        <v>21.042521325779774</v>
      </c>
      <c r="O139" s="48">
        <f t="shared" si="932"/>
        <v>9</v>
      </c>
      <c r="P139" s="49">
        <f t="shared" si="933"/>
        <v>7.8100000000000023</v>
      </c>
      <c r="Q139" s="30">
        <f>0.1602*4</f>
        <v>0.64080000000000004</v>
      </c>
      <c r="R139" s="49">
        <f t="shared" ref="R139" si="1049">S139/365.25</f>
        <v>5.3885095687885012E-3</v>
      </c>
      <c r="S139" s="49">
        <f t="shared" si="935"/>
        <v>1.9681531200000002</v>
      </c>
      <c r="T139" s="49">
        <f t="shared" ref="T139" si="1050">S139/12</f>
        <v>0.16401276000000001</v>
      </c>
      <c r="U139" s="49" t="s">
        <v>54</v>
      </c>
      <c r="V139" s="50">
        <f t="shared" si="937"/>
        <v>1.8413793103448279E-2</v>
      </c>
      <c r="W139" s="50">
        <f t="shared" si="575"/>
        <v>3.0452624477796696E-2</v>
      </c>
      <c r="X139" s="49">
        <f>12*((E139*Q139)/12-T139)</f>
        <v>5.7672000000000017</v>
      </c>
      <c r="Y139" s="49">
        <f t="shared" si="654"/>
        <v>0.49203828000000005</v>
      </c>
      <c r="Z139" s="860">
        <f t="shared" si="939"/>
        <v>0</v>
      </c>
      <c r="AA139" s="860">
        <f t="shared" si="940"/>
        <v>214.1570644194756</v>
      </c>
      <c r="AB139" s="49">
        <f t="shared" si="941"/>
        <v>7452.6658417977505</v>
      </c>
      <c r="AC139" s="48">
        <v>1</v>
      </c>
      <c r="AD139" s="47" t="str">
        <f t="shared" si="942"/>
        <v>YORW</v>
      </c>
      <c r="AE139" s="49">
        <f t="shared" si="943"/>
        <v>106.88472</v>
      </c>
      <c r="AF139" s="50" t="e">
        <f t="shared" si="1040"/>
        <v>#REF!</v>
      </c>
      <c r="AG139" s="890" t="e">
        <f t="shared" si="910"/>
        <v>#REF!</v>
      </c>
      <c r="AH139" s="207" t="s">
        <v>811</v>
      </c>
      <c r="AI139" s="240">
        <f t="shared" si="1041"/>
        <v>2.5934601552240713E-2</v>
      </c>
      <c r="AJ139" s="11">
        <f t="shared" si="1044"/>
        <v>4</v>
      </c>
      <c r="AK139" s="11"/>
      <c r="AL139" s="11">
        <v>1</v>
      </c>
      <c r="AM139" s="11"/>
      <c r="AN139" s="11"/>
      <c r="AO139" s="11"/>
      <c r="AP139" s="11"/>
      <c r="AQ139" s="11" t="str">
        <f>'Update Stock Prices'!Q139</f>
        <v>small</v>
      </c>
      <c r="AR139" s="11"/>
      <c r="AS139" s="11"/>
      <c r="AT139" s="19"/>
      <c r="AU139" s="831" t="s">
        <v>1714</v>
      </c>
      <c r="AV139" s="233">
        <v>0.15</v>
      </c>
      <c r="AW139" s="183">
        <v>0</v>
      </c>
      <c r="AX139" s="20">
        <f ca="1">AV139*AV114</f>
        <v>61.929617639340947</v>
      </c>
      <c r="AY139" s="19">
        <f ca="1">AW139*AV114</f>
        <v>0</v>
      </c>
      <c r="AZ139" s="234">
        <f ca="1">SUM(AX139:AY139)</f>
        <v>61.929617639340947</v>
      </c>
      <c r="BB139" s="1437"/>
      <c r="BC139" s="149"/>
      <c r="BD139" s="26"/>
      <c r="BE139" s="26"/>
      <c r="BK139" s="20"/>
      <c r="BS139" s="420" t="str">
        <f t="shared" si="715"/>
        <v>YORW</v>
      </c>
      <c r="BT139" s="425">
        <f t="shared" si="716"/>
        <v>3.0714000000000001</v>
      </c>
      <c r="BU139" s="19">
        <f t="shared" si="717"/>
        <v>34.799999999999997</v>
      </c>
      <c r="BV139" s="19">
        <f t="shared" si="718"/>
        <v>106.88472</v>
      </c>
      <c r="BW139" s="539">
        <f t="shared" si="719"/>
        <v>0.64080000000000004</v>
      </c>
      <c r="BX139" s="19">
        <f t="shared" si="720"/>
        <v>1.9681531200000002</v>
      </c>
      <c r="BY139" s="10">
        <f t="shared" si="721"/>
        <v>5.6556124137931048E-2</v>
      </c>
      <c r="BZ139" s="10">
        <f t="shared" si="722"/>
        <v>3.1279561241379312</v>
      </c>
      <c r="CA139" s="539">
        <f t="shared" si="723"/>
        <v>108.85287312</v>
      </c>
      <c r="CB139" s="19">
        <f t="shared" si="724"/>
        <v>2.0043942843475864</v>
      </c>
      <c r="CC139" s="10">
        <f t="shared" si="725"/>
        <v>5.7597536906539841E-2</v>
      </c>
      <c r="CD139" s="10">
        <f t="shared" si="726"/>
        <v>3.1855536610444712</v>
      </c>
      <c r="CE139" s="539">
        <f t="shared" si="727"/>
        <v>110.8572674043476</v>
      </c>
      <c r="CF139" s="19">
        <f t="shared" si="728"/>
        <v>2.0413027859972974</v>
      </c>
      <c r="CG139" s="10">
        <f t="shared" si="729"/>
        <v>5.8658126034405102E-2</v>
      </c>
      <c r="CH139" s="10">
        <f t="shared" si="730"/>
        <v>3.2442117870788763</v>
      </c>
      <c r="CI139" s="539">
        <f t="shared" si="731"/>
        <v>112.89857019034488</v>
      </c>
      <c r="CJ139" s="19">
        <f t="shared" si="732"/>
        <v>2.0788909131601438</v>
      </c>
      <c r="CK139" s="10">
        <f t="shared" si="733"/>
        <v>5.973824463103862E-2</v>
      </c>
      <c r="CL139" s="10">
        <f t="shared" si="734"/>
        <v>3.3039500317099151</v>
      </c>
      <c r="CM139" s="539">
        <f t="shared" si="735"/>
        <v>114.97746110350504</v>
      </c>
      <c r="CN139" s="19">
        <f t="shared" si="736"/>
        <v>2.1171711803197137</v>
      </c>
      <c r="CO139" s="10">
        <f t="shared" si="737"/>
        <v>6.0838252308037757E-2</v>
      </c>
      <c r="CP139" s="10">
        <f t="shared" si="738"/>
        <v>3.364788284017953</v>
      </c>
      <c r="CQ139" s="539">
        <f t="shared" si="739"/>
        <v>117.09463228382475</v>
      </c>
      <c r="CR139" s="19">
        <f t="shared" si="740"/>
        <v>2.1561563323987043</v>
      </c>
      <c r="CS139" s="10">
        <f t="shared" si="741"/>
        <v>6.1958515298813348E-2</v>
      </c>
      <c r="CT139" s="10">
        <f t="shared" si="742"/>
        <v>3.4267467993167662</v>
      </c>
      <c r="CU139" s="539">
        <f t="shared" si="743"/>
        <v>119.25078861622346</v>
      </c>
      <c r="CV139" s="19">
        <f t="shared" si="744"/>
        <v>2.195859349002184</v>
      </c>
      <c r="CW139" s="10">
        <f t="shared" si="745"/>
        <v>6.309940658052253E-2</v>
      </c>
      <c r="CX139" s="10">
        <f t="shared" si="746"/>
        <v>3.4898462058972886</v>
      </c>
      <c r="CY139" s="539">
        <f t="shared" si="747"/>
        <v>121.44664796522564</v>
      </c>
      <c r="CZ139" s="19">
        <f t="shared" si="748"/>
        <v>2.2362934487389827</v>
      </c>
      <c r="DA139" s="10">
        <f t="shared" si="749"/>
        <v>6.4261305998246629E-2</v>
      </c>
      <c r="DB139" s="10">
        <f t="shared" si="750"/>
        <v>3.554107511895535</v>
      </c>
      <c r="DC139" s="539">
        <f t="shared" si="751"/>
        <v>123.68294141396461</v>
      </c>
      <c r="DD139" s="19">
        <f t="shared" si="752"/>
        <v>2.2774720936226589</v>
      </c>
      <c r="DE139" s="10">
        <f t="shared" si="753"/>
        <v>6.5444600391455721E-2</v>
      </c>
      <c r="DF139" s="10">
        <f t="shared" si="754"/>
        <v>3.6195521122869909</v>
      </c>
      <c r="DG139" s="539">
        <f t="shared" si="755"/>
        <v>125.96041350758728</v>
      </c>
      <c r="DH139" s="19">
        <f t="shared" si="756"/>
        <v>2.3194089935535041</v>
      </c>
      <c r="DI139" s="10">
        <f t="shared" si="757"/>
        <v>6.6649683722801847E-2</v>
      </c>
      <c r="DJ139" s="10">
        <f t="shared" si="758"/>
        <v>3.6862017960097928</v>
      </c>
      <c r="DK139" s="539">
        <f t="shared" si="759"/>
        <v>128.27982250114079</v>
      </c>
      <c r="DL139" s="19">
        <f t="shared" si="760"/>
        <v>2.3621181108830753</v>
      </c>
      <c r="DM139" s="10">
        <f t="shared" si="761"/>
        <v>6.7876957209283773E-2</v>
      </c>
      <c r="DN139" s="10">
        <f t="shared" si="762"/>
        <v>3.7540787532190767</v>
      </c>
      <c r="DO139" s="539">
        <f t="shared" si="763"/>
        <v>130.64194061202386</v>
      </c>
      <c r="DP139" s="19">
        <f t="shared" si="764"/>
        <v>2.4056136650627846</v>
      </c>
      <c r="DQ139" s="10">
        <f t="shared" si="765"/>
        <v>6.9126829455827155E-2</v>
      </c>
      <c r="DR139" s="10">
        <f t="shared" si="766"/>
        <v>3.8232055826749036</v>
      </c>
      <c r="DS139" s="539">
        <f t="shared" si="767"/>
        <v>133.04755427708665</v>
      </c>
      <c r="DT139" s="19">
        <f t="shared" si="768"/>
        <v>2.4499101373780783</v>
      </c>
      <c r="DU139" s="10">
        <f t="shared" si="769"/>
        <v>7.0399716591324088E-2</v>
      </c>
      <c r="DV139" s="10">
        <f t="shared" si="770"/>
        <v>3.8936052992662278</v>
      </c>
      <c r="DW139" s="539">
        <f t="shared" si="771"/>
        <v>135.4974644144647</v>
      </c>
      <c r="DX139" s="19">
        <f t="shared" si="772"/>
        <v>2.4950222757697991</v>
      </c>
      <c r="DY139" s="10">
        <f t="shared" si="773"/>
        <v>7.169604240717814E-2</v>
      </c>
      <c r="DZ139" s="10">
        <f t="shared" si="774"/>
        <v>3.9653013416734058</v>
      </c>
      <c r="EA139" s="539">
        <f t="shared" si="775"/>
        <v>137.9924866902345</v>
      </c>
      <c r="EB139" s="19">
        <f t="shared" si="776"/>
        <v>2.5409650997443185</v>
      </c>
      <c r="EC139" s="10">
        <f t="shared" si="777"/>
        <v>7.3016238498399957E-2</v>
      </c>
      <c r="ED139" s="10">
        <f t="shared" si="778"/>
        <v>4.0383175801718059</v>
      </c>
      <c r="EE139" s="539">
        <f t="shared" si="779"/>
        <v>140.53345178997884</v>
      </c>
      <c r="EF139" s="19">
        <f t="shared" si="780"/>
        <v>2.5877539053740932</v>
      </c>
      <c r="EG139" s="10">
        <f t="shared" si="781"/>
        <v>7.4360744407301532E-2</v>
      </c>
      <c r="EH139" s="10">
        <f t="shared" si="782"/>
        <v>4.1126783245791074</v>
      </c>
      <c r="EI139" s="539">
        <f t="shared" si="783"/>
        <v>143.12120569535293</v>
      </c>
      <c r="EJ139" s="19">
        <f t="shared" si="784"/>
        <v>2.6354042703902922</v>
      </c>
      <c r="EK139" s="10">
        <f t="shared" si="785"/>
        <v>7.5730007769835989E-2</v>
      </c>
      <c r="EL139" s="10">
        <f t="shared" si="786"/>
        <v>4.1884083323489438</v>
      </c>
      <c r="EM139" s="539">
        <f t="shared" si="787"/>
        <v>145.75660996574322</v>
      </c>
      <c r="EN139" s="19">
        <f t="shared" si="788"/>
        <v>2.6839320593692033</v>
      </c>
      <c r="EO139" s="10">
        <f t="shared" si="789"/>
        <v>7.7124484464632284E-2</v>
      </c>
      <c r="EP139" s="10">
        <f t="shared" si="790"/>
        <v>4.2655328168135762</v>
      </c>
      <c r="EQ139" s="539">
        <f t="shared" si="791"/>
        <v>148.44054202511245</v>
      </c>
      <c r="ER139" s="19">
        <f t="shared" si="792"/>
        <v>2.7333534290141399</v>
      </c>
      <c r="ES139" s="10">
        <f t="shared" si="793"/>
        <v>7.8544638764774147E-2</v>
      </c>
      <c r="ET139" s="10">
        <f t="shared" si="794"/>
        <v>4.3440774555783506</v>
      </c>
      <c r="EU139" s="539">
        <f t="shared" si="795"/>
        <v>151.17389545412658</v>
      </c>
      <c r="EV139" s="19">
        <f t="shared" si="796"/>
        <v>2.7836848335346072</v>
      </c>
      <c r="EW139" s="10">
        <f t="shared" si="797"/>
        <v>7.9990943492373776E-2</v>
      </c>
      <c r="EX139" s="10">
        <f t="shared" si="798"/>
        <v>4.4240683990707241</v>
      </c>
      <c r="EY139" s="539">
        <f t="shared" si="799"/>
        <v>153.95758028766119</v>
      </c>
      <c r="EZ139" s="19">
        <f t="shared" si="800"/>
        <v>2.8349430301245202</v>
      </c>
      <c r="FA139" s="10">
        <f t="shared" si="801"/>
        <v>8.1463880175991973E-2</v>
      </c>
      <c r="FB139" s="10">
        <f t="shared" si="802"/>
        <v>4.5055322792467161</v>
      </c>
      <c r="FC139" s="539">
        <f t="shared" si="803"/>
        <v>156.79252331778571</v>
      </c>
      <c r="FD139" s="19">
        <f t="shared" si="804"/>
        <v>2.887145084541296</v>
      </c>
      <c r="FE139" s="10">
        <f t="shared" si="805"/>
        <v>8.2963939210956794E-2</v>
      </c>
      <c r="FF139" s="10">
        <f t="shared" si="806"/>
        <v>4.5884962184576725</v>
      </c>
      <c r="FG139" s="539">
        <f t="shared" si="807"/>
        <v>159.679668402327</v>
      </c>
      <c r="FH139" s="19">
        <f t="shared" si="808"/>
        <v>2.9403083767876765</v>
      </c>
      <c r="FI139" s="10">
        <f t="shared" si="809"/>
        <v>8.4491620022634384E-2</v>
      </c>
      <c r="FJ139" s="10">
        <f t="shared" si="810"/>
        <v>4.6729878384803065</v>
      </c>
      <c r="FK139" s="539">
        <f t="shared" si="811"/>
        <v>162.61997677911467</v>
      </c>
      <c r="FL139" s="19">
        <f t="shared" si="812"/>
        <v>2.9944506068981807</v>
      </c>
      <c r="FM139" s="10">
        <f t="shared" si="813"/>
        <v>8.6047431232706348E-2</v>
      </c>
      <c r="FN139" s="10">
        <f t="shared" si="814"/>
        <v>4.7590352697130127</v>
      </c>
      <c r="FO139" s="539">
        <f t="shared" si="815"/>
        <v>165.61442738601284</v>
      </c>
      <c r="FP139" s="19">
        <f t="shared" si="816"/>
        <v>3.0495898008320985</v>
      </c>
      <c r="FQ139" s="10">
        <f t="shared" si="817"/>
        <v>8.7631890828508585E-2</v>
      </c>
      <c r="FR139" s="10">
        <f t="shared" si="818"/>
        <v>4.8466671605415215</v>
      </c>
      <c r="FS139" s="539">
        <f t="shared" si="819"/>
        <v>168.66401718684494</v>
      </c>
      <c r="FT139" s="19">
        <f t="shared" si="820"/>
        <v>3.1057443164750071</v>
      </c>
      <c r="FU139" s="10">
        <f t="shared" si="821"/>
        <v>8.9245526335488712E-2</v>
      </c>
      <c r="FV139" s="10">
        <f t="shared" si="822"/>
        <v>4.9359126868770105</v>
      </c>
      <c r="FW139" s="539">
        <f t="shared" si="823"/>
        <v>171.76976150331996</v>
      </c>
      <c r="FX139" s="19">
        <f t="shared" si="824"/>
        <v>3.1629328497507885</v>
      </c>
      <c r="FY139" s="10">
        <f t="shared" si="825"/>
        <v>9.088887499283875E-2</v>
      </c>
      <c r="FZ139" s="10">
        <f t="shared" si="826"/>
        <v>5.0268015618698492</v>
      </c>
      <c r="GA139" s="539">
        <f t="shared" si="827"/>
        <v>174.93269435307073</v>
      </c>
      <c r="GB139" s="19">
        <f t="shared" si="828"/>
        <v>3.2211744408461995</v>
      </c>
      <c r="GC139" s="10">
        <f t="shared" si="829"/>
        <v>9.2562483932362064E-2</v>
      </c>
      <c r="GD139" s="10">
        <f t="shared" si="830"/>
        <v>5.1193640458022109</v>
      </c>
      <c r="GE139" s="539">
        <f t="shared" si="831"/>
        <v>178.15386879391693</v>
      </c>
      <c r="GF139" s="19">
        <f t="shared" si="832"/>
        <v>3.2804884805500572</v>
      </c>
      <c r="GG139" s="10">
        <f t="shared" si="833"/>
        <v>9.4266910360633838E-2</v>
      </c>
      <c r="GH139" s="10">
        <f t="shared" si="834"/>
        <v>5.2136309561628451</v>
      </c>
      <c r="GI139" s="539">
        <f t="shared" si="835"/>
        <v>181.434357274467</v>
      </c>
      <c r="GJ139" s="19">
        <f t="shared" si="836"/>
        <v>3.3408947167091512</v>
      </c>
      <c r="GK139" s="10">
        <f t="shared" si="837"/>
        <v>9.6002721744515851E-2</v>
      </c>
      <c r="GL139" s="10">
        <f t="shared" si="838"/>
        <v>5.3096336779073612</v>
      </c>
      <c r="GM139" s="539">
        <f t="shared" si="839"/>
        <v>184.77525199117616</v>
      </c>
      <c r="GN139" s="19">
        <f t="shared" si="840"/>
        <v>3.4024132608030371</v>
      </c>
      <c r="GO139" s="10">
        <f t="shared" si="841"/>
        <v>9.7770496000087276E-2</v>
      </c>
      <c r="GP139" s="10">
        <f t="shared" si="842"/>
        <v>5.4074041739074481</v>
      </c>
      <c r="GQ139" s="539">
        <f t="shared" si="843"/>
        <v>188.17766525197919</v>
      </c>
      <c r="GR139" s="19">
        <f t="shared" si="844"/>
        <v>3.4650645946398928</v>
      </c>
      <c r="GS139" s="10">
        <f t="shared" si="845"/>
        <v>9.9570821685054406E-2</v>
      </c>
      <c r="GT139" s="10">
        <f t="shared" si="846"/>
        <v>5.5069749955925023</v>
      </c>
      <c r="GU139" s="539">
        <f t="shared" si="847"/>
        <v>191.64272984661906</v>
      </c>
      <c r="GV139" s="19">
        <f t="shared" si="848"/>
        <v>3.5288695771756755</v>
      </c>
      <c r="GW139" s="10">
        <f t="shared" si="849"/>
        <v>0.10140429819470333</v>
      </c>
      <c r="GX139" s="10">
        <f t="shared" si="850"/>
        <v>5.6083792937872055</v>
      </c>
      <c r="GY139" s="539">
        <f t="shared" si="851"/>
        <v>195.17159942379473</v>
      </c>
      <c r="GZ139" s="19">
        <f t="shared" si="852"/>
        <v>3.5938494514588415</v>
      </c>
      <c r="HA139" s="10">
        <f t="shared" si="853"/>
        <v>0.10327153596146096</v>
      </c>
      <c r="HB139" s="10">
        <f t="shared" si="854"/>
        <v>5.7116508297486668</v>
      </c>
      <c r="HC139" s="539">
        <f t="shared" si="855"/>
        <v>198.76544887525358</v>
      </c>
      <c r="HD139" s="19">
        <f t="shared" si="856"/>
        <v>3.660025851702946</v>
      </c>
      <c r="HE139" s="10">
        <f t="shared" si="857"/>
        <v>0.10517315665813064</v>
      </c>
      <c r="HF139" s="10">
        <f t="shared" si="858"/>
        <v>5.8168239864067974</v>
      </c>
      <c r="HG139" s="539">
        <f t="shared" si="859"/>
        <v>202.42547472695654</v>
      </c>
      <c r="HH139" s="19">
        <f t="shared" si="860"/>
        <v>3.7274208104894759</v>
      </c>
      <c r="HI139" s="10">
        <f t="shared" si="861"/>
        <v>0.10710979340487001</v>
      </c>
      <c r="HJ139" s="10">
        <f t="shared" si="862"/>
        <v>5.9239337798116676</v>
      </c>
      <c r="HK139" s="539">
        <f t="shared" si="863"/>
        <v>206.15289553744603</v>
      </c>
      <c r="HL139" s="19">
        <f t="shared" si="864"/>
        <v>3.7960567661033169</v>
      </c>
      <c r="HM139" s="10">
        <f t="shared" si="865"/>
        <v>0.10908209097998038</v>
      </c>
      <c r="HN139" s="10">
        <f t="shared" si="866"/>
        <v>6.0330158707916484</v>
      </c>
      <c r="HO139" s="539">
        <f t="shared" si="867"/>
        <v>209.94895230354933</v>
      </c>
      <c r="HP139" s="19">
        <f t="shared" si="868"/>
        <v>3.8659565700032883</v>
      </c>
      <c r="HQ139" s="10">
        <f t="shared" si="869"/>
        <v>0.11109070603457726</v>
      </c>
      <c r="HR139" s="10">
        <f t="shared" si="870"/>
        <v>6.1441065768262257</v>
      </c>
      <c r="HS139" s="539">
        <f t="shared" si="871"/>
        <v>213.81490887355264</v>
      </c>
      <c r="HT139" s="19">
        <f t="shared" si="872"/>
        <v>3.9371434944302455</v>
      </c>
      <c r="HU139" s="10">
        <f t="shared" si="873"/>
        <v>0.11313630731121396</v>
      </c>
      <c r="HV139" s="10">
        <f t="shared" si="874"/>
        <v>6.2572428841374395</v>
      </c>
      <c r="HW139" s="539">
        <f t="shared" si="875"/>
        <v>217.75205236798288</v>
      </c>
      <c r="HX139" s="19">
        <f t="shared" si="876"/>
        <v>4.009641240155271</v>
      </c>
      <c r="HY139" s="10">
        <f t="shared" si="877"/>
        <v>0.11521957586653078</v>
      </c>
      <c r="HZ139" s="10">
        <f t="shared" si="878"/>
        <v>6.3724624600039705</v>
      </c>
      <c r="IA139" s="539">
        <f t="shared" si="879"/>
        <v>221.76169360813816</v>
      </c>
      <c r="IB139" s="19">
        <f t="shared" si="880"/>
        <v>4.0834739443705441</v>
      </c>
      <c r="IM139" s="11"/>
      <c r="IN139" s="19"/>
      <c r="IO139" s="20"/>
    </row>
    <row r="140" spans="1:261">
      <c r="A140" s="11"/>
      <c r="B140" s="20"/>
      <c r="C140" s="826" t="s">
        <v>2345</v>
      </c>
      <c r="D140" s="47" t="s">
        <v>105</v>
      </c>
      <c r="E140" s="396">
        <f t="shared" si="931"/>
        <v>61.119500000000002</v>
      </c>
      <c r="F140" s="242">
        <v>19.119499999999999</v>
      </c>
      <c r="G140" s="48">
        <f>'Update Stock Prices'!S140</f>
        <v>790945406.12516642</v>
      </c>
      <c r="H140" s="991">
        <f t="shared" si="610"/>
        <v>2.4172970538720539E-8</v>
      </c>
      <c r="I140" s="49">
        <f>'Update Stock Prices'!D140</f>
        <v>7.51</v>
      </c>
      <c r="J140" s="49">
        <f t="shared" si="1039"/>
        <v>143.58744499999997</v>
      </c>
      <c r="K140" s="30">
        <v>303.97000000000003</v>
      </c>
      <c r="L140" s="49">
        <f t="shared" si="611"/>
        <v>-160.38255500000005</v>
      </c>
      <c r="M140" s="50">
        <f t="shared" si="613"/>
        <v>-0.52762626246011135</v>
      </c>
      <c r="N140" s="49">
        <f t="shared" si="612"/>
        <v>15.898428306179557</v>
      </c>
      <c r="O140" s="48">
        <f t="shared" si="932"/>
        <v>42</v>
      </c>
      <c r="P140" s="49">
        <f>IF(($B$11-$B$12)-(O140*I140)&lt;0,0,($B$11-$B$12)-(O140*I140))</f>
        <v>5.589999999999975</v>
      </c>
      <c r="Q140" s="30">
        <f>0.02603</f>
        <v>2.6030000000000001E-2</v>
      </c>
      <c r="R140" s="49">
        <f t="shared" si="242"/>
        <v>1.3625751813826146E-3</v>
      </c>
      <c r="S140" s="49">
        <f t="shared" si="935"/>
        <v>0.49768058500000001</v>
      </c>
      <c r="T140" s="49">
        <f t="shared" si="399"/>
        <v>4.1473382083333336E-2</v>
      </c>
      <c r="U140" s="49" t="s">
        <v>57</v>
      </c>
      <c r="V140" s="50">
        <f t="shared" si="937"/>
        <v>3.4660452729693746E-3</v>
      </c>
      <c r="W140" s="50">
        <f t="shared" si="575"/>
        <v>1.6372687600750074E-3</v>
      </c>
      <c r="X140" s="49">
        <f>12*((E140*Q140)/12-T140)</f>
        <v>1.0932599999999999</v>
      </c>
      <c r="Y140" s="49">
        <f t="shared" si="654"/>
        <v>0.49768058500000001</v>
      </c>
      <c r="Z140" s="860">
        <f t="shared" si="939"/>
        <v>0</v>
      </c>
      <c r="AA140" s="860">
        <f t="shared" si="940"/>
        <v>269.39375393776407</v>
      </c>
      <c r="AB140" s="49">
        <f t="shared" si="941"/>
        <v>2023.1470920726081</v>
      </c>
      <c r="AC140" s="48">
        <v>1</v>
      </c>
      <c r="AD140" s="47" t="str">
        <f t="shared" si="942"/>
        <v>YZC</v>
      </c>
      <c r="AE140" s="49">
        <f t="shared" si="943"/>
        <v>143.58744499999997</v>
      </c>
      <c r="AF140" s="50" t="e">
        <f t="shared" si="1040"/>
        <v>#REF!</v>
      </c>
      <c r="AG140" s="890" t="e">
        <f t="shared" si="910"/>
        <v>#REF!</v>
      </c>
      <c r="AH140" s="207" t="s">
        <v>104</v>
      </c>
      <c r="AI140" s="240">
        <f t="shared" si="1041"/>
        <v>4.6803816476551477E-2</v>
      </c>
      <c r="AJ140" s="11">
        <f t="shared" si="1044"/>
        <v>3</v>
      </c>
      <c r="AK140" s="11"/>
      <c r="AL140" s="11"/>
      <c r="AM140" s="11"/>
      <c r="AN140" s="11"/>
      <c r="AO140" s="11"/>
      <c r="AP140" s="11"/>
      <c r="AQ140" s="11" t="str">
        <f>'Update Stock Prices'!Q140</f>
        <v>mid</v>
      </c>
      <c r="AR140" s="11"/>
      <c r="AS140" s="11"/>
      <c r="AU140" s="831" t="s">
        <v>1766</v>
      </c>
      <c r="AV140" s="183">
        <v>0.15</v>
      </c>
      <c r="AW140" s="183">
        <v>0.06</v>
      </c>
      <c r="AX140" s="19" t="e">
        <f ca="1">AV140*SUM(AV117:AV127)</f>
        <v>#REF!</v>
      </c>
      <c r="AY140" s="19" t="e">
        <f ca="1">AW140*SUM(AV117:AV127)</f>
        <v>#REF!</v>
      </c>
      <c r="AZ140" s="234" t="e">
        <f ca="1">SUM(AX140:AY140)</f>
        <v>#REF!</v>
      </c>
      <c r="BB140" s="908"/>
      <c r="BC140" s="149"/>
      <c r="BD140" s="26"/>
      <c r="BE140" s="26"/>
      <c r="BK140" s="20"/>
      <c r="BS140" s="420" t="str">
        <f t="shared" si="715"/>
        <v>YZC</v>
      </c>
      <c r="BT140" s="425">
        <f t="shared" si="716"/>
        <v>19.119499999999999</v>
      </c>
      <c r="BU140" s="19">
        <f t="shared" si="717"/>
        <v>7.51</v>
      </c>
      <c r="BV140" s="19">
        <f t="shared" si="718"/>
        <v>143.58744499999997</v>
      </c>
      <c r="BW140" s="539">
        <f t="shared" si="719"/>
        <v>2.6030000000000001E-2</v>
      </c>
      <c r="BX140" s="19">
        <f t="shared" si="720"/>
        <v>0.49768058500000001</v>
      </c>
      <c r="BY140" s="10">
        <f t="shared" si="721"/>
        <v>6.6269052596537953E-2</v>
      </c>
      <c r="BZ140" s="10">
        <f t="shared" si="722"/>
        <v>19.185769052596537</v>
      </c>
      <c r="CA140" s="539">
        <f t="shared" si="723"/>
        <v>144.08512558499999</v>
      </c>
      <c r="CB140" s="19">
        <f t="shared" si="724"/>
        <v>0.4994055684390879</v>
      </c>
      <c r="CC140" s="10">
        <f t="shared" si="725"/>
        <v>6.6498744133034346E-2</v>
      </c>
      <c r="CD140" s="10">
        <f t="shared" si="726"/>
        <v>19.252267796729573</v>
      </c>
      <c r="CE140" s="539">
        <f t="shared" si="727"/>
        <v>144.58453115343909</v>
      </c>
      <c r="CF140" s="19">
        <f t="shared" si="728"/>
        <v>0.50113653074887077</v>
      </c>
      <c r="CG140" s="10">
        <f t="shared" si="729"/>
        <v>6.6729231790795041E-2</v>
      </c>
      <c r="CH140" s="10">
        <f t="shared" si="730"/>
        <v>19.318997028520368</v>
      </c>
      <c r="CI140" s="539">
        <f t="shared" si="731"/>
        <v>145.08566768418797</v>
      </c>
      <c r="CJ140" s="19">
        <f t="shared" si="732"/>
        <v>0.50287349265238523</v>
      </c>
      <c r="CK140" s="10">
        <f t="shared" si="733"/>
        <v>6.6960518329212418E-2</v>
      </c>
      <c r="CL140" s="10">
        <f t="shared" si="734"/>
        <v>19.385957546849582</v>
      </c>
      <c r="CM140" s="539">
        <f t="shared" si="735"/>
        <v>145.58854117684035</v>
      </c>
      <c r="CN140" s="19">
        <f t="shared" si="736"/>
        <v>0.50461647494449469</v>
      </c>
      <c r="CO140" s="10">
        <f t="shared" si="737"/>
        <v>6.7192606517242973E-2</v>
      </c>
      <c r="CP140" s="10">
        <f t="shared" si="738"/>
        <v>19.453150153366824</v>
      </c>
      <c r="CQ140" s="539">
        <f t="shared" si="739"/>
        <v>146.09315765178485</v>
      </c>
      <c r="CR140" s="19">
        <f t="shared" si="740"/>
        <v>0.50636549849213841</v>
      </c>
      <c r="CS140" s="10">
        <f t="shared" si="741"/>
        <v>6.7425499133440536E-2</v>
      </c>
      <c r="CT140" s="10">
        <f t="shared" si="742"/>
        <v>19.520575652500266</v>
      </c>
      <c r="CU140" s="539">
        <f t="shared" si="743"/>
        <v>146.59952315027701</v>
      </c>
      <c r="CV140" s="19">
        <f t="shared" si="744"/>
        <v>0.50812058423458195</v>
      </c>
      <c r="CW140" s="10">
        <f t="shared" si="745"/>
        <v>6.7659198965989611E-2</v>
      </c>
      <c r="CX140" s="10">
        <f t="shared" si="746"/>
        <v>19.588234851466257</v>
      </c>
      <c r="CY140" s="539">
        <f t="shared" si="747"/>
        <v>147.10764373451158</v>
      </c>
      <c r="CZ140" s="19">
        <f t="shared" si="748"/>
        <v>0.50988175318366669</v>
      </c>
      <c r="DA140" s="10">
        <f t="shared" si="749"/>
        <v>6.7893708812738582E-2</v>
      </c>
      <c r="DB140" s="10">
        <f t="shared" si="750"/>
        <v>19.656128560278997</v>
      </c>
      <c r="DC140" s="539">
        <f t="shared" si="751"/>
        <v>147.61752548769527</v>
      </c>
      <c r="DD140" s="19">
        <f t="shared" si="752"/>
        <v>0.51164902642406229</v>
      </c>
      <c r="DE140" s="10">
        <f t="shared" si="753"/>
        <v>6.8129031481233324E-2</v>
      </c>
      <c r="DF140" s="10">
        <f t="shared" si="754"/>
        <v>19.724257591760232</v>
      </c>
      <c r="DG140" s="539">
        <f t="shared" si="755"/>
        <v>148.12917451411934</v>
      </c>
      <c r="DH140" s="19">
        <f t="shared" si="756"/>
        <v>0.51342242511351888</v>
      </c>
      <c r="DI140" s="10">
        <f t="shared" si="757"/>
        <v>6.8365169788750846E-2</v>
      </c>
      <c r="DJ140" s="10">
        <f t="shared" si="758"/>
        <v>19.792622761548984</v>
      </c>
      <c r="DK140" s="539">
        <f t="shared" si="759"/>
        <v>148.64259693923287</v>
      </c>
      <c r="DL140" s="19">
        <f t="shared" si="760"/>
        <v>0.51520197048312011</v>
      </c>
      <c r="DM140" s="10">
        <f t="shared" si="761"/>
        <v>6.8602126562332902E-2</v>
      </c>
      <c r="DN140" s="10">
        <f t="shared" si="762"/>
        <v>19.861224888111316</v>
      </c>
      <c r="DO140" s="539">
        <f t="shared" si="763"/>
        <v>149.15779890971598</v>
      </c>
      <c r="DP140" s="19">
        <f t="shared" si="764"/>
        <v>0.51698768383753757</v>
      </c>
      <c r="DQ140" s="10">
        <f t="shared" si="765"/>
        <v>6.8839904638819921E-2</v>
      </c>
      <c r="DR140" s="10">
        <f t="shared" si="766"/>
        <v>19.930064792750137</v>
      </c>
      <c r="DS140" s="539">
        <f t="shared" si="767"/>
        <v>149.67478659355353</v>
      </c>
      <c r="DT140" s="19">
        <f t="shared" si="768"/>
        <v>0.51877958655528611</v>
      </c>
      <c r="DU140" s="10">
        <f t="shared" si="769"/>
        <v>6.9078506864884967E-2</v>
      </c>
      <c r="DV140" s="10">
        <f t="shared" si="770"/>
        <v>19.999143299615021</v>
      </c>
      <c r="DW140" s="539">
        <f t="shared" si="771"/>
        <v>150.1935661801088</v>
      </c>
      <c r="DX140" s="19">
        <f t="shared" si="772"/>
        <v>0.52057770008897897</v>
      </c>
      <c r="DY140" s="10">
        <f t="shared" si="773"/>
        <v>6.9317936097067767E-2</v>
      </c>
      <c r="DZ140" s="10">
        <f t="shared" si="774"/>
        <v>20.068461235712089</v>
      </c>
      <c r="EA140" s="539">
        <f t="shared" si="775"/>
        <v>150.71414388019778</v>
      </c>
      <c r="EB140" s="19">
        <f t="shared" si="776"/>
        <v>0.52238204596558568</v>
      </c>
      <c r="EC140" s="10">
        <f t="shared" si="777"/>
        <v>6.9558195201809017E-2</v>
      </c>
      <c r="ED140" s="10">
        <f t="shared" si="778"/>
        <v>20.138019430913896</v>
      </c>
      <c r="EE140" s="539">
        <f t="shared" si="779"/>
        <v>151.23652592616335</v>
      </c>
      <c r="EF140" s="19">
        <f t="shared" si="780"/>
        <v>0.52419264578668878</v>
      </c>
      <c r="EG140" s="10">
        <f t="shared" si="781"/>
        <v>6.9799287055484521E-2</v>
      </c>
      <c r="EH140" s="10">
        <f t="shared" si="782"/>
        <v>20.207818717969381</v>
      </c>
      <c r="EI140" s="539">
        <f t="shared" si="783"/>
        <v>151.76071857195004</v>
      </c>
      <c r="EJ140" s="19">
        <f t="shared" si="784"/>
        <v>0.526009521228743</v>
      </c>
      <c r="EK140" s="10">
        <f t="shared" si="785"/>
        <v>7.0041214544439817E-2</v>
      </c>
      <c r="EL140" s="10">
        <f t="shared" si="786"/>
        <v>20.27785993251382</v>
      </c>
      <c r="EM140" s="539">
        <f t="shared" si="787"/>
        <v>152.28672809317879</v>
      </c>
      <c r="EN140" s="19">
        <f t="shared" si="788"/>
        <v>0.52783269404333477</v>
      </c>
      <c r="EO140" s="10">
        <f t="shared" si="789"/>
        <v>7.0283980565024606E-2</v>
      </c>
      <c r="EP140" s="10">
        <f t="shared" si="790"/>
        <v>20.348143913078843</v>
      </c>
      <c r="EQ140" s="539">
        <f t="shared" si="791"/>
        <v>152.81456078722212</v>
      </c>
      <c r="ER140" s="19">
        <f t="shared" si="792"/>
        <v>0.52966218605744231</v>
      </c>
      <c r="ES140" s="10">
        <f t="shared" si="793"/>
        <v>7.0527588023627477E-2</v>
      </c>
      <c r="ET140" s="10">
        <f t="shared" si="794"/>
        <v>20.41867150110247</v>
      </c>
      <c r="EU140" s="539">
        <f t="shared" si="795"/>
        <v>153.34422297327953</v>
      </c>
      <c r="EV140" s="19">
        <f t="shared" si="796"/>
        <v>0.53149801917369732</v>
      </c>
      <c r="EW140" s="10">
        <f t="shared" si="797"/>
        <v>7.0772039836710696E-2</v>
      </c>
      <c r="EX140" s="10">
        <f t="shared" si="798"/>
        <v>20.489443540939181</v>
      </c>
      <c r="EY140" s="539">
        <f t="shared" si="799"/>
        <v>153.87572099245324</v>
      </c>
      <c r="EZ140" s="19">
        <f t="shared" si="800"/>
        <v>0.53334021537064691</v>
      </c>
      <c r="FA140" s="10">
        <f t="shared" si="801"/>
        <v>7.1017338930845136E-2</v>
      </c>
      <c r="FB140" s="10">
        <f t="shared" si="802"/>
        <v>20.560460879870025</v>
      </c>
      <c r="FC140" s="539">
        <f t="shared" si="803"/>
        <v>154.40906120782387</v>
      </c>
      <c r="FD140" s="19">
        <f t="shared" si="804"/>
        <v>0.53518879670301678</v>
      </c>
      <c r="FE140" s="10">
        <f t="shared" si="805"/>
        <v>7.126348824274524E-2</v>
      </c>
      <c r="FF140" s="10">
        <f t="shared" si="806"/>
        <v>20.631724368112771</v>
      </c>
      <c r="FG140" s="539">
        <f t="shared" si="807"/>
        <v>154.94425000452691</v>
      </c>
      <c r="FH140" s="19">
        <f t="shared" si="808"/>
        <v>0.5370437853019755</v>
      </c>
      <c r="FI140" s="10">
        <f t="shared" si="809"/>
        <v>7.1510490719304334E-2</v>
      </c>
      <c r="FJ140" s="10">
        <f t="shared" si="810"/>
        <v>20.703234858832076</v>
      </c>
      <c r="FK140" s="539">
        <f t="shared" si="811"/>
        <v>155.4812937898289</v>
      </c>
      <c r="FL140" s="19">
        <f t="shared" si="812"/>
        <v>0.53890520337539893</v>
      </c>
      <c r="FM140" s="10">
        <f t="shared" si="813"/>
        <v>7.1758349317629685E-2</v>
      </c>
      <c r="FN140" s="10">
        <f t="shared" si="814"/>
        <v>20.774993208149706</v>
      </c>
      <c r="FO140" s="539">
        <f t="shared" si="815"/>
        <v>156.02019899320427</v>
      </c>
      <c r="FP140" s="19">
        <f t="shared" si="816"/>
        <v>0.54077307320813683</v>
      </c>
      <c r="FQ140" s="10">
        <f t="shared" si="817"/>
        <v>7.200706700507814E-2</v>
      </c>
      <c r="FR140" s="10">
        <f t="shared" si="818"/>
        <v>20.847000275154784</v>
      </c>
      <c r="FS140" s="539">
        <f t="shared" si="819"/>
        <v>156.56097206641243</v>
      </c>
      <c r="FT140" s="19">
        <f t="shared" si="820"/>
        <v>0.54264741716227904</v>
      </c>
      <c r="FU140" s="10">
        <f t="shared" si="821"/>
        <v>7.2256646759291485E-2</v>
      </c>
      <c r="FV140" s="10">
        <f t="shared" si="822"/>
        <v>20.919256921914076</v>
      </c>
      <c r="FW140" s="539">
        <f t="shared" si="823"/>
        <v>157.1036194835747</v>
      </c>
      <c r="FX140" s="19">
        <f t="shared" si="824"/>
        <v>0.54452825767742341</v>
      </c>
      <c r="FY140" s="10">
        <f t="shared" si="825"/>
        <v>7.2507091568232152E-2</v>
      </c>
      <c r="FZ140" s="10">
        <f t="shared" si="826"/>
        <v>20.99176401348231</v>
      </c>
      <c r="GA140" s="539">
        <f t="shared" si="827"/>
        <v>157.64814774125213</v>
      </c>
      <c r="GB140" s="19">
        <f t="shared" si="828"/>
        <v>0.54641561727094456</v>
      </c>
      <c r="GC140" s="10">
        <f t="shared" si="829"/>
        <v>7.2758404430218984E-2</v>
      </c>
      <c r="GD140" s="10">
        <f t="shared" si="830"/>
        <v>21.064522417912528</v>
      </c>
      <c r="GE140" s="539">
        <f t="shared" si="831"/>
        <v>158.19456335852308</v>
      </c>
      <c r="GF140" s="19">
        <f t="shared" si="832"/>
        <v>0.54830951853826315</v>
      </c>
      <c r="GG140" s="10">
        <f t="shared" si="833"/>
        <v>7.3010588353963138E-2</v>
      </c>
      <c r="GH140" s="10">
        <f t="shared" si="834"/>
        <v>21.137533006266491</v>
      </c>
      <c r="GI140" s="539">
        <f t="shared" si="835"/>
        <v>158.74287287706133</v>
      </c>
      <c r="GJ140" s="19">
        <f t="shared" si="836"/>
        <v>0.55020998415311673</v>
      </c>
      <c r="GK140" s="10">
        <f t="shared" si="837"/>
        <v>7.3263646358604093E-2</v>
      </c>
      <c r="GL140" s="10">
        <f t="shared" si="838"/>
        <v>21.210796652625096</v>
      </c>
      <c r="GM140" s="539">
        <f t="shared" si="839"/>
        <v>159.29308286121446</v>
      </c>
      <c r="GN140" s="19">
        <f t="shared" si="840"/>
        <v>0.55211703686783131</v>
      </c>
      <c r="GO140" s="10">
        <f t="shared" si="841"/>
        <v>7.3517581473745847E-2</v>
      </c>
      <c r="GP140" s="10">
        <f t="shared" si="842"/>
        <v>21.28431423409884</v>
      </c>
      <c r="GQ140" s="539">
        <f t="shared" si="843"/>
        <v>159.84519989808229</v>
      </c>
      <c r="GR140" s="19">
        <f t="shared" si="844"/>
        <v>0.55403069951359285</v>
      </c>
      <c r="GS140" s="10">
        <f t="shared" si="845"/>
        <v>7.3772396739493054E-2</v>
      </c>
      <c r="GT140" s="10">
        <f t="shared" si="846"/>
        <v>21.358086630838333</v>
      </c>
      <c r="GU140" s="539">
        <f t="shared" si="847"/>
        <v>160.39923059759587</v>
      </c>
      <c r="GV140" s="19">
        <f t="shared" si="848"/>
        <v>0.55595099500072187</v>
      </c>
      <c r="GW140" s="10">
        <f t="shared" si="849"/>
        <v>7.4028095206487607E-2</v>
      </c>
      <c r="GX140" s="10">
        <f t="shared" si="850"/>
        <v>21.432114726044819</v>
      </c>
      <c r="GY140" s="539">
        <f t="shared" si="851"/>
        <v>160.95518159259657</v>
      </c>
      <c r="GZ140" s="19">
        <f t="shared" si="852"/>
        <v>0.55787794631894672</v>
      </c>
      <c r="HA140" s="10">
        <f t="shared" si="853"/>
        <v>7.4284679935944967E-2</v>
      </c>
      <c r="HB140" s="10">
        <f t="shared" si="854"/>
        <v>21.506399405980765</v>
      </c>
      <c r="HC140" s="539">
        <f t="shared" si="855"/>
        <v>161.51305953891554</v>
      </c>
      <c r="HD140" s="19">
        <f t="shared" si="856"/>
        <v>0.55981157653767932</v>
      </c>
      <c r="HE140" s="10">
        <f t="shared" si="857"/>
        <v>7.4542153999690997E-2</v>
      </c>
      <c r="HF140" s="10">
        <f t="shared" si="858"/>
        <v>21.580941559980456</v>
      </c>
      <c r="HG140" s="539">
        <f t="shared" si="859"/>
        <v>162.07287111545321</v>
      </c>
      <c r="HH140" s="19">
        <f t="shared" si="860"/>
        <v>0.56175190880629133</v>
      </c>
      <c r="HI140" s="10">
        <f t="shared" si="861"/>
        <v>7.4800520480198585E-2</v>
      </c>
      <c r="HJ140" s="10">
        <f t="shared" si="862"/>
        <v>21.655742080460655</v>
      </c>
      <c r="HK140" s="539">
        <f t="shared" si="863"/>
        <v>162.63462302425953</v>
      </c>
      <c r="HL140" s="19">
        <f t="shared" si="864"/>
        <v>0.56369896635439087</v>
      </c>
      <c r="HM140" s="10">
        <f t="shared" si="865"/>
        <v>7.5059782470624614E-2</v>
      </c>
      <c r="HN140" s="10">
        <f t="shared" si="866"/>
        <v>21.73080186293128</v>
      </c>
      <c r="HO140" s="539">
        <f t="shared" si="867"/>
        <v>163.19832199061392</v>
      </c>
      <c r="HP140" s="19">
        <f t="shared" si="868"/>
        <v>0.56565277249210122</v>
      </c>
      <c r="HQ140" s="10">
        <f t="shared" si="869"/>
        <v>7.5319943074847032E-2</v>
      </c>
      <c r="HR140" s="10">
        <f t="shared" si="870"/>
        <v>21.806121806006129</v>
      </c>
      <c r="HS140" s="539">
        <f t="shared" si="871"/>
        <v>163.76397476310603</v>
      </c>
      <c r="HT140" s="19">
        <f t="shared" si="872"/>
        <v>0.56761335061033957</v>
      </c>
      <c r="HU140" s="10">
        <f t="shared" si="873"/>
        <v>7.5581005407501942E-2</v>
      </c>
      <c r="HV140" s="10">
        <f t="shared" si="874"/>
        <v>21.881702811413632</v>
      </c>
      <c r="HW140" s="539">
        <f t="shared" si="875"/>
        <v>164.33158811371638</v>
      </c>
      <c r="HX140" s="19">
        <f t="shared" si="876"/>
        <v>0.56958072418109684</v>
      </c>
      <c r="HY140" s="10">
        <f t="shared" si="877"/>
        <v>7.5842972594020883E-2</v>
      </c>
      <c r="HZ140" s="10">
        <f t="shared" si="878"/>
        <v>21.957545784007653</v>
      </c>
      <c r="IA140" s="539">
        <f t="shared" si="879"/>
        <v>164.90116883789747</v>
      </c>
      <c r="IB140" s="19">
        <f t="shared" si="880"/>
        <v>0.57155491675771919</v>
      </c>
      <c r="IM140" s="11"/>
      <c r="IN140" s="19"/>
      <c r="IO140" s="20"/>
    </row>
    <row r="141" spans="1:261" ht="13.5" thickBot="1">
      <c r="A141" s="179" t="s">
        <v>93</v>
      </c>
      <c r="B141" s="30">
        <v>0</v>
      </c>
      <c r="C141" s="826" t="s">
        <v>2348</v>
      </c>
      <c r="D141" s="32" t="s">
        <v>1438</v>
      </c>
      <c r="E141" s="399">
        <f t="shared" si="931"/>
        <v>6.0682</v>
      </c>
      <c r="F141" s="242">
        <v>2.0682</v>
      </c>
      <c r="G141" s="35">
        <f>'Update Stock Prices'!S141</f>
        <v>892830074.27618611</v>
      </c>
      <c r="H141" s="992">
        <f t="shared" si="610"/>
        <v>2.3164542275042445E-9</v>
      </c>
      <c r="I141" s="33">
        <f>'Update Stock Prices'!D141</f>
        <v>65.97</v>
      </c>
      <c r="J141" s="33">
        <f t="shared" si="1039"/>
        <v>136.439154</v>
      </c>
      <c r="K141" s="30">
        <v>137.96</v>
      </c>
      <c r="L141" s="33">
        <f t="shared" si="611"/>
        <v>-1.5208460000000059</v>
      </c>
      <c r="M141" s="36">
        <f t="shared" si="613"/>
        <v>-1.1023818498115437E-2</v>
      </c>
      <c r="N141" s="33">
        <f t="shared" si="612"/>
        <v>66.705347645295433</v>
      </c>
      <c r="O141" s="35">
        <f t="shared" si="932"/>
        <v>4</v>
      </c>
      <c r="P141" s="33">
        <f t="shared" si="933"/>
        <v>57.129999999999995</v>
      </c>
      <c r="Q141" s="30">
        <f>0.39*4</f>
        <v>1.56</v>
      </c>
      <c r="R141" s="33">
        <f t="shared" ref="R141" si="1051">S141/365.25</f>
        <v>8.8333798767967157E-3</v>
      </c>
      <c r="S141" s="33">
        <f t="shared" si="935"/>
        <v>3.2263920000000001</v>
      </c>
      <c r="T141" s="33">
        <f t="shared" ref="T141" si="1052">S141/12</f>
        <v>0.26886599999999999</v>
      </c>
      <c r="U141" s="33" t="s">
        <v>54</v>
      </c>
      <c r="V141" s="36">
        <f t="shared" si="937"/>
        <v>2.364711232378354E-2</v>
      </c>
      <c r="W141" s="36">
        <f t="shared" ref="W141:W146" si="1053">S141/K141</f>
        <v>2.3386430849521599E-2</v>
      </c>
      <c r="X141" s="33">
        <f t="shared" si="938"/>
        <v>6.24</v>
      </c>
      <c r="Y141" s="33">
        <f t="shared" ref="Y141" si="1054">IF(U141="Q",3*T141,IF(U141="Y",12*T141,IF(U141="B",6*T141,IF(U141="M",T141,0))))</f>
        <v>0.80659799999999993</v>
      </c>
      <c r="Z141" s="861">
        <f t="shared" si="939"/>
        <v>0</v>
      </c>
      <c r="AA141" s="861">
        <f t="shared" si="940"/>
        <v>167.08564615384617</v>
      </c>
      <c r="AB141" s="33">
        <f t="shared" si="941"/>
        <v>11022.640076769232</v>
      </c>
      <c r="AC141" s="35">
        <v>1</v>
      </c>
      <c r="AD141" s="32" t="str">
        <f t="shared" si="942"/>
        <v>CL</v>
      </c>
      <c r="AE141" s="33">
        <f t="shared" si="943"/>
        <v>136.439154</v>
      </c>
      <c r="AF141" s="36" t="e">
        <f t="shared" si="1040"/>
        <v>#REF!</v>
      </c>
      <c r="AG141" s="890" t="e">
        <f t="shared" ref="AG141:AG183" si="1055">(100*AF141)^2</f>
        <v>#REF!</v>
      </c>
      <c r="AH141" s="208" t="s">
        <v>1439</v>
      </c>
      <c r="AI141" s="240">
        <f t="shared" si="1041"/>
        <v>4.2259695948954734E-2</v>
      </c>
      <c r="AJ141" s="11">
        <f t="shared" si="1044"/>
        <v>2</v>
      </c>
      <c r="AK141" s="11"/>
      <c r="AL141" s="11"/>
      <c r="AM141" s="11"/>
      <c r="AN141" s="11"/>
      <c r="AO141" s="11"/>
      <c r="AP141" s="11"/>
      <c r="AQ141" s="11" t="str">
        <f>'Update Stock Prices'!Q141</f>
        <v>big</v>
      </c>
      <c r="AR141" s="11"/>
      <c r="AS141" s="11"/>
      <c r="AU141" s="906" t="s">
        <v>59</v>
      </c>
      <c r="AV141" s="907"/>
      <c r="AW141" s="907"/>
      <c r="AX141" s="515" t="e">
        <f ca="1">SUM(AX138:AX140)</f>
        <v>#REF!</v>
      </c>
      <c r="AY141" s="515" t="e">
        <f ca="1">SUM(AY138:AY140)</f>
        <v>#REF!</v>
      </c>
      <c r="AZ141" s="633" t="e">
        <f ca="1">SUM(AZ138:AZ140)</f>
        <v>#REF!</v>
      </c>
      <c r="BC141" s="647"/>
      <c r="BD141" s="1431"/>
      <c r="BE141" s="1431"/>
      <c r="BK141" s="20"/>
      <c r="BS141" s="420" t="str">
        <f t="shared" si="715"/>
        <v>CL</v>
      </c>
      <c r="BT141" s="425">
        <f t="shared" si="716"/>
        <v>2.0682</v>
      </c>
      <c r="BU141" s="19">
        <f t="shared" si="717"/>
        <v>65.97</v>
      </c>
      <c r="BV141" s="19">
        <f t="shared" si="718"/>
        <v>136.439154</v>
      </c>
      <c r="BW141" s="539">
        <f t="shared" si="719"/>
        <v>1.56</v>
      </c>
      <c r="BX141" s="19">
        <f t="shared" si="720"/>
        <v>3.2263920000000001</v>
      </c>
      <c r="BY141" s="10">
        <f t="shared" si="721"/>
        <v>4.8906957708049113E-2</v>
      </c>
      <c r="BZ141" s="10">
        <f t="shared" si="722"/>
        <v>2.117106957708049</v>
      </c>
      <c r="CA141" s="539">
        <f t="shared" si="723"/>
        <v>139.66554599999998</v>
      </c>
      <c r="CB141" s="19">
        <f t="shared" si="724"/>
        <v>3.3026868540245564</v>
      </c>
      <c r="CC141" s="10">
        <f t="shared" si="725"/>
        <v>5.0063466030385882E-2</v>
      </c>
      <c r="CD141" s="10">
        <f t="shared" si="726"/>
        <v>2.167170423738435</v>
      </c>
      <c r="CE141" s="539">
        <f t="shared" si="727"/>
        <v>142.96823285402456</v>
      </c>
      <c r="CF141" s="19">
        <f t="shared" si="728"/>
        <v>3.380785861031959</v>
      </c>
      <c r="CG141" s="10">
        <f t="shared" si="729"/>
        <v>5.1247322434924344E-2</v>
      </c>
      <c r="CH141" s="10">
        <f t="shared" si="730"/>
        <v>2.2184177461733592</v>
      </c>
      <c r="CI141" s="539">
        <f t="shared" si="731"/>
        <v>146.3490187150565</v>
      </c>
      <c r="CJ141" s="19">
        <f t="shared" si="732"/>
        <v>3.4607316840304403</v>
      </c>
      <c r="CK141" s="10">
        <f t="shared" si="733"/>
        <v>5.2459173624836146E-2</v>
      </c>
      <c r="CL141" s="10">
        <f t="shared" si="734"/>
        <v>2.2708769197981953</v>
      </c>
      <c r="CM141" s="539">
        <f t="shared" si="735"/>
        <v>149.80975039908694</v>
      </c>
      <c r="CN141" s="19">
        <f t="shared" si="736"/>
        <v>3.5425679948851849</v>
      </c>
      <c r="CO141" s="10">
        <f t="shared" si="737"/>
        <v>5.3699681595955513E-2</v>
      </c>
      <c r="CP141" s="10">
        <f t="shared" si="738"/>
        <v>2.3245766013941509</v>
      </c>
      <c r="CQ141" s="539">
        <f t="shared" si="739"/>
        <v>153.35231839397213</v>
      </c>
      <c r="CR141" s="19">
        <f t="shared" si="740"/>
        <v>3.6263394981748753</v>
      </c>
      <c r="CS141" s="10">
        <f t="shared" si="741"/>
        <v>5.4969523998406482E-2</v>
      </c>
      <c r="CT141" s="10">
        <f t="shared" si="742"/>
        <v>2.3795461253925572</v>
      </c>
      <c r="CU141" s="539">
        <f t="shared" si="743"/>
        <v>156.978657892147</v>
      </c>
      <c r="CV141" s="19">
        <f t="shared" si="744"/>
        <v>3.7120919556123892</v>
      </c>
      <c r="CW141" s="10">
        <f t="shared" si="745"/>
        <v>5.6269394506781707E-2</v>
      </c>
      <c r="CX141" s="10">
        <f t="shared" si="746"/>
        <v>2.435815519899339</v>
      </c>
      <c r="CY141" s="539">
        <f t="shared" si="747"/>
        <v>160.69074984775938</v>
      </c>
      <c r="CZ141" s="19">
        <f t="shared" si="748"/>
        <v>3.799872211042969</v>
      </c>
      <c r="DA141" s="10">
        <f t="shared" si="749"/>
        <v>5.7600003199074871E-2</v>
      </c>
      <c r="DB141" s="10">
        <f t="shared" si="750"/>
        <v>2.4934155230984136</v>
      </c>
      <c r="DC141" s="539">
        <f t="shared" si="751"/>
        <v>164.49062205880236</v>
      </c>
      <c r="DD141" s="19">
        <f t="shared" si="752"/>
        <v>3.8897282160335256</v>
      </c>
      <c r="DE141" s="10">
        <f t="shared" si="753"/>
        <v>5.8962076944573678E-2</v>
      </c>
      <c r="DF141" s="10">
        <f t="shared" si="754"/>
        <v>2.5523776000429872</v>
      </c>
      <c r="DG141" s="539">
        <f t="shared" si="755"/>
        <v>168.38035027483585</v>
      </c>
      <c r="DH141" s="19">
        <f t="shared" si="756"/>
        <v>3.9817090560670603</v>
      </c>
      <c r="DI141" s="10">
        <f t="shared" si="757"/>
        <v>6.0356359800925574E-2</v>
      </c>
      <c r="DJ141" s="10">
        <f t="shared" si="758"/>
        <v>2.6127339598439128</v>
      </c>
      <c r="DK141" s="539">
        <f t="shared" si="759"/>
        <v>172.36205933090292</v>
      </c>
      <c r="DL141" s="19">
        <f t="shared" si="760"/>
        <v>4.0758649773565043</v>
      </c>
      <c r="DM141" s="10">
        <f t="shared" si="761"/>
        <v>6.1783613420592763E-2</v>
      </c>
      <c r="DN141" s="10">
        <f t="shared" si="762"/>
        <v>2.6745175732645055</v>
      </c>
      <c r="DO141" s="539">
        <f t="shared" si="763"/>
        <v>176.43792430825943</v>
      </c>
      <c r="DP141" s="19">
        <f t="shared" si="764"/>
        <v>4.1722474142926282</v>
      </c>
      <c r="DQ141" s="10">
        <f t="shared" si="765"/>
        <v>6.3244617466918729E-2</v>
      </c>
      <c r="DR141" s="10">
        <f t="shared" si="766"/>
        <v>2.737762190731424</v>
      </c>
      <c r="DS141" s="539">
        <f t="shared" si="767"/>
        <v>180.61017172255205</v>
      </c>
      <c r="DT141" s="19">
        <f t="shared" si="768"/>
        <v>4.2709090175410216</v>
      </c>
      <c r="DU141" s="10">
        <f t="shared" si="769"/>
        <v>6.474017004003367E-2</v>
      </c>
      <c r="DV141" s="10">
        <f t="shared" si="770"/>
        <v>2.8025023607714576</v>
      </c>
      <c r="DW141" s="539">
        <f t="shared" si="771"/>
        <v>184.88108074009307</v>
      </c>
      <c r="DX141" s="19">
        <f t="shared" si="772"/>
        <v>4.3719036828034739</v>
      </c>
      <c r="DY141" s="10">
        <f t="shared" si="773"/>
        <v>6.6271088112831195E-2</v>
      </c>
      <c r="DZ141" s="10">
        <f t="shared" si="774"/>
        <v>2.8687734488842889</v>
      </c>
      <c r="EA141" s="539">
        <f t="shared" si="775"/>
        <v>189.25298442289653</v>
      </c>
      <c r="EB141" s="19">
        <f t="shared" si="776"/>
        <v>4.4752865802594908</v>
      </c>
      <c r="EC141" s="10">
        <f t="shared" si="777"/>
        <v>6.7838207977254678E-2</v>
      </c>
      <c r="ED141" s="10">
        <f t="shared" si="778"/>
        <v>2.9366116568615435</v>
      </c>
      <c r="EE141" s="539">
        <f t="shared" si="779"/>
        <v>193.72827100315601</v>
      </c>
      <c r="EF141" s="19">
        <f t="shared" si="780"/>
        <v>4.581114184704008</v>
      </c>
      <c r="EG141" s="10">
        <f t="shared" si="781"/>
        <v>6.9442385701137005E-2</v>
      </c>
      <c r="EH141" s="10">
        <f t="shared" si="782"/>
        <v>3.0060540425626803</v>
      </c>
      <c r="EI141" s="539">
        <f t="shared" si="783"/>
        <v>198.30938518786002</v>
      </c>
      <c r="EJ141" s="19">
        <f t="shared" si="784"/>
        <v>4.6894443063977818</v>
      </c>
      <c r="EK141" s="10">
        <f t="shared" si="785"/>
        <v>7.1084497595843288E-2</v>
      </c>
      <c r="EL141" s="10">
        <f t="shared" si="786"/>
        <v>3.0771385401585234</v>
      </c>
      <c r="EM141" s="539">
        <f t="shared" si="787"/>
        <v>202.99882949425779</v>
      </c>
      <c r="EN141" s="19">
        <f t="shared" si="788"/>
        <v>4.8003361226472965</v>
      </c>
      <c r="EO141" s="10">
        <f t="shared" si="789"/>
        <v>7.27654406949719E-2</v>
      </c>
      <c r="EP141" s="10">
        <f t="shared" si="790"/>
        <v>3.1499039808534954</v>
      </c>
      <c r="EQ141" s="539">
        <f t="shared" si="791"/>
        <v>207.7991656169051</v>
      </c>
      <c r="ER141" s="19">
        <f t="shared" si="792"/>
        <v>4.9138502101314527</v>
      </c>
      <c r="ES141" s="10">
        <f t="shared" si="793"/>
        <v>7.4486133244375516E-2</v>
      </c>
      <c r="ET141" s="10">
        <f t="shared" si="794"/>
        <v>3.2243901140978708</v>
      </c>
      <c r="EU141" s="539">
        <f t="shared" si="795"/>
        <v>212.71301582703654</v>
      </c>
      <c r="EV141" s="19">
        <f t="shared" si="796"/>
        <v>5.0300485779926785</v>
      </c>
      <c r="EW141" s="10">
        <f t="shared" si="797"/>
        <v>7.6247515203769572E-2</v>
      </c>
      <c r="EX141" s="10">
        <f t="shared" si="798"/>
        <v>3.3006376293016402</v>
      </c>
      <c r="EY141" s="539">
        <f t="shared" si="799"/>
        <v>217.7430644050292</v>
      </c>
      <c r="EZ141" s="19">
        <f t="shared" si="800"/>
        <v>5.1489947017105591</v>
      </c>
      <c r="FA141" s="10">
        <f t="shared" si="801"/>
        <v>7.8050548760202509E-2</v>
      </c>
      <c r="FB141" s="10">
        <f t="shared" si="802"/>
        <v>3.3786881780618425</v>
      </c>
      <c r="FC141" s="539">
        <f t="shared" si="803"/>
        <v>222.89205910673974</v>
      </c>
      <c r="FD141" s="19">
        <f t="shared" si="804"/>
        <v>5.2707535577764748</v>
      </c>
      <c r="FE141" s="10">
        <f t="shared" si="805"/>
        <v>7.9896218853667947E-2</v>
      </c>
      <c r="FF141" s="10">
        <f t="shared" si="806"/>
        <v>3.4585843969155103</v>
      </c>
      <c r="FG141" s="539">
        <f t="shared" si="807"/>
        <v>228.16281266451622</v>
      </c>
      <c r="FH141" s="19">
        <f t="shared" si="808"/>
        <v>5.3953916591881965</v>
      </c>
      <c r="FI141" s="10">
        <f t="shared" si="809"/>
        <v>8.1785533715146227E-2</v>
      </c>
      <c r="FJ141" s="10">
        <f t="shared" si="810"/>
        <v>3.5403699306306566</v>
      </c>
      <c r="FK141" s="539">
        <f t="shared" si="811"/>
        <v>233.55820432370442</v>
      </c>
      <c r="FL141" s="19">
        <f t="shared" si="812"/>
        <v>5.5229770917838241</v>
      </c>
      <c r="FM141" s="10">
        <f t="shared" si="813"/>
        <v>8.3719525417368865E-2</v>
      </c>
      <c r="FN141" s="10">
        <f t="shared" si="814"/>
        <v>3.6240894560480257</v>
      </c>
      <c r="FO141" s="539">
        <f t="shared" si="815"/>
        <v>239.08118141548826</v>
      </c>
      <c r="FP141" s="19">
        <f t="shared" si="816"/>
        <v>5.6535795514349205</v>
      </c>
      <c r="FQ141" s="10">
        <f t="shared" si="817"/>
        <v>8.5699250438607252E-2</v>
      </c>
      <c r="FR141" s="10">
        <f t="shared" si="818"/>
        <v>3.7097887064866328</v>
      </c>
      <c r="FS141" s="539">
        <f t="shared" si="819"/>
        <v>244.73476096692318</v>
      </c>
      <c r="FT141" s="19">
        <f t="shared" si="820"/>
        <v>5.7872703821191473</v>
      </c>
      <c r="FU141" s="10">
        <f t="shared" si="821"/>
        <v>8.7725790239793044E-2</v>
      </c>
      <c r="FV141" s="10">
        <f t="shared" si="822"/>
        <v>3.7975144967264258</v>
      </c>
      <c r="FW141" s="539">
        <f t="shared" si="823"/>
        <v>250.52203134904229</v>
      </c>
      <c r="FX141" s="19">
        <f t="shared" si="824"/>
        <v>5.9241226148932249</v>
      </c>
      <c r="FY141" s="10">
        <f t="shared" si="825"/>
        <v>8.9800251855286117E-2</v>
      </c>
      <c r="FZ141" s="10">
        <f t="shared" si="826"/>
        <v>3.8873147485817121</v>
      </c>
      <c r="GA141" s="539">
        <f t="shared" si="827"/>
        <v>256.44615396393556</v>
      </c>
      <c r="GB141" s="19">
        <f t="shared" si="828"/>
        <v>6.0642110077874714</v>
      </c>
      <c r="GC141" s="10">
        <f t="shared" si="829"/>
        <v>9.1923768497612121E-2</v>
      </c>
      <c r="GD141" s="10">
        <f t="shared" si="830"/>
        <v>3.9792385170793243</v>
      </c>
      <c r="GE141" s="539">
        <f t="shared" si="831"/>
        <v>262.51036497172299</v>
      </c>
      <c r="GF141" s="19">
        <f t="shared" si="832"/>
        <v>6.2076120866437465</v>
      </c>
      <c r="GG141" s="10">
        <f t="shared" si="833"/>
        <v>9.4097500176500634E-2</v>
      </c>
      <c r="GH141" s="10">
        <f t="shared" si="834"/>
        <v>4.0733360172558246</v>
      </c>
      <c r="GI141" s="539">
        <f t="shared" si="835"/>
        <v>268.71797705836673</v>
      </c>
      <c r="GJ141" s="19">
        <f t="shared" si="836"/>
        <v>6.354404186919087</v>
      </c>
      <c r="GK141" s="10">
        <f t="shared" si="837"/>
        <v>9.632263433256158E-2</v>
      </c>
      <c r="GL141" s="10">
        <f t="shared" si="838"/>
        <v>4.169658651588386</v>
      </c>
      <c r="GM141" s="539">
        <f t="shared" si="839"/>
        <v>275.07238124528584</v>
      </c>
      <c r="GN141" s="19">
        <f t="shared" si="840"/>
        <v>6.5046674964778823</v>
      </c>
      <c r="GO141" s="10">
        <f t="shared" si="841"/>
        <v>9.8600386485946379E-2</v>
      </c>
      <c r="GP141" s="10">
        <f t="shared" si="842"/>
        <v>4.2682590380743326</v>
      </c>
      <c r="GQ141" s="539">
        <f t="shared" si="843"/>
        <v>281.57704874176369</v>
      </c>
      <c r="GR141" s="19">
        <f t="shared" si="844"/>
        <v>6.6584840993959586</v>
      </c>
      <c r="GS141" s="10">
        <f t="shared" si="845"/>
        <v>0.10093200090034801</v>
      </c>
      <c r="GT141" s="10">
        <f t="shared" si="846"/>
        <v>4.3691910389746802</v>
      </c>
      <c r="GU141" s="539">
        <f t="shared" si="847"/>
        <v>288.23553284115962</v>
      </c>
      <c r="GV141" s="19">
        <f t="shared" si="848"/>
        <v>6.8159380208005009</v>
      </c>
      <c r="GW141" s="10">
        <f t="shared" si="849"/>
        <v>0.10331875126270276</v>
      </c>
      <c r="GX141" s="10">
        <f t="shared" si="850"/>
        <v>4.4725097902373827</v>
      </c>
      <c r="GY141" s="539">
        <f t="shared" si="851"/>
        <v>295.05147086196013</v>
      </c>
      <c r="GZ141" s="19">
        <f t="shared" si="852"/>
        <v>6.977115272770317</v>
      </c>
      <c r="HA141" s="10">
        <f t="shared" si="853"/>
        <v>0.10576194137896494</v>
      </c>
      <c r="HB141" s="10">
        <f t="shared" si="854"/>
        <v>4.5782717316163479</v>
      </c>
      <c r="HC141" s="539">
        <f t="shared" si="855"/>
        <v>302.02858613473046</v>
      </c>
      <c r="HD141" s="19">
        <f t="shared" si="856"/>
        <v>7.1421039013215033</v>
      </c>
      <c r="HE141" s="10">
        <f t="shared" si="857"/>
        <v>0.10826290588633475</v>
      </c>
      <c r="HF141" s="10">
        <f t="shared" si="858"/>
        <v>4.6865346375026826</v>
      </c>
      <c r="HG141" s="539">
        <f t="shared" si="859"/>
        <v>309.17069003605195</v>
      </c>
      <c r="HH141" s="19">
        <f t="shared" si="860"/>
        <v>7.3109940345041853</v>
      </c>
      <c r="HI141" s="10">
        <f t="shared" si="861"/>
        <v>0.11082301098232811</v>
      </c>
      <c r="HJ141" s="10">
        <f t="shared" si="862"/>
        <v>4.7973576484850105</v>
      </c>
      <c r="HK141" s="539">
        <f t="shared" si="863"/>
        <v>316.48168407055613</v>
      </c>
      <c r="HL141" s="19">
        <f t="shared" si="864"/>
        <v>7.4838779316366164</v>
      </c>
      <c r="HM141" s="10">
        <f t="shared" si="865"/>
        <v>0.11344365517108711</v>
      </c>
      <c r="HN141" s="10">
        <f t="shared" si="866"/>
        <v>4.9108013036560978</v>
      </c>
      <c r="HO141" s="539">
        <f t="shared" si="867"/>
        <v>323.96556200219277</v>
      </c>
      <c r="HP141" s="19">
        <f t="shared" si="868"/>
        <v>7.6608500337035128</v>
      </c>
      <c r="HQ141" s="10">
        <f t="shared" si="869"/>
        <v>0.11612627002733839</v>
      </c>
      <c r="HR141" s="10">
        <f t="shared" si="870"/>
        <v>5.0269275736834365</v>
      </c>
      <c r="HS141" s="539">
        <f t="shared" si="871"/>
        <v>331.62641203589629</v>
      </c>
      <c r="HT141" s="19">
        <f t="shared" si="872"/>
        <v>7.8420070149461614</v>
      </c>
      <c r="HU141" s="10">
        <f t="shared" si="873"/>
        <v>0.11887232097841688</v>
      </c>
      <c r="HV141" s="10">
        <f t="shared" si="874"/>
        <v>5.1457998946618533</v>
      </c>
      <c r="HW141" s="539">
        <f t="shared" si="875"/>
        <v>339.46841905084244</v>
      </c>
      <c r="HX141" s="19">
        <f t="shared" si="876"/>
        <v>8.0274478356724916</v>
      </c>
      <c r="HY141" s="10">
        <f t="shared" si="877"/>
        <v>0.12168330810478235</v>
      </c>
      <c r="HZ141" s="10">
        <f t="shared" si="878"/>
        <v>5.2674832027666358</v>
      </c>
      <c r="IA141" s="539">
        <f t="shared" si="879"/>
        <v>347.49586688651493</v>
      </c>
      <c r="IB141" s="19">
        <f t="shared" si="880"/>
        <v>8.2172737963159523</v>
      </c>
      <c r="IM141" s="11"/>
      <c r="IN141" s="19"/>
      <c r="IO141" s="20"/>
    </row>
    <row r="142" spans="1:261" ht="13.5" thickBot="1">
      <c r="B142" s="183">
        <f>B141/B148</f>
        <v>0</v>
      </c>
      <c r="C142" s="1222" t="s">
        <v>2346</v>
      </c>
      <c r="D142" s="32" t="s">
        <v>49</v>
      </c>
      <c r="E142" s="399">
        <f t="shared" ref="E142:E146" si="1056">F142+O142</f>
        <v>6.1097000000000001</v>
      </c>
      <c r="F142" s="242">
        <v>4.1097000000000001</v>
      </c>
      <c r="G142" s="35">
        <f>'Update Stock Prices'!S142</f>
        <v>1579419764.2792385</v>
      </c>
      <c r="H142" s="992">
        <f t="shared" si="610"/>
        <v>2.6020315136903739E-9</v>
      </c>
      <c r="I142" s="33">
        <f>'Update Stock Prices'!D142</f>
        <v>110.3</v>
      </c>
      <c r="J142" s="33">
        <f t="shared" si="1039"/>
        <v>453.29991000000001</v>
      </c>
      <c r="K142" s="30">
        <v>176.78</v>
      </c>
      <c r="L142" s="33">
        <f>J142-K142</f>
        <v>276.51990999999998</v>
      </c>
      <c r="M142" s="36">
        <f t="shared" si="613"/>
        <v>1.5642035863785495</v>
      </c>
      <c r="N142" s="33">
        <f t="shared" si="612"/>
        <v>43.01530525342482</v>
      </c>
      <c r="O142" s="35">
        <f t="shared" si="932"/>
        <v>2</v>
      </c>
      <c r="P142" s="33">
        <f>IF(($B$11-$B$12)-(O142*I142)&lt;0,0,($B$11-$B$12)-(O142*I142))</f>
        <v>100.41</v>
      </c>
      <c r="Q142" s="30">
        <f>0.71*2</f>
        <v>1.42</v>
      </c>
      <c r="R142" s="33">
        <f t="shared" ref="R142:R146" si="1057">S142/365.25</f>
        <v>1.5977478439425052E-2</v>
      </c>
      <c r="S142" s="33">
        <f t="shared" si="935"/>
        <v>5.8357739999999998</v>
      </c>
      <c r="T142" s="33">
        <f t="shared" ref="T142:T146" si="1058">S142/12</f>
        <v>0.48631449999999998</v>
      </c>
      <c r="U142" s="33" t="s">
        <v>882</v>
      </c>
      <c r="V142" s="36">
        <f t="shared" si="937"/>
        <v>1.2873980054397098E-2</v>
      </c>
      <c r="W142" s="36">
        <f t="shared" si="1053"/>
        <v>3.3011505826450953E-2</v>
      </c>
      <c r="X142" s="33">
        <f>12*((E142*Q142)/12-T142)</f>
        <v>2.8400000000000003</v>
      </c>
      <c r="Y142" s="33">
        <f t="shared" si="654"/>
        <v>2.9178869999999999</v>
      </c>
      <c r="Z142" s="861">
        <f t="shared" ref="Z142:Z146" si="1059">IF(Y142/I142&gt;1,1,0)</f>
        <v>0</v>
      </c>
      <c r="AA142" s="861">
        <f>IF(Z142=1,"",IF(AND(U142&lt;&gt;"",Z142=0),I142/(Y142/F142)-F142,""))</f>
        <v>151.24241267605635</v>
      </c>
      <c r="AB142" s="33">
        <f>IF(AA142&lt;&gt;"",AA142*I142,"")</f>
        <v>16682.038118169014</v>
      </c>
      <c r="AC142" s="35">
        <v>1</v>
      </c>
      <c r="AD142" s="32" t="str">
        <f t="shared" si="942"/>
        <v>DIS</v>
      </c>
      <c r="AE142" s="33">
        <f t="shared" si="943"/>
        <v>453.29991000000001</v>
      </c>
      <c r="AF142" s="36" t="e">
        <f t="shared" si="1040"/>
        <v>#REF!</v>
      </c>
      <c r="AG142" s="890" t="e">
        <f t="shared" si="1055"/>
        <v>#REF!</v>
      </c>
      <c r="AH142" s="208" t="s">
        <v>1432</v>
      </c>
      <c r="AI142" s="240">
        <f t="shared" si="1041"/>
        <v>0.46646557445738285</v>
      </c>
      <c r="AJ142" s="11">
        <f t="shared" si="1044"/>
        <v>3</v>
      </c>
      <c r="AK142" s="11"/>
      <c r="AL142" s="11"/>
      <c r="AM142" s="11"/>
      <c r="AN142" s="11"/>
      <c r="AO142" s="11"/>
      <c r="AP142" s="11"/>
      <c r="AQ142" s="11" t="str">
        <f>'Update Stock Prices'!Q142</f>
        <v>mega</v>
      </c>
      <c r="AR142" s="11"/>
      <c r="AS142" s="11"/>
      <c r="BK142" s="11"/>
      <c r="BS142" s="420" t="str">
        <f t="shared" si="715"/>
        <v>DIS</v>
      </c>
      <c r="BT142" s="425">
        <f t="shared" si="716"/>
        <v>4.1097000000000001</v>
      </c>
      <c r="BU142" s="19">
        <f t="shared" si="717"/>
        <v>110.3</v>
      </c>
      <c r="BV142" s="19">
        <f t="shared" si="718"/>
        <v>453.29991000000001</v>
      </c>
      <c r="BW142" s="539">
        <f t="shared" si="719"/>
        <v>1.42</v>
      </c>
      <c r="BX142" s="19">
        <f t="shared" si="720"/>
        <v>5.8357739999999998</v>
      </c>
      <c r="BY142" s="10">
        <f t="shared" si="721"/>
        <v>5.2908195829555756E-2</v>
      </c>
      <c r="BZ142" s="10">
        <f t="shared" si="722"/>
        <v>4.1626081958295558</v>
      </c>
      <c r="CA142" s="539">
        <f t="shared" si="723"/>
        <v>459.13568399999997</v>
      </c>
      <c r="CB142" s="19">
        <f t="shared" si="724"/>
        <v>5.9109036380779685</v>
      </c>
      <c r="CC142" s="10">
        <f t="shared" si="725"/>
        <v>5.3589334887379589E-2</v>
      </c>
      <c r="CD142" s="10">
        <f t="shared" si="726"/>
        <v>4.2161975307169355</v>
      </c>
      <c r="CE142" s="539">
        <f t="shared" si="727"/>
        <v>465.04658763807799</v>
      </c>
      <c r="CF142" s="19">
        <f t="shared" si="728"/>
        <v>5.9870004936180479</v>
      </c>
      <c r="CG142" s="10">
        <f t="shared" si="729"/>
        <v>5.4279242915848125E-2</v>
      </c>
      <c r="CH142" s="10">
        <f t="shared" si="730"/>
        <v>4.270476773632784</v>
      </c>
      <c r="CI142" s="539">
        <f t="shared" si="731"/>
        <v>471.03358813169604</v>
      </c>
      <c r="CJ142" s="19">
        <f t="shared" si="732"/>
        <v>6.0640770185585531</v>
      </c>
      <c r="CK142" s="10">
        <f t="shared" si="733"/>
        <v>5.4978032806514532E-2</v>
      </c>
      <c r="CL142" s="10">
        <f t="shared" si="734"/>
        <v>4.3254548064392981</v>
      </c>
      <c r="CM142" s="539">
        <f t="shared" si="735"/>
        <v>477.09766515025456</v>
      </c>
      <c r="CN142" s="19">
        <f t="shared" si="736"/>
        <v>6.1421458251438033</v>
      </c>
      <c r="CO142" s="10">
        <f t="shared" si="737"/>
        <v>5.5685818904295588E-2</v>
      </c>
      <c r="CP142" s="10">
        <f t="shared" si="738"/>
        <v>4.3811406253435941</v>
      </c>
      <c r="CQ142" s="539">
        <f t="shared" si="739"/>
        <v>483.23981097539843</v>
      </c>
      <c r="CR142" s="19">
        <f t="shared" si="740"/>
        <v>6.2212196879879036</v>
      </c>
      <c r="CS142" s="10">
        <f t="shared" si="741"/>
        <v>5.6402717026182263E-2</v>
      </c>
      <c r="CT142" s="10">
        <f t="shared" si="742"/>
        <v>4.4375433423697759</v>
      </c>
      <c r="CU142" s="539">
        <f t="shared" si="743"/>
        <v>489.46103066338628</v>
      </c>
      <c r="CV142" s="19">
        <f t="shared" si="744"/>
        <v>6.3013115461650813</v>
      </c>
      <c r="CW142" s="10">
        <f t="shared" si="745"/>
        <v>5.7128844480191128E-2</v>
      </c>
      <c r="CX142" s="10">
        <f t="shared" si="746"/>
        <v>4.4946721868499671</v>
      </c>
      <c r="CY142" s="539">
        <f t="shared" si="747"/>
        <v>495.76234220955138</v>
      </c>
      <c r="CZ142" s="19">
        <f t="shared" si="748"/>
        <v>6.3824345053269527</v>
      </c>
      <c r="DA142" s="10">
        <f t="shared" si="749"/>
        <v>5.7864320084559863E-2</v>
      </c>
      <c r="DB142" s="10">
        <f t="shared" si="750"/>
        <v>4.5525365069345272</v>
      </c>
      <c r="DC142" s="539">
        <f t="shared" si="751"/>
        <v>502.14477671487833</v>
      </c>
      <c r="DD142" s="19">
        <f t="shared" si="752"/>
        <v>6.4646018398470284</v>
      </c>
      <c r="DE142" s="10">
        <f t="shared" si="753"/>
        <v>5.8609264187189744E-2</v>
      </c>
      <c r="DF142" s="10">
        <f t="shared" si="754"/>
        <v>4.6111457711217172</v>
      </c>
      <c r="DG142" s="539">
        <f t="shared" si="755"/>
        <v>508.60937855472537</v>
      </c>
      <c r="DH142" s="19">
        <f t="shared" si="756"/>
        <v>6.547826994992838</v>
      </c>
      <c r="DI142" s="10">
        <f t="shared" si="757"/>
        <v>5.9363798685338517E-2</v>
      </c>
      <c r="DJ142" s="10">
        <f t="shared" si="758"/>
        <v>4.6705095698070558</v>
      </c>
      <c r="DK142" s="539">
        <f t="shared" si="759"/>
        <v>515.15720554971824</v>
      </c>
      <c r="DL142" s="19">
        <f t="shared" si="760"/>
        <v>6.6321235891260191</v>
      </c>
      <c r="DM142" s="10">
        <f t="shared" si="761"/>
        <v>6.0128047045566811E-2</v>
      </c>
      <c r="DN142" s="10">
        <f t="shared" si="762"/>
        <v>4.730637616852623</v>
      </c>
      <c r="DO142" s="539">
        <f t="shared" si="763"/>
        <v>521.78932913884432</v>
      </c>
      <c r="DP142" s="19">
        <f t="shared" si="764"/>
        <v>6.7175054159307246</v>
      </c>
      <c r="DQ142" s="10">
        <f t="shared" si="765"/>
        <v>6.0902134323941294E-2</v>
      </c>
      <c r="DR142" s="10">
        <f t="shared" si="766"/>
        <v>4.7915397511765638</v>
      </c>
      <c r="DS142" s="539">
        <f t="shared" si="767"/>
        <v>528.50683455477497</v>
      </c>
      <c r="DT142" s="19">
        <f t="shared" si="768"/>
        <v>6.8039864466707201</v>
      </c>
      <c r="DU142" s="10">
        <f t="shared" si="769"/>
        <v>6.1686187186497918E-2</v>
      </c>
      <c r="DV142" s="10">
        <f t="shared" si="770"/>
        <v>4.853225938363062</v>
      </c>
      <c r="DW142" s="539">
        <f t="shared" si="771"/>
        <v>535.31082100144567</v>
      </c>
      <c r="DX142" s="19">
        <f t="shared" si="772"/>
        <v>6.8915808324755474</v>
      </c>
      <c r="DY142" s="10">
        <f t="shared" si="773"/>
        <v>6.2480333929968698E-2</v>
      </c>
      <c r="DZ142" s="10">
        <f t="shared" si="774"/>
        <v>4.9157062722930309</v>
      </c>
      <c r="EA142" s="539">
        <f t="shared" si="775"/>
        <v>542.20240183392127</v>
      </c>
      <c r="EB142" s="19">
        <f t="shared" si="776"/>
        <v>6.980302906656104</v>
      </c>
      <c r="EC142" s="10">
        <f t="shared" si="777"/>
        <v>6.3284704502775194E-2</v>
      </c>
      <c r="ED142" s="10">
        <f t="shared" si="778"/>
        <v>4.9789909767958065</v>
      </c>
      <c r="EE142" s="539">
        <f t="shared" si="779"/>
        <v>549.18270474057749</v>
      </c>
      <c r="EF142" s="19">
        <f t="shared" si="780"/>
        <v>7.0701671870500444</v>
      </c>
      <c r="EG142" s="10">
        <f t="shared" si="781"/>
        <v>6.4099430526292342E-2</v>
      </c>
      <c r="EH142" s="10">
        <f t="shared" si="782"/>
        <v>5.043090407322099</v>
      </c>
      <c r="EI142" s="539">
        <f t="shared" si="783"/>
        <v>556.25287192762755</v>
      </c>
      <c r="EJ142" s="19">
        <f t="shared" si="784"/>
        <v>7.1611883783973802</v>
      </c>
      <c r="EK142" s="10">
        <f t="shared" si="785"/>
        <v>6.4924645316386045E-2</v>
      </c>
      <c r="EL142" s="10">
        <f t="shared" si="786"/>
        <v>5.1080150526384847</v>
      </c>
      <c r="EM142" s="539">
        <f t="shared" si="787"/>
        <v>563.41406030602479</v>
      </c>
      <c r="EN142" s="19">
        <f t="shared" si="788"/>
        <v>7.253381374746648</v>
      </c>
      <c r="EO142" s="10">
        <f t="shared" si="789"/>
        <v>6.5760483905227998E-2</v>
      </c>
      <c r="EP142" s="10">
        <f t="shared" si="790"/>
        <v>5.1737755365437126</v>
      </c>
      <c r="EQ142" s="539">
        <f t="shared" si="791"/>
        <v>570.6674416807715</v>
      </c>
      <c r="ER142" s="19">
        <f t="shared" si="792"/>
        <v>7.3467612618920715</v>
      </c>
      <c r="ES142" s="10">
        <f t="shared" si="793"/>
        <v>6.6607083063391401E-2</v>
      </c>
      <c r="ET142" s="10">
        <f t="shared" si="794"/>
        <v>5.2403826196071037</v>
      </c>
      <c r="EU142" s="539">
        <f t="shared" si="795"/>
        <v>578.01420294266347</v>
      </c>
      <c r="EV142" s="19">
        <f t="shared" si="796"/>
        <v>7.4413433198420869</v>
      </c>
      <c r="EW142" s="10">
        <f t="shared" si="797"/>
        <v>6.7464581322231071E-2</v>
      </c>
      <c r="EX142" s="10">
        <f t="shared" si="798"/>
        <v>5.3078472009293352</v>
      </c>
      <c r="EY142" s="539">
        <f t="shared" si="799"/>
        <v>585.45554626250566</v>
      </c>
      <c r="EZ142" s="19">
        <f t="shared" si="800"/>
        <v>7.5371430253196552</v>
      </c>
      <c r="FA142" s="10">
        <f t="shared" si="801"/>
        <v>6.8333118996551728E-2</v>
      </c>
      <c r="FB142" s="10">
        <f t="shared" si="802"/>
        <v>5.3761803199258873</v>
      </c>
      <c r="FC142" s="539">
        <f t="shared" si="803"/>
        <v>592.99268928782533</v>
      </c>
      <c r="FD142" s="19">
        <f t="shared" si="804"/>
        <v>7.6341760542947599</v>
      </c>
      <c r="FE142" s="10">
        <f t="shared" si="805"/>
        <v>6.9212838207568086E-2</v>
      </c>
      <c r="FF142" s="10">
        <f t="shared" si="806"/>
        <v>5.4453931581334558</v>
      </c>
      <c r="FG142" s="539">
        <f t="shared" si="807"/>
        <v>600.62686534212014</v>
      </c>
      <c r="FH142" s="19">
        <f t="shared" si="808"/>
        <v>7.7324582845495069</v>
      </c>
      <c r="FI142" s="10">
        <f t="shared" si="809"/>
        <v>7.0103882906160542E-2</v>
      </c>
      <c r="FJ142" s="10">
        <f t="shared" si="810"/>
        <v>5.515497041039616</v>
      </c>
      <c r="FK142" s="539">
        <f t="shared" si="811"/>
        <v>608.35932362666961</v>
      </c>
      <c r="FL142" s="19">
        <f t="shared" si="812"/>
        <v>7.8320057982762545</v>
      </c>
      <c r="FM142" s="10">
        <f t="shared" si="813"/>
        <v>7.1006398896430234E-2</v>
      </c>
      <c r="FN142" s="10">
        <f t="shared" si="814"/>
        <v>5.5865034399360463</v>
      </c>
      <c r="FO142" s="539">
        <f t="shared" si="815"/>
        <v>616.19132942494593</v>
      </c>
      <c r="FP142" s="19">
        <f t="shared" si="816"/>
        <v>7.9328348847091856</v>
      </c>
      <c r="FQ142" s="10">
        <f t="shared" si="817"/>
        <v>7.1920533859557448E-2</v>
      </c>
      <c r="FR142" s="10">
        <f t="shared" si="818"/>
        <v>5.6584239737956041</v>
      </c>
      <c r="FS142" s="539">
        <f t="shared" si="819"/>
        <v>624.12416430965516</v>
      </c>
      <c r="FT142" s="19">
        <f t="shared" si="820"/>
        <v>8.0349620427897577</v>
      </c>
      <c r="FU142" s="10">
        <f t="shared" si="821"/>
        <v>7.2846437377966977E-2</v>
      </c>
      <c r="FV142" s="10">
        <f t="shared" si="822"/>
        <v>5.7312704111735711</v>
      </c>
      <c r="FW142" s="539">
        <f t="shared" si="823"/>
        <v>632.1591263524449</v>
      </c>
      <c r="FX142" s="19">
        <f t="shared" si="824"/>
        <v>8.1384039838664712</v>
      </c>
      <c r="FY142" s="10">
        <f t="shared" si="825"/>
        <v>7.3784260959804823E-2</v>
      </c>
      <c r="FZ142" s="10">
        <f t="shared" si="826"/>
        <v>5.8050546721333758</v>
      </c>
      <c r="GA142" s="539">
        <f t="shared" si="827"/>
        <v>640.2975303363113</v>
      </c>
      <c r="GB142" s="19">
        <f t="shared" si="828"/>
        <v>8.2431776344293937</v>
      </c>
      <c r="GC142" s="10">
        <f t="shared" si="829"/>
        <v>7.4734158063729766E-2</v>
      </c>
      <c r="GD142" s="10">
        <f t="shared" si="830"/>
        <v>5.8797888301971053</v>
      </c>
      <c r="GE142" s="539">
        <f t="shared" si="831"/>
        <v>648.54070797074064</v>
      </c>
      <c r="GF142" s="19">
        <f t="shared" si="832"/>
        <v>8.3493001388798884</v>
      </c>
      <c r="GG142" s="10">
        <f t="shared" si="833"/>
        <v>7.5696284124024377E-2</v>
      </c>
      <c r="GH142" s="10">
        <f t="shared" si="834"/>
        <v>5.9554851143211298</v>
      </c>
      <c r="GI142" s="539">
        <f t="shared" si="835"/>
        <v>656.89000810962057</v>
      </c>
      <c r="GJ142" s="19">
        <f t="shared" si="836"/>
        <v>8.4567888623360048</v>
      </c>
      <c r="GK142" s="10">
        <f t="shared" si="837"/>
        <v>7.6670796576029057E-2</v>
      </c>
      <c r="GL142" s="10">
        <f t="shared" si="838"/>
        <v>6.032155910897159</v>
      </c>
      <c r="GM142" s="539">
        <f t="shared" si="839"/>
        <v>665.34679697195656</v>
      </c>
      <c r="GN142" s="19">
        <f t="shared" si="840"/>
        <v>8.5656613934739649</v>
      </c>
      <c r="GO142" s="10">
        <f t="shared" si="841"/>
        <v>7.7657854881903576E-2</v>
      </c>
      <c r="GP142" s="10">
        <f t="shared" si="842"/>
        <v>6.1098137657790623</v>
      </c>
      <c r="GQ142" s="539">
        <f t="shared" si="843"/>
        <v>673.91245836543055</v>
      </c>
      <c r="GR142" s="19">
        <f t="shared" si="844"/>
        <v>8.6759355474062687</v>
      </c>
      <c r="GS142" s="10">
        <f t="shared" si="845"/>
        <v>7.8657620556720487E-2</v>
      </c>
      <c r="GT142" s="10">
        <f t="shared" si="846"/>
        <v>6.1884713863357828</v>
      </c>
      <c r="GU142" s="539">
        <f t="shared" si="847"/>
        <v>682.58839391283686</v>
      </c>
      <c r="GV142" s="19">
        <f t="shared" si="848"/>
        <v>8.7876293685968108</v>
      </c>
      <c r="GW142" s="10">
        <f t="shared" si="849"/>
        <v>7.9670257194894026E-2</v>
      </c>
      <c r="GX142" s="10">
        <f t="shared" si="850"/>
        <v>6.2681416435306767</v>
      </c>
      <c r="GY142" s="539">
        <f t="shared" si="851"/>
        <v>691.37602328143362</v>
      </c>
      <c r="GZ142" s="19">
        <f t="shared" si="852"/>
        <v>8.9007611338135604</v>
      </c>
      <c r="HA142" s="10">
        <f t="shared" si="853"/>
        <v>8.0695930496949772E-2</v>
      </c>
      <c r="HB142" s="10">
        <f t="shared" si="854"/>
        <v>6.3488375740276268</v>
      </c>
      <c r="HC142" s="539">
        <f t="shared" si="855"/>
        <v>700.27678441524722</v>
      </c>
      <c r="HD142" s="19">
        <f t="shared" si="856"/>
        <v>9.0153493551192305</v>
      </c>
      <c r="HE142" s="10">
        <f t="shared" si="857"/>
        <v>8.1734808296638539E-2</v>
      </c>
      <c r="HF142" s="10">
        <f t="shared" si="858"/>
        <v>6.4305723823242653</v>
      </c>
      <c r="HG142" s="539">
        <f t="shared" si="859"/>
        <v>709.29213377036649</v>
      </c>
      <c r="HH142" s="19">
        <f t="shared" si="860"/>
        <v>9.1314127829004565</v>
      </c>
      <c r="HI142" s="10">
        <f t="shared" si="861"/>
        <v>8.2787060588399422E-2</v>
      </c>
      <c r="HJ142" s="10">
        <f t="shared" si="862"/>
        <v>6.5133594429126651</v>
      </c>
      <c r="HK142" s="539">
        <f t="shared" si="863"/>
        <v>718.42354655326699</v>
      </c>
      <c r="HL142" s="19">
        <f t="shared" si="864"/>
        <v>9.2489704089359837</v>
      </c>
      <c r="HM142" s="10">
        <f t="shared" si="865"/>
        <v>8.3852859555176643E-2</v>
      </c>
      <c r="HN142" s="10">
        <f t="shared" si="866"/>
        <v>6.5972123024678417</v>
      </c>
      <c r="HO142" s="539">
        <f t="shared" si="867"/>
        <v>727.67251696220296</v>
      </c>
      <c r="HP142" s="19">
        <f t="shared" si="868"/>
        <v>9.3680414695043339</v>
      </c>
      <c r="HQ142" s="10">
        <f t="shared" si="869"/>
        <v>8.4932379596594151E-2</v>
      </c>
      <c r="HR142" s="10">
        <f t="shared" si="870"/>
        <v>6.6821446820644361</v>
      </c>
      <c r="HS142" s="539">
        <f t="shared" si="871"/>
        <v>737.04055843170727</v>
      </c>
      <c r="HT142" s="19">
        <f t="shared" si="872"/>
        <v>9.4886454485314982</v>
      </c>
      <c r="HU142" s="10">
        <f t="shared" si="873"/>
        <v>8.6025797357493189E-2</v>
      </c>
      <c r="HV142" s="10">
        <f t="shared" si="874"/>
        <v>6.7681704794219293</v>
      </c>
      <c r="HW142" s="539">
        <f t="shared" si="875"/>
        <v>746.52920388023881</v>
      </c>
      <c r="HX142" s="19">
        <f t="shared" si="876"/>
        <v>9.6108020807791394</v>
      </c>
      <c r="HY142" s="10">
        <f t="shared" si="877"/>
        <v>8.7133291756837164E-2</v>
      </c>
      <c r="HZ142" s="10">
        <f t="shared" si="878"/>
        <v>6.8553037711787663</v>
      </c>
      <c r="IA142" s="539">
        <f t="shared" si="879"/>
        <v>756.14000596101789</v>
      </c>
      <c r="IB142" s="19">
        <f t="shared" si="880"/>
        <v>9.7345313550738481</v>
      </c>
    </row>
    <row r="143" spans="1:261" ht="13.5" thickBot="1">
      <c r="B143" s="19"/>
      <c r="C143" s="826" t="s">
        <v>2346</v>
      </c>
      <c r="D143" s="32" t="s">
        <v>684</v>
      </c>
      <c r="E143" s="399">
        <f t="shared" si="1056"/>
        <v>5</v>
      </c>
      <c r="F143" s="242">
        <v>1</v>
      </c>
      <c r="G143" s="35">
        <f>'Update Stock Prices'!S143</f>
        <v>234450384.66553658</v>
      </c>
      <c r="H143" s="992">
        <f t="shared" ref="H143:H146" si="1060">F143/G143</f>
        <v>4.2652947719688543E-9</v>
      </c>
      <c r="I143" s="33">
        <f>'Update Stock Prices'!D143</f>
        <v>76.69</v>
      </c>
      <c r="J143" s="33">
        <f t="shared" si="1039"/>
        <v>76.69</v>
      </c>
      <c r="K143" s="30">
        <v>55.22</v>
      </c>
      <c r="L143" s="33">
        <f t="shared" ref="L143:L146" si="1061">J143-K143</f>
        <v>21.47</v>
      </c>
      <c r="M143" s="36">
        <f t="shared" ref="M143:M146" si="1062">L143/K143</f>
        <v>0.38880840275262585</v>
      </c>
      <c r="N143" s="33">
        <f t="shared" ref="N143:N146" si="1063">K143/F143</f>
        <v>55.22</v>
      </c>
      <c r="O143" s="35">
        <f t="shared" si="932"/>
        <v>4</v>
      </c>
      <c r="P143" s="33">
        <f t="shared" ref="P143" si="1064">IF(($B$11-$B$12)-(O143*I143)&lt;0,0,($B$11-$B$12)-(O143*I143))</f>
        <v>14.25</v>
      </c>
      <c r="Q143" s="30">
        <v>0</v>
      </c>
      <c r="R143" s="33">
        <f t="shared" si="1057"/>
        <v>0</v>
      </c>
      <c r="S143" s="33">
        <f t="shared" si="935"/>
        <v>0</v>
      </c>
      <c r="T143" s="33">
        <f t="shared" si="1058"/>
        <v>0</v>
      </c>
      <c r="U143" s="33"/>
      <c r="V143" s="36">
        <f t="shared" si="937"/>
        <v>0</v>
      </c>
      <c r="W143" s="36">
        <f t="shared" si="1053"/>
        <v>0</v>
      </c>
      <c r="X143" s="33">
        <f t="shared" si="938"/>
        <v>0</v>
      </c>
      <c r="Y143" s="33">
        <f t="shared" si="654"/>
        <v>0</v>
      </c>
      <c r="Z143" s="861">
        <f t="shared" si="1059"/>
        <v>0</v>
      </c>
      <c r="AA143" s="861" t="str">
        <f t="shared" ref="AA143:AA146" si="1065">IF(Z143=1,"",IF(AND(U143&lt;&gt;"",Z143=0),I143/(Y143/F143)-F143,""))</f>
        <v/>
      </c>
      <c r="AB143" s="33" t="str">
        <f t="shared" ref="AB143:AB146" si="1066">IF(AA143&lt;&gt;"",AA143*I143,"")</f>
        <v/>
      </c>
      <c r="AC143" s="35">
        <v>1</v>
      </c>
      <c r="AD143" s="32" t="str">
        <f t="shared" si="942"/>
        <v>DLTR</v>
      </c>
      <c r="AE143" s="33">
        <f t="shared" si="943"/>
        <v>76.69</v>
      </c>
      <c r="AF143" s="36" t="e">
        <f t="shared" si="1040"/>
        <v>#REF!</v>
      </c>
      <c r="AG143" s="890" t="e">
        <f t="shared" si="1055"/>
        <v>#REF!</v>
      </c>
      <c r="AH143" s="208" t="s">
        <v>691</v>
      </c>
      <c r="AI143" s="240">
        <f t="shared" si="1041"/>
        <v>1.3351369274127873E-2</v>
      </c>
      <c r="AJ143" s="11">
        <f t="shared" si="1044"/>
        <v>4</v>
      </c>
      <c r="AK143" s="11"/>
      <c r="AL143" s="11"/>
      <c r="AM143" s="11"/>
      <c r="AN143" s="11"/>
      <c r="AO143" s="11"/>
      <c r="AP143" s="11"/>
      <c r="AQ143" s="11" t="str">
        <f>'Update Stock Prices'!Q143</f>
        <v>mid</v>
      </c>
      <c r="AR143" s="11"/>
      <c r="AS143" s="11"/>
      <c r="AT143" s="420" t="s">
        <v>2247</v>
      </c>
      <c r="AU143" s="471" t="s">
        <v>814</v>
      </c>
      <c r="AV143" s="428"/>
      <c r="AW143" s="631"/>
      <c r="AX143" s="428"/>
      <c r="AY143" s="428"/>
      <c r="AZ143" s="428"/>
      <c r="BA143" s="428"/>
      <c r="BB143" s="428"/>
      <c r="BC143" s="429"/>
      <c r="BD143" s="428"/>
      <c r="BE143" s="428"/>
      <c r="BF143" s="428"/>
      <c r="BG143" s="235"/>
      <c r="BK143" s="11"/>
      <c r="BS143" s="420" t="str">
        <f t="shared" si="715"/>
        <v>DLTR</v>
      </c>
      <c r="BT143" s="425">
        <f t="shared" si="716"/>
        <v>1</v>
      </c>
      <c r="BU143" s="19">
        <f t="shared" si="717"/>
        <v>76.69</v>
      </c>
      <c r="BV143" s="19">
        <f t="shared" si="718"/>
        <v>76.69</v>
      </c>
      <c r="BW143" s="539">
        <f t="shared" si="719"/>
        <v>0</v>
      </c>
      <c r="BX143" s="19">
        <f t="shared" si="720"/>
        <v>0</v>
      </c>
      <c r="BY143" s="10">
        <f t="shared" si="721"/>
        <v>0</v>
      </c>
      <c r="BZ143" s="10">
        <f t="shared" si="722"/>
        <v>1</v>
      </c>
      <c r="CA143" s="539">
        <f t="shared" si="723"/>
        <v>76.69</v>
      </c>
      <c r="CB143" s="19">
        <f t="shared" si="724"/>
        <v>0</v>
      </c>
      <c r="CC143" s="10">
        <f t="shared" si="725"/>
        <v>0</v>
      </c>
      <c r="CD143" s="10">
        <f t="shared" si="726"/>
        <v>1</v>
      </c>
      <c r="CE143" s="539">
        <f t="shared" si="727"/>
        <v>76.69</v>
      </c>
      <c r="CF143" s="19">
        <f t="shared" si="728"/>
        <v>0</v>
      </c>
      <c r="CG143" s="10">
        <f t="shared" si="729"/>
        <v>0</v>
      </c>
      <c r="CH143" s="10">
        <f t="shared" si="730"/>
        <v>1</v>
      </c>
      <c r="CI143" s="539">
        <f t="shared" si="731"/>
        <v>76.69</v>
      </c>
      <c r="CJ143" s="19">
        <f t="shared" si="732"/>
        <v>0</v>
      </c>
      <c r="CK143" s="10">
        <f t="shared" si="733"/>
        <v>0</v>
      </c>
      <c r="CL143" s="10">
        <f t="shared" si="734"/>
        <v>1</v>
      </c>
      <c r="CM143" s="539">
        <f t="shared" si="735"/>
        <v>76.69</v>
      </c>
      <c r="CN143" s="19">
        <f t="shared" si="736"/>
        <v>0</v>
      </c>
      <c r="CO143" s="10">
        <f t="shared" si="737"/>
        <v>0</v>
      </c>
      <c r="CP143" s="10">
        <f t="shared" si="738"/>
        <v>1</v>
      </c>
      <c r="CQ143" s="539">
        <f t="shared" si="739"/>
        <v>76.69</v>
      </c>
      <c r="CR143" s="19">
        <f t="shared" si="740"/>
        <v>0</v>
      </c>
      <c r="CS143" s="10">
        <f t="shared" si="741"/>
        <v>0</v>
      </c>
      <c r="CT143" s="10">
        <f t="shared" si="742"/>
        <v>1</v>
      </c>
      <c r="CU143" s="539">
        <f t="shared" si="743"/>
        <v>76.69</v>
      </c>
      <c r="CV143" s="19">
        <f t="shared" si="744"/>
        <v>0</v>
      </c>
      <c r="CW143" s="10">
        <f t="shared" si="745"/>
        <v>0</v>
      </c>
      <c r="CX143" s="10">
        <f t="shared" si="746"/>
        <v>1</v>
      </c>
      <c r="CY143" s="539">
        <f t="shared" si="747"/>
        <v>76.69</v>
      </c>
      <c r="CZ143" s="19">
        <f t="shared" si="748"/>
        <v>0</v>
      </c>
      <c r="DA143" s="10">
        <f t="shared" si="749"/>
        <v>0</v>
      </c>
      <c r="DB143" s="10">
        <f t="shared" si="750"/>
        <v>1</v>
      </c>
      <c r="DC143" s="539">
        <f t="shared" si="751"/>
        <v>76.69</v>
      </c>
      <c r="DD143" s="19">
        <f t="shared" si="752"/>
        <v>0</v>
      </c>
      <c r="DE143" s="10">
        <f t="shared" si="753"/>
        <v>0</v>
      </c>
      <c r="DF143" s="10">
        <f t="shared" si="754"/>
        <v>1</v>
      </c>
      <c r="DG143" s="539">
        <f t="shared" si="755"/>
        <v>76.69</v>
      </c>
      <c r="DH143" s="19">
        <f t="shared" si="756"/>
        <v>0</v>
      </c>
      <c r="DI143" s="10">
        <f t="shared" si="757"/>
        <v>0</v>
      </c>
      <c r="DJ143" s="10">
        <f t="shared" si="758"/>
        <v>1</v>
      </c>
      <c r="DK143" s="539">
        <f t="shared" si="759"/>
        <v>76.69</v>
      </c>
      <c r="DL143" s="19">
        <f t="shared" si="760"/>
        <v>0</v>
      </c>
      <c r="DM143" s="10">
        <f t="shared" si="761"/>
        <v>0</v>
      </c>
      <c r="DN143" s="10">
        <f t="shared" si="762"/>
        <v>1</v>
      </c>
      <c r="DO143" s="539">
        <f t="shared" si="763"/>
        <v>76.69</v>
      </c>
      <c r="DP143" s="19">
        <f t="shared" si="764"/>
        <v>0</v>
      </c>
      <c r="DQ143" s="10">
        <f t="shared" si="765"/>
        <v>0</v>
      </c>
      <c r="DR143" s="10">
        <f t="shared" si="766"/>
        <v>1</v>
      </c>
      <c r="DS143" s="539">
        <f t="shared" si="767"/>
        <v>76.69</v>
      </c>
      <c r="DT143" s="19">
        <f t="shared" si="768"/>
        <v>0</v>
      </c>
      <c r="DU143" s="10">
        <f t="shared" si="769"/>
        <v>0</v>
      </c>
      <c r="DV143" s="10">
        <f t="shared" si="770"/>
        <v>1</v>
      </c>
      <c r="DW143" s="539">
        <f t="shared" si="771"/>
        <v>76.69</v>
      </c>
      <c r="DX143" s="19">
        <f t="shared" si="772"/>
        <v>0</v>
      </c>
      <c r="DY143" s="10">
        <f t="shared" si="773"/>
        <v>0</v>
      </c>
      <c r="DZ143" s="10">
        <f t="shared" si="774"/>
        <v>1</v>
      </c>
      <c r="EA143" s="539">
        <f t="shared" si="775"/>
        <v>76.69</v>
      </c>
      <c r="EB143" s="19">
        <f t="shared" si="776"/>
        <v>0</v>
      </c>
      <c r="EC143" s="10">
        <f t="shared" si="777"/>
        <v>0</v>
      </c>
      <c r="ED143" s="10">
        <f t="shared" si="778"/>
        <v>1</v>
      </c>
      <c r="EE143" s="539">
        <f t="shared" si="779"/>
        <v>76.69</v>
      </c>
      <c r="EF143" s="19">
        <f t="shared" si="780"/>
        <v>0</v>
      </c>
      <c r="EG143" s="10">
        <f t="shared" si="781"/>
        <v>0</v>
      </c>
      <c r="EH143" s="10">
        <f t="shared" si="782"/>
        <v>1</v>
      </c>
      <c r="EI143" s="539">
        <f t="shared" si="783"/>
        <v>76.69</v>
      </c>
      <c r="EJ143" s="19">
        <f t="shared" si="784"/>
        <v>0</v>
      </c>
      <c r="EK143" s="10">
        <f t="shared" si="785"/>
        <v>0</v>
      </c>
      <c r="EL143" s="10">
        <f t="shared" si="786"/>
        <v>1</v>
      </c>
      <c r="EM143" s="539">
        <f t="shared" si="787"/>
        <v>76.69</v>
      </c>
      <c r="EN143" s="19">
        <f t="shared" si="788"/>
        <v>0</v>
      </c>
      <c r="EO143" s="10">
        <f t="shared" si="789"/>
        <v>0</v>
      </c>
      <c r="EP143" s="10">
        <f t="shared" si="790"/>
        <v>1</v>
      </c>
      <c r="EQ143" s="539">
        <f t="shared" si="791"/>
        <v>76.69</v>
      </c>
      <c r="ER143" s="19">
        <f t="shared" si="792"/>
        <v>0</v>
      </c>
      <c r="ES143" s="10">
        <f t="shared" si="793"/>
        <v>0</v>
      </c>
      <c r="ET143" s="10">
        <f t="shared" si="794"/>
        <v>1</v>
      </c>
      <c r="EU143" s="539">
        <f t="shared" si="795"/>
        <v>76.69</v>
      </c>
      <c r="EV143" s="19">
        <f t="shared" si="796"/>
        <v>0</v>
      </c>
      <c r="EW143" s="10">
        <f t="shared" si="797"/>
        <v>0</v>
      </c>
      <c r="EX143" s="10">
        <f t="shared" si="798"/>
        <v>1</v>
      </c>
      <c r="EY143" s="539">
        <f t="shared" si="799"/>
        <v>76.69</v>
      </c>
      <c r="EZ143" s="19">
        <f t="shared" si="800"/>
        <v>0</v>
      </c>
      <c r="FA143" s="10">
        <f t="shared" si="801"/>
        <v>0</v>
      </c>
      <c r="FB143" s="10">
        <f t="shared" si="802"/>
        <v>1</v>
      </c>
      <c r="FC143" s="539">
        <f t="shared" si="803"/>
        <v>76.69</v>
      </c>
      <c r="FD143" s="19">
        <f t="shared" si="804"/>
        <v>0</v>
      </c>
      <c r="FE143" s="10">
        <f t="shared" si="805"/>
        <v>0</v>
      </c>
      <c r="FF143" s="10">
        <f t="shared" si="806"/>
        <v>1</v>
      </c>
      <c r="FG143" s="539">
        <f t="shared" si="807"/>
        <v>76.69</v>
      </c>
      <c r="FH143" s="19">
        <f t="shared" si="808"/>
        <v>0</v>
      </c>
      <c r="FI143" s="10">
        <f t="shared" si="809"/>
        <v>0</v>
      </c>
      <c r="FJ143" s="10">
        <f t="shared" si="810"/>
        <v>1</v>
      </c>
      <c r="FK143" s="539">
        <f t="shared" si="811"/>
        <v>76.69</v>
      </c>
      <c r="FL143" s="19">
        <f t="shared" si="812"/>
        <v>0</v>
      </c>
      <c r="FM143" s="10">
        <f t="shared" si="813"/>
        <v>0</v>
      </c>
      <c r="FN143" s="10">
        <f t="shared" si="814"/>
        <v>1</v>
      </c>
      <c r="FO143" s="539">
        <f t="shared" si="815"/>
        <v>76.69</v>
      </c>
      <c r="FP143" s="19">
        <f t="shared" si="816"/>
        <v>0</v>
      </c>
      <c r="FQ143" s="10">
        <f t="shared" si="817"/>
        <v>0</v>
      </c>
      <c r="FR143" s="10">
        <f t="shared" si="818"/>
        <v>1</v>
      </c>
      <c r="FS143" s="539">
        <f t="shared" si="819"/>
        <v>76.69</v>
      </c>
      <c r="FT143" s="19">
        <f t="shared" si="820"/>
        <v>0</v>
      </c>
      <c r="FU143" s="10">
        <f t="shared" si="821"/>
        <v>0</v>
      </c>
      <c r="FV143" s="10">
        <f t="shared" si="822"/>
        <v>1</v>
      </c>
      <c r="FW143" s="539">
        <f t="shared" si="823"/>
        <v>76.69</v>
      </c>
      <c r="FX143" s="19">
        <f t="shared" si="824"/>
        <v>0</v>
      </c>
      <c r="FY143" s="10">
        <f t="shared" si="825"/>
        <v>0</v>
      </c>
      <c r="FZ143" s="10">
        <f t="shared" si="826"/>
        <v>1</v>
      </c>
      <c r="GA143" s="539">
        <f t="shared" si="827"/>
        <v>76.69</v>
      </c>
      <c r="GB143" s="19">
        <f t="shared" si="828"/>
        <v>0</v>
      </c>
      <c r="GC143" s="10">
        <f t="shared" si="829"/>
        <v>0</v>
      </c>
      <c r="GD143" s="10">
        <f t="shared" si="830"/>
        <v>1</v>
      </c>
      <c r="GE143" s="539">
        <f t="shared" si="831"/>
        <v>76.69</v>
      </c>
      <c r="GF143" s="19">
        <f t="shared" si="832"/>
        <v>0</v>
      </c>
      <c r="GG143" s="10">
        <f t="shared" si="833"/>
        <v>0</v>
      </c>
      <c r="GH143" s="10">
        <f t="shared" si="834"/>
        <v>1</v>
      </c>
      <c r="GI143" s="539">
        <f t="shared" si="835"/>
        <v>76.69</v>
      </c>
      <c r="GJ143" s="19">
        <f t="shared" si="836"/>
        <v>0</v>
      </c>
      <c r="GK143" s="10">
        <f t="shared" si="837"/>
        <v>0</v>
      </c>
      <c r="GL143" s="10">
        <f t="shared" si="838"/>
        <v>1</v>
      </c>
      <c r="GM143" s="539">
        <f t="shared" si="839"/>
        <v>76.69</v>
      </c>
      <c r="GN143" s="19">
        <f t="shared" si="840"/>
        <v>0</v>
      </c>
      <c r="GO143" s="10">
        <f t="shared" si="841"/>
        <v>0</v>
      </c>
      <c r="GP143" s="10">
        <f t="shared" si="842"/>
        <v>1</v>
      </c>
      <c r="GQ143" s="539">
        <f t="shared" si="843"/>
        <v>76.69</v>
      </c>
      <c r="GR143" s="19">
        <f t="shared" si="844"/>
        <v>0</v>
      </c>
      <c r="GS143" s="10">
        <f t="shared" si="845"/>
        <v>0</v>
      </c>
      <c r="GT143" s="10">
        <f t="shared" si="846"/>
        <v>1</v>
      </c>
      <c r="GU143" s="539">
        <f t="shared" si="847"/>
        <v>76.69</v>
      </c>
      <c r="GV143" s="19">
        <f t="shared" si="848"/>
        <v>0</v>
      </c>
      <c r="GW143" s="10">
        <f t="shared" si="849"/>
        <v>0</v>
      </c>
      <c r="GX143" s="10">
        <f t="shared" si="850"/>
        <v>1</v>
      </c>
      <c r="GY143" s="539">
        <f t="shared" si="851"/>
        <v>76.69</v>
      </c>
      <c r="GZ143" s="19">
        <f t="shared" si="852"/>
        <v>0</v>
      </c>
      <c r="HA143" s="10">
        <f t="shared" si="853"/>
        <v>0</v>
      </c>
      <c r="HB143" s="10">
        <f t="shared" si="854"/>
        <v>1</v>
      </c>
      <c r="HC143" s="539">
        <f t="shared" si="855"/>
        <v>76.69</v>
      </c>
      <c r="HD143" s="19">
        <f t="shared" si="856"/>
        <v>0</v>
      </c>
      <c r="HE143" s="10">
        <f t="shared" si="857"/>
        <v>0</v>
      </c>
      <c r="HF143" s="10">
        <f t="shared" si="858"/>
        <v>1</v>
      </c>
      <c r="HG143" s="539">
        <f t="shared" si="859"/>
        <v>76.69</v>
      </c>
      <c r="HH143" s="19">
        <f t="shared" si="860"/>
        <v>0</v>
      </c>
      <c r="HI143" s="10">
        <f t="shared" si="861"/>
        <v>0</v>
      </c>
      <c r="HJ143" s="10">
        <f t="shared" si="862"/>
        <v>1</v>
      </c>
      <c r="HK143" s="539">
        <f t="shared" si="863"/>
        <v>76.69</v>
      </c>
      <c r="HL143" s="19">
        <f t="shared" si="864"/>
        <v>0</v>
      </c>
      <c r="HM143" s="10">
        <f t="shared" si="865"/>
        <v>0</v>
      </c>
      <c r="HN143" s="10">
        <f t="shared" si="866"/>
        <v>1</v>
      </c>
      <c r="HO143" s="539">
        <f t="shared" si="867"/>
        <v>76.69</v>
      </c>
      <c r="HP143" s="19">
        <f t="shared" si="868"/>
        <v>0</v>
      </c>
      <c r="HQ143" s="10">
        <f t="shared" si="869"/>
        <v>0</v>
      </c>
      <c r="HR143" s="10">
        <f t="shared" si="870"/>
        <v>1</v>
      </c>
      <c r="HS143" s="539">
        <f t="shared" si="871"/>
        <v>76.69</v>
      </c>
      <c r="HT143" s="19">
        <f t="shared" si="872"/>
        <v>0</v>
      </c>
      <c r="HU143" s="10">
        <f t="shared" si="873"/>
        <v>0</v>
      </c>
      <c r="HV143" s="10">
        <f t="shared" si="874"/>
        <v>1</v>
      </c>
      <c r="HW143" s="539">
        <f t="shared" si="875"/>
        <v>76.69</v>
      </c>
      <c r="HX143" s="19">
        <f t="shared" si="876"/>
        <v>0</v>
      </c>
      <c r="HY143" s="10">
        <f t="shared" si="877"/>
        <v>0</v>
      </c>
      <c r="HZ143" s="10">
        <f t="shared" si="878"/>
        <v>1</v>
      </c>
      <c r="IA143" s="539">
        <f t="shared" si="879"/>
        <v>76.69</v>
      </c>
      <c r="IB143" s="19">
        <f t="shared" si="880"/>
        <v>0</v>
      </c>
    </row>
    <row r="144" spans="1:261">
      <c r="A144" s="19"/>
      <c r="C144" s="177" t="s">
        <v>2348</v>
      </c>
      <c r="D144" s="32" t="s">
        <v>48</v>
      </c>
      <c r="E144" s="399">
        <f t="shared" si="1056"/>
        <v>37.301900000000003</v>
      </c>
      <c r="F144" s="242">
        <v>30.3019</v>
      </c>
      <c r="G144" s="35">
        <f>'Update Stock Prices'!S144</f>
        <v>4327636013.4809818</v>
      </c>
      <c r="H144" s="992">
        <f t="shared" si="1060"/>
        <v>7.0019520832174451E-9</v>
      </c>
      <c r="I144" s="33">
        <f>'Update Stock Prices'!D144</f>
        <v>41.54</v>
      </c>
      <c r="J144" s="33">
        <f t="shared" si="1039"/>
        <v>1258.7409259999999</v>
      </c>
      <c r="K144" s="30">
        <v>1161.4100000000001</v>
      </c>
      <c r="L144" s="33">
        <f t="shared" si="1061"/>
        <v>97.330925999999863</v>
      </c>
      <c r="M144" s="36">
        <f t="shared" si="1062"/>
        <v>8.3804105354698039E-2</v>
      </c>
      <c r="N144" s="33">
        <f t="shared" si="1063"/>
        <v>38.327959632894313</v>
      </c>
      <c r="O144" s="35">
        <f t="shared" si="932"/>
        <v>7</v>
      </c>
      <c r="P144" s="33">
        <f>IF(($B$11-$B$12)-(O144*I144)&lt;0,0,($B$11-$B$12)-(O144*I144))</f>
        <v>30.230000000000018</v>
      </c>
      <c r="Q144" s="30">
        <f>4*0.35</f>
        <v>1.4</v>
      </c>
      <c r="R144" s="33">
        <f t="shared" si="1057"/>
        <v>0.1161469130732375</v>
      </c>
      <c r="S144" s="33">
        <f t="shared" si="935"/>
        <v>42.42266</v>
      </c>
      <c r="T144" s="33">
        <f t="shared" si="1058"/>
        <v>3.5352216666666667</v>
      </c>
      <c r="U144" s="33" t="s">
        <v>54</v>
      </c>
      <c r="V144" s="36">
        <f t="shared" si="937"/>
        <v>3.3702455464612417E-2</v>
      </c>
      <c r="W144" s="36">
        <f t="shared" si="1053"/>
        <v>3.6526859593080822E-2</v>
      </c>
      <c r="X144" s="33">
        <f>12*((E144*Q144)/12-T144)</f>
        <v>9.8000000000000078</v>
      </c>
      <c r="Y144" s="33">
        <f>IF(U144="Q",3*T144,IF(U144="Y",12*T144,IF(U144="B",6*T144,IF(U144="M",T144,0))))</f>
        <v>10.605665</v>
      </c>
      <c r="Z144" s="861">
        <f>IF(Y144/I144&gt;1,1,0)</f>
        <v>0</v>
      </c>
      <c r="AA144" s="861">
        <f>IF(Z144=1,"",IF(AND(U144&lt;&gt;"",Z144=0),I144/(Y144/F144)-F144,""))</f>
        <v>88.383814285714266</v>
      </c>
      <c r="AB144" s="33">
        <f>IF(AA144&lt;&gt;"",AA144*I144,"")</f>
        <v>3671.4636454285705</v>
      </c>
      <c r="AC144" s="35">
        <v>1</v>
      </c>
      <c r="AD144" s="32" t="str">
        <f t="shared" si="942"/>
        <v>KO</v>
      </c>
      <c r="AE144" s="33">
        <f t="shared" si="943"/>
        <v>1258.7409259999999</v>
      </c>
      <c r="AF144" s="36" t="e">
        <f t="shared" si="1040"/>
        <v>#REF!</v>
      </c>
      <c r="AG144" s="890" t="e">
        <f t="shared" si="1055"/>
        <v>#REF!</v>
      </c>
      <c r="AH144" s="208" t="s">
        <v>813</v>
      </c>
      <c r="AI144" s="240">
        <f t="shared" si="1041"/>
        <v>3.5968393264034884</v>
      </c>
      <c r="AJ144" s="11">
        <f t="shared" si="1044"/>
        <v>2</v>
      </c>
      <c r="AK144" s="11">
        <v>1</v>
      </c>
      <c r="AL144" s="11">
        <v>1</v>
      </c>
      <c r="AM144" s="11"/>
      <c r="AN144" s="11"/>
      <c r="AO144" s="11">
        <v>1</v>
      </c>
      <c r="AP144" s="11"/>
      <c r="AQ144" s="11" t="str">
        <f>'Update Stock Prices'!Q144</f>
        <v>mega</v>
      </c>
      <c r="AR144" s="11"/>
      <c r="AS144" s="11"/>
      <c r="AT144" s="1157" t="s">
        <v>2239</v>
      </c>
      <c r="AU144" s="508" t="s">
        <v>826</v>
      </c>
      <c r="AV144" s="420" t="s">
        <v>1512</v>
      </c>
      <c r="AW144" s="236" t="s">
        <v>514</v>
      </c>
      <c r="AX144" s="176"/>
      <c r="AZ144" s="915" t="s">
        <v>1771</v>
      </c>
      <c r="BA144" s="235" t="s">
        <v>1772</v>
      </c>
      <c r="BG144" s="236"/>
      <c r="BK144" s="11"/>
      <c r="BS144" s="420" t="str">
        <f t="shared" si="715"/>
        <v>KO</v>
      </c>
      <c r="BT144" s="425">
        <f t="shared" si="716"/>
        <v>30.3019</v>
      </c>
      <c r="BU144" s="19">
        <f t="shared" si="717"/>
        <v>41.54</v>
      </c>
      <c r="BV144" s="19">
        <f t="shared" si="718"/>
        <v>1258.7409259999999</v>
      </c>
      <c r="BW144" s="539">
        <f t="shared" si="719"/>
        <v>1.4</v>
      </c>
      <c r="BX144" s="19">
        <f t="shared" si="720"/>
        <v>42.42266</v>
      </c>
      <c r="BY144" s="10">
        <f t="shared" si="721"/>
        <v>1.0212484352431392</v>
      </c>
      <c r="BZ144" s="10">
        <f t="shared" si="722"/>
        <v>31.323148435243141</v>
      </c>
      <c r="CA144" s="539">
        <f t="shared" si="723"/>
        <v>1301.1635860000001</v>
      </c>
      <c r="CB144" s="19">
        <f t="shared" si="724"/>
        <v>43.852407809340392</v>
      </c>
      <c r="CC144" s="10">
        <f t="shared" si="725"/>
        <v>1.0556670151502261</v>
      </c>
      <c r="CD144" s="10">
        <f t="shared" si="726"/>
        <v>32.378815450393368</v>
      </c>
      <c r="CE144" s="539">
        <f t="shared" si="727"/>
        <v>1345.0159938093404</v>
      </c>
      <c r="CF144" s="19">
        <f t="shared" si="728"/>
        <v>45.330341630550713</v>
      </c>
      <c r="CG144" s="10">
        <f t="shared" si="729"/>
        <v>1.091245585713787</v>
      </c>
      <c r="CH144" s="10">
        <f t="shared" si="730"/>
        <v>33.470061036107154</v>
      </c>
      <c r="CI144" s="539">
        <f t="shared" si="731"/>
        <v>1390.3463354398912</v>
      </c>
      <c r="CJ144" s="19">
        <f t="shared" si="732"/>
        <v>46.858085450550014</v>
      </c>
      <c r="CK144" s="10">
        <f t="shared" si="733"/>
        <v>1.1280232414672609</v>
      </c>
      <c r="CL144" s="10">
        <f t="shared" si="734"/>
        <v>34.598084277574415</v>
      </c>
      <c r="CM144" s="539">
        <f t="shared" si="735"/>
        <v>1437.2044208904413</v>
      </c>
      <c r="CN144" s="19">
        <f t="shared" si="736"/>
        <v>48.437317988604178</v>
      </c>
      <c r="CO144" s="10">
        <f t="shared" si="737"/>
        <v>1.1660403945258588</v>
      </c>
      <c r="CP144" s="10">
        <f t="shared" si="738"/>
        <v>35.764124672100273</v>
      </c>
      <c r="CQ144" s="539">
        <f t="shared" si="739"/>
        <v>1485.6417388790453</v>
      </c>
      <c r="CR144" s="19">
        <f t="shared" si="740"/>
        <v>50.069774540940379</v>
      </c>
      <c r="CS144" s="10">
        <f t="shared" si="741"/>
        <v>1.2053388189923058</v>
      </c>
      <c r="CT144" s="10">
        <f t="shared" si="742"/>
        <v>36.969463491092576</v>
      </c>
      <c r="CU144" s="539">
        <f t="shared" si="743"/>
        <v>1535.7115134199855</v>
      </c>
      <c r="CV144" s="19">
        <f t="shared" si="744"/>
        <v>51.757248887529606</v>
      </c>
      <c r="CW144" s="10">
        <f t="shared" si="745"/>
        <v>1.2459616968591625</v>
      </c>
      <c r="CX144" s="10">
        <f t="shared" si="746"/>
        <v>38.215425187951737</v>
      </c>
      <c r="CY144" s="539">
        <f t="shared" si="747"/>
        <v>1587.4687623075151</v>
      </c>
      <c r="CZ144" s="19">
        <f t="shared" si="748"/>
        <v>53.50159526313243</v>
      </c>
      <c r="DA144" s="10">
        <f t="shared" si="749"/>
        <v>1.2879536654581711</v>
      </c>
      <c r="DB144" s="10">
        <f t="shared" si="750"/>
        <v>39.503378853409906</v>
      </c>
      <c r="DC144" s="539">
        <f t="shared" si="751"/>
        <v>1640.9703575706474</v>
      </c>
      <c r="DD144" s="19">
        <f t="shared" si="752"/>
        <v>55.304730394773863</v>
      </c>
      <c r="DE144" s="10">
        <f t="shared" si="753"/>
        <v>1.3313608665087593</v>
      </c>
      <c r="DF144" s="10">
        <f t="shared" si="754"/>
        <v>40.834739719918666</v>
      </c>
      <c r="DG144" s="539">
        <f t="shared" si="755"/>
        <v>1696.2750879654213</v>
      </c>
      <c r="DH144" s="19">
        <f t="shared" si="756"/>
        <v>57.168635607886131</v>
      </c>
      <c r="DI144" s="10">
        <f t="shared" si="757"/>
        <v>1.3762309968195987</v>
      </c>
      <c r="DJ144" s="10">
        <f t="shared" si="758"/>
        <v>42.210970716738267</v>
      </c>
      <c r="DK144" s="539">
        <f t="shared" si="759"/>
        <v>1753.4437235733076</v>
      </c>
      <c r="DL144" s="19">
        <f t="shared" si="760"/>
        <v>59.095359003433572</v>
      </c>
      <c r="DM144" s="10">
        <f t="shared" si="761"/>
        <v>1.4226133606989304</v>
      </c>
      <c r="DN144" s="10">
        <f t="shared" si="762"/>
        <v>43.633584077437199</v>
      </c>
      <c r="DO144" s="539">
        <f t="shared" si="763"/>
        <v>1812.5390825767413</v>
      </c>
      <c r="DP144" s="19">
        <f t="shared" si="764"/>
        <v>61.087017708412077</v>
      </c>
      <c r="DQ144" s="10">
        <f t="shared" si="765"/>
        <v>1.4705589241312489</v>
      </c>
      <c r="DR144" s="10">
        <f t="shared" si="766"/>
        <v>45.104143001568445</v>
      </c>
      <c r="DS144" s="539">
        <f t="shared" si="767"/>
        <v>1873.6261002851531</v>
      </c>
      <c r="DT144" s="19">
        <f t="shared" si="768"/>
        <v>63.145800202195822</v>
      </c>
      <c r="DU144" s="10">
        <f t="shared" si="769"/>
        <v>1.5201203707798705</v>
      </c>
      <c r="DV144" s="10">
        <f t="shared" si="770"/>
        <v>46.624263372348317</v>
      </c>
      <c r="DW144" s="539">
        <f t="shared" si="771"/>
        <v>1936.7719004873491</v>
      </c>
      <c r="DX144" s="19">
        <f t="shared" si="772"/>
        <v>65.273968721287645</v>
      </c>
      <c r="DY144" s="10">
        <f t="shared" si="773"/>
        <v>1.5713521598769293</v>
      </c>
      <c r="DZ144" s="10">
        <f t="shared" si="774"/>
        <v>48.195615532225247</v>
      </c>
      <c r="EA144" s="539">
        <f t="shared" si="775"/>
        <v>2002.0458692086368</v>
      </c>
      <c r="EB144" s="19">
        <f t="shared" si="776"/>
        <v>67.473861745115343</v>
      </c>
      <c r="EC144" s="10">
        <f t="shared" si="777"/>
        <v>1.624310586064404</v>
      </c>
      <c r="ED144" s="10">
        <f t="shared" si="778"/>
        <v>49.819926118289651</v>
      </c>
      <c r="EE144" s="539">
        <f t="shared" si="779"/>
        <v>2069.5197309537521</v>
      </c>
      <c r="EF144" s="19">
        <f t="shared" si="780"/>
        <v>69.747896565605501</v>
      </c>
      <c r="EG144" s="10">
        <f t="shared" si="781"/>
        <v>1.679053841251938</v>
      </c>
      <c r="EH144" s="10">
        <f t="shared" si="782"/>
        <v>51.498979959541586</v>
      </c>
      <c r="EI144" s="539">
        <f t="shared" si="783"/>
        <v>2139.2676275193576</v>
      </c>
      <c r="EJ144" s="19">
        <f t="shared" si="784"/>
        <v>72.098571943358209</v>
      </c>
      <c r="EK144" s="10">
        <f t="shared" si="785"/>
        <v>1.7356420785594178</v>
      </c>
      <c r="EL144" s="10">
        <f t="shared" si="786"/>
        <v>53.234622038101001</v>
      </c>
      <c r="EM144" s="539">
        <f t="shared" si="787"/>
        <v>2211.3661994627155</v>
      </c>
      <c r="EN144" s="19">
        <f t="shared" si="788"/>
        <v>74.528470853341403</v>
      </c>
      <c r="EO144" s="10">
        <f t="shared" si="789"/>
        <v>1.794137478414574</v>
      </c>
      <c r="EP144" s="10">
        <f t="shared" si="790"/>
        <v>55.028759516515578</v>
      </c>
      <c r="EQ144" s="539">
        <f t="shared" si="791"/>
        <v>2285.8946703160573</v>
      </c>
      <c r="ER144" s="19">
        <f t="shared" si="792"/>
        <v>77.040263323121806</v>
      </c>
      <c r="ES144" s="10">
        <f t="shared" si="793"/>
        <v>1.8546043168782331</v>
      </c>
      <c r="ET144" s="10">
        <f t="shared" si="794"/>
        <v>56.883363833393808</v>
      </c>
      <c r="EU144" s="539">
        <f t="shared" si="795"/>
        <v>2362.9349336391788</v>
      </c>
      <c r="EV144" s="19">
        <f t="shared" si="796"/>
        <v>79.636709366751333</v>
      </c>
      <c r="EW144" s="10">
        <f t="shared" si="797"/>
        <v>1.9171090362722998</v>
      </c>
      <c r="EX144" s="10">
        <f t="shared" si="798"/>
        <v>58.800472869666109</v>
      </c>
      <c r="EY144" s="539">
        <f t="shared" si="799"/>
        <v>2442.5716430059301</v>
      </c>
      <c r="EZ144" s="19">
        <f t="shared" si="800"/>
        <v>82.320662017532541</v>
      </c>
      <c r="FA144" s="10">
        <f t="shared" si="801"/>
        <v>1.9817203181880727</v>
      </c>
      <c r="FB144" s="10">
        <f t="shared" si="802"/>
        <v>60.782193187854183</v>
      </c>
      <c r="FC144" s="539">
        <f t="shared" si="803"/>
        <v>2524.8923050234625</v>
      </c>
      <c r="FD144" s="19">
        <f t="shared" si="804"/>
        <v>85.095070462995849</v>
      </c>
      <c r="FE144" s="10">
        <f t="shared" si="805"/>
        <v>2.0485091589551239</v>
      </c>
      <c r="FF144" s="10">
        <f t="shared" si="806"/>
        <v>62.830702346809304</v>
      </c>
      <c r="FG144" s="539">
        <f t="shared" si="807"/>
        <v>2609.9873754864584</v>
      </c>
      <c r="FH144" s="19">
        <f t="shared" si="808"/>
        <v>87.962983285533014</v>
      </c>
      <c r="FI144" s="10">
        <f t="shared" si="809"/>
        <v>2.1175489476536593</v>
      </c>
      <c r="FJ144" s="10">
        <f t="shared" si="810"/>
        <v>64.948251294462963</v>
      </c>
      <c r="FK144" s="539">
        <f t="shared" si="811"/>
        <v>2697.9503587719914</v>
      </c>
      <c r="FL144" s="19">
        <f t="shared" si="812"/>
        <v>90.92755181224814</v>
      </c>
      <c r="FM144" s="10">
        <f t="shared" si="813"/>
        <v>2.1889155467560939</v>
      </c>
      <c r="FN144" s="10">
        <f t="shared" si="814"/>
        <v>67.137166841219056</v>
      </c>
      <c r="FO144" s="539">
        <f t="shared" si="815"/>
        <v>2788.8779105842395</v>
      </c>
      <c r="FP144" s="19">
        <f t="shared" si="816"/>
        <v>93.992033577706678</v>
      </c>
      <c r="FQ144" s="10">
        <f t="shared" si="817"/>
        <v>2.2626873754864389</v>
      </c>
      <c r="FR144" s="10">
        <f t="shared" si="818"/>
        <v>69.399854216705492</v>
      </c>
      <c r="FS144" s="539">
        <f t="shared" si="819"/>
        <v>2882.869944161946</v>
      </c>
      <c r="FT144" s="19">
        <f t="shared" si="820"/>
        <v>97.159795903387689</v>
      </c>
      <c r="FU144" s="10">
        <f t="shared" si="821"/>
        <v>2.3389454959891114</v>
      </c>
      <c r="FV144" s="10">
        <f t="shared" si="822"/>
        <v>71.7387997126946</v>
      </c>
      <c r="FW144" s="539">
        <f t="shared" si="823"/>
        <v>2980.0297400653335</v>
      </c>
      <c r="FX144" s="19">
        <f t="shared" si="824"/>
        <v>100.43431959777243</v>
      </c>
      <c r="FY144" s="10">
        <f t="shared" si="825"/>
        <v>2.4177737024018398</v>
      </c>
      <c r="FZ144" s="10">
        <f t="shared" si="826"/>
        <v>74.156573415096446</v>
      </c>
      <c r="GA144" s="539">
        <f t="shared" si="827"/>
        <v>3080.4640596631061</v>
      </c>
      <c r="GB144" s="19">
        <f t="shared" si="828"/>
        <v>103.81920278113502</v>
      </c>
      <c r="GC144" s="10">
        <f t="shared" si="829"/>
        <v>2.4992586129305492</v>
      </c>
      <c r="GD144" s="10">
        <f t="shared" si="830"/>
        <v>76.655832028026992</v>
      </c>
      <c r="GE144" s="539">
        <f t="shared" si="831"/>
        <v>3184.2832624442412</v>
      </c>
      <c r="GF144" s="19">
        <f t="shared" si="832"/>
        <v>107.31816483923778</v>
      </c>
      <c r="GG144" s="10">
        <f t="shared" si="833"/>
        <v>2.58348976502739</v>
      </c>
      <c r="GH144" s="10">
        <f t="shared" si="834"/>
        <v>79.239321793054387</v>
      </c>
      <c r="GI144" s="539">
        <f t="shared" si="835"/>
        <v>3291.6014272834791</v>
      </c>
      <c r="GJ144" s="19">
        <f t="shared" si="836"/>
        <v>110.93505051027614</v>
      </c>
      <c r="GK144" s="10">
        <f t="shared" si="837"/>
        <v>2.670559713776508</v>
      </c>
      <c r="GL144" s="10">
        <f t="shared" si="838"/>
        <v>81.909881506830899</v>
      </c>
      <c r="GM144" s="539">
        <f t="shared" si="839"/>
        <v>3402.5364777937557</v>
      </c>
      <c r="GN144" s="19">
        <f t="shared" si="840"/>
        <v>114.67383410956324</v>
      </c>
      <c r="GO144" s="10">
        <f t="shared" si="841"/>
        <v>2.7605641335956488</v>
      </c>
      <c r="GP144" s="10">
        <f t="shared" si="842"/>
        <v>84.67044564042655</v>
      </c>
      <c r="GQ144" s="539">
        <f t="shared" si="843"/>
        <v>3517.2103119033186</v>
      </c>
      <c r="GR144" s="19">
        <f t="shared" si="844"/>
        <v>118.53862389659716</v>
      </c>
      <c r="GS144" s="10">
        <f t="shared" si="845"/>
        <v>2.8536019233653627</v>
      </c>
      <c r="GT144" s="10">
        <f t="shared" si="846"/>
        <v>87.52404756379191</v>
      </c>
      <c r="GU144" s="539">
        <f t="shared" si="847"/>
        <v>3635.7489357999157</v>
      </c>
      <c r="GV144" s="19">
        <f t="shared" si="848"/>
        <v>122.53366658930867</v>
      </c>
      <c r="GW144" s="10">
        <f t="shared" si="849"/>
        <v>2.949775315101316</v>
      </c>
      <c r="GX144" s="10">
        <f t="shared" si="850"/>
        <v>90.47382287889323</v>
      </c>
      <c r="GY144" s="539">
        <f t="shared" si="851"/>
        <v>3758.2826023892248</v>
      </c>
      <c r="GZ144" s="19">
        <f t="shared" si="852"/>
        <v>126.66335203045051</v>
      </c>
      <c r="HA144" s="10">
        <f t="shared" si="853"/>
        <v>3.0491899862891314</v>
      </c>
      <c r="HB144" s="10">
        <f t="shared" si="854"/>
        <v>93.523012865182366</v>
      </c>
      <c r="HC144" s="539">
        <f t="shared" si="855"/>
        <v>3884.9459544196752</v>
      </c>
      <c r="HD144" s="19">
        <f t="shared" si="856"/>
        <v>130.93221801125532</v>
      </c>
      <c r="HE144" s="10">
        <f t="shared" si="857"/>
        <v>3.1519551760051834</v>
      </c>
      <c r="HF144" s="10">
        <f t="shared" si="858"/>
        <v>96.674968041187554</v>
      </c>
      <c r="HG144" s="539">
        <f t="shared" si="859"/>
        <v>4015.878172430931</v>
      </c>
      <c r="HH144" s="19">
        <f t="shared" si="860"/>
        <v>135.34495525766258</v>
      </c>
      <c r="HI144" s="10">
        <f t="shared" si="861"/>
        <v>3.2581838049509528</v>
      </c>
      <c r="HJ144" s="10">
        <f t="shared" si="862"/>
        <v>99.933151846138514</v>
      </c>
      <c r="HK144" s="539">
        <f t="shared" si="863"/>
        <v>4151.2231276885941</v>
      </c>
      <c r="HL144" s="19">
        <f t="shared" si="864"/>
        <v>139.90641258459391</v>
      </c>
      <c r="HM144" s="10">
        <f t="shared" si="865"/>
        <v>3.3679925995328337</v>
      </c>
      <c r="HN144" s="10">
        <f t="shared" si="866"/>
        <v>103.30114444567135</v>
      </c>
      <c r="HO144" s="539">
        <f t="shared" si="867"/>
        <v>4291.1295402731876</v>
      </c>
      <c r="HP144" s="19">
        <f t="shared" si="868"/>
        <v>144.62160222393987</v>
      </c>
      <c r="HQ144" s="10">
        <f t="shared" si="869"/>
        <v>3.4815022201237333</v>
      </c>
      <c r="HR144" s="10">
        <f t="shared" si="870"/>
        <v>106.78264666579508</v>
      </c>
      <c r="HS144" s="539">
        <f t="shared" si="871"/>
        <v>4435.7511424971281</v>
      </c>
      <c r="HT144" s="19">
        <f t="shared" si="872"/>
        <v>149.49570533211312</v>
      </c>
      <c r="HU144" s="10">
        <f t="shared" si="873"/>
        <v>3.5988373936474032</v>
      </c>
      <c r="HV144" s="10">
        <f t="shared" si="874"/>
        <v>110.38148405944249</v>
      </c>
      <c r="HW144" s="539">
        <f t="shared" si="875"/>
        <v>4585.2468478292403</v>
      </c>
      <c r="HX144" s="19">
        <f t="shared" si="876"/>
        <v>154.53407768321946</v>
      </c>
      <c r="HY144" s="10">
        <f t="shared" si="877"/>
        <v>3.7201270506311861</v>
      </c>
      <c r="HZ144" s="10">
        <f t="shared" si="878"/>
        <v>114.10161111007368</v>
      </c>
      <c r="IA144" s="539">
        <f t="shared" si="879"/>
        <v>4739.7809255124603</v>
      </c>
      <c r="IB144" s="19">
        <f t="shared" si="880"/>
        <v>159.74225555410314</v>
      </c>
    </row>
    <row r="145" spans="1:236" ht="13.5" thickBot="1">
      <c r="A145" s="29"/>
      <c r="B145" s="570"/>
      <c r="C145" s="826" t="s">
        <v>2347</v>
      </c>
      <c r="D145" s="32" t="s">
        <v>478</v>
      </c>
      <c r="E145" s="399">
        <f t="shared" si="1056"/>
        <v>7.1142000000000003</v>
      </c>
      <c r="F145" s="242">
        <v>3.1141999999999999</v>
      </c>
      <c r="G145" s="35">
        <f>'Update Stock Prices'!S145</f>
        <v>1007581699.3464053</v>
      </c>
      <c r="H145" s="992">
        <f t="shared" si="1060"/>
        <v>3.0907667358588477E-9</v>
      </c>
      <c r="I145" s="33">
        <f>'Update Stock Prices'!D145</f>
        <v>76.5</v>
      </c>
      <c r="J145" s="33">
        <f t="shared" si="1039"/>
        <v>238.2363</v>
      </c>
      <c r="K145" s="30">
        <v>143.86000000000001</v>
      </c>
      <c r="L145" s="33">
        <f t="shared" si="1061"/>
        <v>94.376299999999986</v>
      </c>
      <c r="M145" s="36">
        <f t="shared" si="1062"/>
        <v>0.65602877797859016</v>
      </c>
      <c r="N145" s="33">
        <f t="shared" si="1063"/>
        <v>46.194849399524763</v>
      </c>
      <c r="O145" s="35">
        <f t="shared" si="932"/>
        <v>4</v>
      </c>
      <c r="P145" s="33">
        <f>IF(($B$11-$B$12)-(O145*I145)&lt;0,0,($B$11-$B$12)-(O145*I145))</f>
        <v>15.009999999999991</v>
      </c>
      <c r="Q145" s="30">
        <f>4*0.5</f>
        <v>2</v>
      </c>
      <c r="R145" s="33">
        <f t="shared" si="1057"/>
        <v>1.7052429842573578E-2</v>
      </c>
      <c r="S145" s="33">
        <f t="shared" si="935"/>
        <v>6.2283999999999997</v>
      </c>
      <c r="T145" s="33">
        <f t="shared" si="1058"/>
        <v>0.51903333333333335</v>
      </c>
      <c r="U145" s="33" t="s">
        <v>54</v>
      </c>
      <c r="V145" s="36">
        <f t="shared" si="937"/>
        <v>2.6143790849673203E-2</v>
      </c>
      <c r="W145" s="36">
        <f t="shared" si="1053"/>
        <v>4.3294870012512157E-2</v>
      </c>
      <c r="X145" s="33">
        <f>12*((E145*Q145)/12-T145)</f>
        <v>8</v>
      </c>
      <c r="Y145" s="33">
        <f t="shared" si="654"/>
        <v>1.5571000000000002</v>
      </c>
      <c r="Z145" s="861">
        <f t="shared" si="1059"/>
        <v>0</v>
      </c>
      <c r="AA145" s="861">
        <f t="shared" si="1065"/>
        <v>149.88579999999996</v>
      </c>
      <c r="AB145" s="33">
        <f t="shared" si="1066"/>
        <v>11466.263699999998</v>
      </c>
      <c r="AC145" s="35">
        <v>1</v>
      </c>
      <c r="AD145" s="32" t="str">
        <f t="shared" si="942"/>
        <v>TXN</v>
      </c>
      <c r="AE145" s="33">
        <f t="shared" si="943"/>
        <v>238.2363</v>
      </c>
      <c r="AF145" s="36" t="e">
        <f t="shared" si="1040"/>
        <v>#REF!</v>
      </c>
      <c r="AG145" s="890" t="e">
        <f t="shared" si="1055"/>
        <v>#REF!</v>
      </c>
      <c r="AH145" s="208" t="s">
        <v>479</v>
      </c>
      <c r="AI145" s="240">
        <f t="shared" si="1041"/>
        <v>0.12884400124447973</v>
      </c>
      <c r="AJ145" s="11">
        <f t="shared" si="1044"/>
        <v>3</v>
      </c>
      <c r="AK145" s="11"/>
      <c r="AL145" s="11"/>
      <c r="AM145" s="11"/>
      <c r="AN145" s="11"/>
      <c r="AO145" s="11"/>
      <c r="AP145" s="11"/>
      <c r="AQ145" s="11" t="str">
        <f>'Update Stock Prices'!Q145</f>
        <v>big</v>
      </c>
      <c r="AR145" s="11"/>
      <c r="AS145" s="11"/>
      <c r="AT145" s="1142">
        <v>100</v>
      </c>
      <c r="AU145" s="768">
        <v>41957</v>
      </c>
      <c r="AV145" s="238">
        <f ca="1">DATEDIF(AU145,A4,"D")</f>
        <v>815</v>
      </c>
      <c r="AW145" s="811">
        <f ca="1">AV145/365.25</f>
        <v>2.2313483915126624</v>
      </c>
      <c r="AX145" s="893"/>
      <c r="AZ145" s="916">
        <v>10000</v>
      </c>
      <c r="BA145" s="641">
        <f>AZ145/AV165</f>
        <v>14.388489208633093</v>
      </c>
      <c r="BD145" s="886"/>
      <c r="BG145" s="236"/>
      <c r="BK145" s="11"/>
      <c r="BS145" s="420" t="str">
        <f t="shared" si="715"/>
        <v>TXN</v>
      </c>
      <c r="BT145" s="425">
        <f t="shared" si="716"/>
        <v>3.1141999999999999</v>
      </c>
      <c r="BU145" s="19">
        <f t="shared" si="717"/>
        <v>76.5</v>
      </c>
      <c r="BV145" s="19">
        <f t="shared" si="718"/>
        <v>238.2363</v>
      </c>
      <c r="BW145" s="539">
        <f t="shared" si="719"/>
        <v>2</v>
      </c>
      <c r="BX145" s="19">
        <f t="shared" si="720"/>
        <v>6.2283999999999997</v>
      </c>
      <c r="BY145" s="10">
        <f t="shared" si="721"/>
        <v>8.141699346405229E-2</v>
      </c>
      <c r="BZ145" s="10">
        <f t="shared" si="722"/>
        <v>3.1956169934640521</v>
      </c>
      <c r="CA145" s="539">
        <f t="shared" si="723"/>
        <v>244.46469999999999</v>
      </c>
      <c r="CB145" s="19">
        <f t="shared" si="724"/>
        <v>6.3912339869281043</v>
      </c>
      <c r="CC145" s="10">
        <f t="shared" si="725"/>
        <v>8.3545542312785673E-2</v>
      </c>
      <c r="CD145" s="10">
        <f t="shared" si="726"/>
        <v>3.2791625357768379</v>
      </c>
      <c r="CE145" s="539">
        <f t="shared" si="727"/>
        <v>250.85593398692811</v>
      </c>
      <c r="CF145" s="19">
        <f t="shared" si="728"/>
        <v>6.5583250715536758</v>
      </c>
      <c r="CG145" s="10">
        <f t="shared" si="729"/>
        <v>8.5729739497433677E-2</v>
      </c>
      <c r="CH145" s="10">
        <f t="shared" si="730"/>
        <v>3.3648922752742716</v>
      </c>
      <c r="CI145" s="539">
        <f t="shared" si="731"/>
        <v>257.41425905848178</v>
      </c>
      <c r="CJ145" s="19">
        <f t="shared" si="732"/>
        <v>6.7297845505485432</v>
      </c>
      <c r="CK145" s="10">
        <f t="shared" si="733"/>
        <v>8.7971039876451551E-2</v>
      </c>
      <c r="CL145" s="10">
        <f t="shared" si="734"/>
        <v>3.4528633151507231</v>
      </c>
      <c r="CM145" s="539">
        <f t="shared" si="735"/>
        <v>264.14404360903029</v>
      </c>
      <c r="CN145" s="19">
        <f t="shared" si="736"/>
        <v>6.9057266303014462</v>
      </c>
      <c r="CO145" s="10">
        <f t="shared" si="737"/>
        <v>9.0270936343809755E-2</v>
      </c>
      <c r="CP145" s="10">
        <f t="shared" si="738"/>
        <v>3.543134251494533</v>
      </c>
      <c r="CQ145" s="539">
        <f t="shared" si="739"/>
        <v>271.04977023933179</v>
      </c>
      <c r="CR145" s="19">
        <f t="shared" si="740"/>
        <v>7.086268502989066</v>
      </c>
      <c r="CS145" s="10">
        <f t="shared" si="741"/>
        <v>9.2630960823386482E-2</v>
      </c>
      <c r="CT145" s="10">
        <f t="shared" si="742"/>
        <v>3.6357652123179194</v>
      </c>
      <c r="CU145" s="539">
        <f t="shared" si="743"/>
        <v>278.13603874232081</v>
      </c>
      <c r="CV145" s="19">
        <f t="shared" si="744"/>
        <v>7.2715304246358388</v>
      </c>
      <c r="CW145" s="10">
        <f t="shared" si="745"/>
        <v>9.5052685289357369E-2</v>
      </c>
      <c r="CX145" s="10">
        <f t="shared" si="746"/>
        <v>3.7308178976072766</v>
      </c>
      <c r="CY145" s="539">
        <f t="shared" si="747"/>
        <v>285.40756916695665</v>
      </c>
      <c r="CZ145" s="19">
        <f t="shared" si="748"/>
        <v>7.4616357952145531</v>
      </c>
      <c r="DA145" s="10">
        <f t="shared" si="749"/>
        <v>9.7537722813262132E-2</v>
      </c>
      <c r="DB145" s="10">
        <f t="shared" si="750"/>
        <v>3.8283556204205387</v>
      </c>
      <c r="DC145" s="539">
        <f t="shared" si="751"/>
        <v>292.86920496217118</v>
      </c>
      <c r="DD145" s="19">
        <f t="shared" si="752"/>
        <v>7.6567112408410773</v>
      </c>
      <c r="DE145" s="10">
        <f t="shared" si="753"/>
        <v>0.10008772863844545</v>
      </c>
      <c r="DF145" s="10">
        <f t="shared" si="754"/>
        <v>3.9284433490589841</v>
      </c>
      <c r="DG145" s="539">
        <f t="shared" si="755"/>
        <v>300.52591620301229</v>
      </c>
      <c r="DH145" s="19">
        <f t="shared" si="756"/>
        <v>7.8568866981179681</v>
      </c>
      <c r="DI145" s="10">
        <f t="shared" si="757"/>
        <v>0.10270440128258781</v>
      </c>
      <c r="DJ145" s="10">
        <f t="shared" si="758"/>
        <v>4.0311477503415718</v>
      </c>
      <c r="DK145" s="539">
        <f t="shared" si="759"/>
        <v>308.38280290113022</v>
      </c>
      <c r="DL145" s="19">
        <f t="shared" si="760"/>
        <v>8.0622955006831436</v>
      </c>
      <c r="DM145" s="10">
        <f t="shared" si="761"/>
        <v>0.1053894836690607</v>
      </c>
      <c r="DN145" s="10">
        <f t="shared" si="762"/>
        <v>4.1365372340106328</v>
      </c>
      <c r="DO145" s="539">
        <f t="shared" si="763"/>
        <v>316.44509840181342</v>
      </c>
      <c r="DP145" s="19">
        <f t="shared" si="764"/>
        <v>8.2730744680212656</v>
      </c>
      <c r="DQ145" s="10">
        <f t="shared" si="765"/>
        <v>0.10814476428785968</v>
      </c>
      <c r="DR145" s="10">
        <f t="shared" si="766"/>
        <v>4.2446819982984927</v>
      </c>
      <c r="DS145" s="539">
        <f t="shared" si="767"/>
        <v>324.71817286983469</v>
      </c>
      <c r="DT145" s="19">
        <f t="shared" si="768"/>
        <v>8.4893639965969854</v>
      </c>
      <c r="DU145" s="10">
        <f t="shared" si="769"/>
        <v>0.1109720783868887</v>
      </c>
      <c r="DV145" s="10">
        <f t="shared" si="770"/>
        <v>4.3556540766853811</v>
      </c>
      <c r="DW145" s="539">
        <f t="shared" si="771"/>
        <v>333.20753686643167</v>
      </c>
      <c r="DX145" s="19">
        <f t="shared" si="772"/>
        <v>8.7113081533707621</v>
      </c>
      <c r="DY145" s="10">
        <f t="shared" si="773"/>
        <v>0.11387330919438905</v>
      </c>
      <c r="DZ145" s="10">
        <f t="shared" si="774"/>
        <v>4.4695273858797702</v>
      </c>
      <c r="EA145" s="539">
        <f t="shared" si="775"/>
        <v>341.9188450198024</v>
      </c>
      <c r="EB145" s="19">
        <f t="shared" si="776"/>
        <v>8.9390547717595403</v>
      </c>
      <c r="EC145" s="10">
        <f t="shared" si="777"/>
        <v>0.11685038917332732</v>
      </c>
      <c r="ED145" s="10">
        <f t="shared" si="778"/>
        <v>4.5863777750530978</v>
      </c>
      <c r="EE145" s="539">
        <f t="shared" si="779"/>
        <v>350.85789979156198</v>
      </c>
      <c r="EF145" s="19">
        <f t="shared" si="780"/>
        <v>9.1727555501061957</v>
      </c>
      <c r="EG145" s="10">
        <f t="shared" si="781"/>
        <v>0.11990530130857772</v>
      </c>
      <c r="EH145" s="10">
        <f t="shared" si="782"/>
        <v>4.7062830763616752</v>
      </c>
      <c r="EI145" s="539">
        <f t="shared" si="783"/>
        <v>360.03065534166814</v>
      </c>
      <c r="EJ145" s="19">
        <f t="shared" si="784"/>
        <v>9.4125661527233504</v>
      </c>
      <c r="EK145" s="10">
        <f t="shared" si="785"/>
        <v>0.12304008042775622</v>
      </c>
      <c r="EL145" s="10">
        <f t="shared" si="786"/>
        <v>4.8293231567894317</v>
      </c>
      <c r="EM145" s="539">
        <f t="shared" si="787"/>
        <v>369.44322149439154</v>
      </c>
      <c r="EN145" s="19">
        <f t="shared" si="788"/>
        <v>9.6586463135788634</v>
      </c>
      <c r="EO145" s="10">
        <f t="shared" si="789"/>
        <v>0.12625681455658644</v>
      </c>
      <c r="EP145" s="10">
        <f t="shared" si="790"/>
        <v>4.955579971346018</v>
      </c>
      <c r="EQ145" s="539">
        <f t="shared" si="791"/>
        <v>379.10186780797039</v>
      </c>
      <c r="ER145" s="19">
        <f t="shared" si="792"/>
        <v>9.911159942692036</v>
      </c>
      <c r="ES145" s="10">
        <f t="shared" si="793"/>
        <v>0.12955764630969982</v>
      </c>
      <c r="ET145" s="10">
        <f t="shared" si="794"/>
        <v>5.0851376176557181</v>
      </c>
      <c r="EU145" s="539">
        <f t="shared" si="795"/>
        <v>389.01302775066245</v>
      </c>
      <c r="EV145" s="19">
        <f t="shared" si="796"/>
        <v>10.170275235311436</v>
      </c>
      <c r="EW145" s="10">
        <f t="shared" si="797"/>
        <v>0.13294477431779655</v>
      </c>
      <c r="EX145" s="10">
        <f t="shared" si="798"/>
        <v>5.2180823919735149</v>
      </c>
      <c r="EY145" s="539">
        <f t="shared" si="799"/>
        <v>399.18330298597391</v>
      </c>
      <c r="EZ145" s="19">
        <f t="shared" si="800"/>
        <v>10.43616478394703</v>
      </c>
      <c r="FA145" s="10">
        <f t="shared" si="801"/>
        <v>0.13642045469211803</v>
      </c>
      <c r="FB145" s="10">
        <f t="shared" si="802"/>
        <v>5.3545028466656328</v>
      </c>
      <c r="FC145" s="539">
        <f t="shared" si="803"/>
        <v>409.6194677699209</v>
      </c>
      <c r="FD145" s="19">
        <f t="shared" si="804"/>
        <v>10.709005693331266</v>
      </c>
      <c r="FE145" s="10">
        <f t="shared" si="805"/>
        <v>0.13998700252720608</v>
      </c>
      <c r="FF145" s="10">
        <f t="shared" si="806"/>
        <v>5.4944898491928384</v>
      </c>
      <c r="FG145" s="539">
        <f t="shared" si="807"/>
        <v>420.32847346325212</v>
      </c>
      <c r="FH145" s="19">
        <f t="shared" si="808"/>
        <v>10.988979698385677</v>
      </c>
      <c r="FI145" s="10">
        <f t="shared" si="809"/>
        <v>0.14364679344295003</v>
      </c>
      <c r="FJ145" s="10">
        <f t="shared" si="810"/>
        <v>5.6381366426357884</v>
      </c>
      <c r="FK145" s="539">
        <f t="shared" si="811"/>
        <v>431.31745316163779</v>
      </c>
      <c r="FL145" s="19">
        <f t="shared" si="812"/>
        <v>11.276273285271577</v>
      </c>
      <c r="FM145" s="10">
        <f t="shared" si="813"/>
        <v>0.14740226516694871</v>
      </c>
      <c r="FN145" s="10">
        <f t="shared" si="814"/>
        <v>5.7855389078027368</v>
      </c>
      <c r="FO145" s="539">
        <f t="shared" si="815"/>
        <v>442.59372644690939</v>
      </c>
      <c r="FP145" s="19">
        <f t="shared" si="816"/>
        <v>11.571077815605474</v>
      </c>
      <c r="FQ145" s="10">
        <f t="shared" si="817"/>
        <v>0.15125591915824149</v>
      </c>
      <c r="FR145" s="10">
        <f t="shared" si="818"/>
        <v>5.9367948269609787</v>
      </c>
      <c r="FS145" s="539">
        <f t="shared" si="819"/>
        <v>454.16480426251485</v>
      </c>
      <c r="FT145" s="19">
        <f t="shared" si="820"/>
        <v>11.873589653921957</v>
      </c>
      <c r="FU145" s="10">
        <f t="shared" si="821"/>
        <v>0.15521032227348963</v>
      </c>
      <c r="FV145" s="10">
        <f t="shared" si="822"/>
        <v>6.0920051492344687</v>
      </c>
      <c r="FW145" s="539">
        <f t="shared" si="823"/>
        <v>466.03839391643686</v>
      </c>
      <c r="FX145" s="19">
        <f t="shared" si="824"/>
        <v>12.184010298468937</v>
      </c>
      <c r="FY145" s="10">
        <f t="shared" si="825"/>
        <v>0.15926810847671813</v>
      </c>
      <c r="FZ145" s="10">
        <f t="shared" si="826"/>
        <v>6.2512732577111869</v>
      </c>
      <c r="GA145" s="539">
        <f t="shared" si="827"/>
        <v>478.22240421490579</v>
      </c>
      <c r="GB145" s="19">
        <f t="shared" si="828"/>
        <v>12.502546515422374</v>
      </c>
      <c r="GC145" s="10">
        <f t="shared" si="829"/>
        <v>0.16343198059375652</v>
      </c>
      <c r="GD145" s="10">
        <f t="shared" si="830"/>
        <v>6.4147052383049434</v>
      </c>
      <c r="GE145" s="539">
        <f t="shared" si="831"/>
        <v>490.72495073032815</v>
      </c>
      <c r="GF145" s="19">
        <f t="shared" si="832"/>
        <v>12.829410476609887</v>
      </c>
      <c r="GG145" s="10">
        <f t="shared" si="833"/>
        <v>0.16770471211254753</v>
      </c>
      <c r="GH145" s="10">
        <f t="shared" si="834"/>
        <v>6.5824099504174907</v>
      </c>
      <c r="GI145" s="539">
        <f t="shared" si="835"/>
        <v>503.55436120693804</v>
      </c>
      <c r="GJ145" s="19">
        <f t="shared" si="836"/>
        <v>13.164819900834981</v>
      </c>
      <c r="GK145" s="10">
        <f t="shared" si="837"/>
        <v>0.17208914903052264</v>
      </c>
      <c r="GL145" s="10">
        <f t="shared" si="838"/>
        <v>6.7544990994480134</v>
      </c>
      <c r="GM145" s="539">
        <f t="shared" si="839"/>
        <v>516.71918110777301</v>
      </c>
      <c r="GN145" s="19">
        <f t="shared" si="840"/>
        <v>13.508998198896027</v>
      </c>
      <c r="GO145" s="10">
        <f t="shared" si="841"/>
        <v>0.17658821175027486</v>
      </c>
      <c r="GP145" s="10">
        <f t="shared" si="842"/>
        <v>6.9310873111982882</v>
      </c>
      <c r="GQ145" s="539">
        <f t="shared" si="843"/>
        <v>530.22817930666906</v>
      </c>
      <c r="GR145" s="19">
        <f t="shared" si="844"/>
        <v>13.862174622396576</v>
      </c>
      <c r="GS145" s="10">
        <f t="shared" si="845"/>
        <v>0.18120489702479184</v>
      </c>
      <c r="GT145" s="10">
        <f t="shared" si="846"/>
        <v>7.1122922082230797</v>
      </c>
      <c r="GU145" s="539">
        <f t="shared" si="847"/>
        <v>544.0903539290656</v>
      </c>
      <c r="GV145" s="19">
        <f t="shared" si="848"/>
        <v>14.224584416446159</v>
      </c>
      <c r="GW145" s="10">
        <f t="shared" si="849"/>
        <v>0.18594227995354456</v>
      </c>
      <c r="GX145" s="10">
        <f t="shared" si="850"/>
        <v>7.2982344881766243</v>
      </c>
      <c r="GY145" s="539">
        <f t="shared" si="851"/>
        <v>558.31493834551179</v>
      </c>
      <c r="GZ145" s="19">
        <f t="shared" si="852"/>
        <v>14.596468976353249</v>
      </c>
      <c r="HA145" s="10">
        <f t="shared" si="853"/>
        <v>0.19080351603076143</v>
      </c>
      <c r="HB145" s="10">
        <f t="shared" si="854"/>
        <v>7.4890380042073854</v>
      </c>
      <c r="HC145" s="539">
        <f t="shared" si="855"/>
        <v>572.911407321865</v>
      </c>
      <c r="HD145" s="19">
        <f t="shared" si="856"/>
        <v>14.978076008414771</v>
      </c>
      <c r="HE145" s="10">
        <f t="shared" si="857"/>
        <v>0.19579184324725191</v>
      </c>
      <c r="HF145" s="10">
        <f t="shared" si="858"/>
        <v>7.6848298474546377</v>
      </c>
      <c r="HG145" s="539">
        <f t="shared" si="859"/>
        <v>587.88948333027975</v>
      </c>
      <c r="HH145" s="19">
        <f t="shared" si="860"/>
        <v>15.369659694909275</v>
      </c>
      <c r="HI145" s="10">
        <f t="shared" si="861"/>
        <v>0.20091058424718006</v>
      </c>
      <c r="HJ145" s="10">
        <f t="shared" si="862"/>
        <v>7.8857404317018176</v>
      </c>
      <c r="HK145" s="539">
        <f t="shared" si="863"/>
        <v>603.25914302518902</v>
      </c>
      <c r="HL145" s="19">
        <f t="shared" si="864"/>
        <v>15.771480863403635</v>
      </c>
      <c r="HM145" s="10">
        <f t="shared" si="865"/>
        <v>0.206163148541224</v>
      </c>
      <c r="HN145" s="10">
        <f t="shared" si="866"/>
        <v>8.0919035802430415</v>
      </c>
      <c r="HO145" s="539">
        <f t="shared" si="867"/>
        <v>619.03062388859269</v>
      </c>
      <c r="HP145" s="19">
        <f t="shared" si="868"/>
        <v>16.183807160486083</v>
      </c>
      <c r="HQ145" s="10">
        <f t="shared" si="869"/>
        <v>0.21155303477759585</v>
      </c>
      <c r="HR145" s="10">
        <f t="shared" si="870"/>
        <v>8.3034566150206377</v>
      </c>
      <c r="HS145" s="539">
        <f t="shared" si="871"/>
        <v>635.21443104907883</v>
      </c>
      <c r="HT145" s="19">
        <f t="shared" si="872"/>
        <v>16.606913230041275</v>
      </c>
      <c r="HU145" s="10">
        <f t="shared" si="873"/>
        <v>0.21708383307243498</v>
      </c>
      <c r="HV145" s="10">
        <f t="shared" si="874"/>
        <v>8.5205404480930724</v>
      </c>
      <c r="HW145" s="539">
        <f t="shared" si="875"/>
        <v>651.82134427912001</v>
      </c>
      <c r="HX145" s="19">
        <f t="shared" si="876"/>
        <v>17.041080896186145</v>
      </c>
      <c r="HY145" s="10">
        <f t="shared" si="877"/>
        <v>0.22275922740112608</v>
      </c>
      <c r="HZ145" s="10">
        <f t="shared" si="878"/>
        <v>8.7432996754941978</v>
      </c>
      <c r="IA145" s="539">
        <f t="shared" si="879"/>
        <v>668.86242517530616</v>
      </c>
      <c r="IB145" s="19">
        <f t="shared" si="880"/>
        <v>17.486599350988396</v>
      </c>
    </row>
    <row r="146" spans="1:236" ht="13.5" thickBot="1">
      <c r="A146" s="11"/>
      <c r="B146" s="20"/>
      <c r="C146" s="826" t="s">
        <v>2346</v>
      </c>
      <c r="D146" s="32" t="s">
        <v>310</v>
      </c>
      <c r="E146" s="399">
        <f t="shared" si="1056"/>
        <v>6.0729000000000006</v>
      </c>
      <c r="F146" s="242">
        <v>2.0729000000000002</v>
      </c>
      <c r="G146" s="35">
        <f>'Update Stock Prices'!S146</f>
        <v>3063909774.43609</v>
      </c>
      <c r="H146" s="992">
        <f t="shared" si="1060"/>
        <v>6.7655386503067491E-10</v>
      </c>
      <c r="I146" s="33">
        <f>'Update Stock Prices'!D146</f>
        <v>66.5</v>
      </c>
      <c r="J146" s="33">
        <f t="shared" si="1039"/>
        <v>137.84785000000002</v>
      </c>
      <c r="K146" s="30">
        <v>140.26</v>
      </c>
      <c r="L146" s="33">
        <f t="shared" si="1061"/>
        <v>-2.4121499999999685</v>
      </c>
      <c r="M146" s="36">
        <f t="shared" si="1062"/>
        <v>-1.7197704263510399E-2</v>
      </c>
      <c r="N146" s="33">
        <f t="shared" si="1063"/>
        <v>67.66365960731342</v>
      </c>
      <c r="O146" s="35">
        <f t="shared" si="932"/>
        <v>4</v>
      </c>
      <c r="P146" s="33">
        <f>IF(($B$11-$B$12)-(O146*I146)&lt;0,0,($B$11-$B$12)-(O146*I146))</f>
        <v>55.009999999999991</v>
      </c>
      <c r="Q146" s="30">
        <f>4*0.5</f>
        <v>2</v>
      </c>
      <c r="R146" s="33">
        <f t="shared" si="1057"/>
        <v>1.1350581793292267E-2</v>
      </c>
      <c r="S146" s="33">
        <f t="shared" si="935"/>
        <v>4.1458000000000004</v>
      </c>
      <c r="T146" s="33">
        <f t="shared" si="1058"/>
        <v>0.34548333333333336</v>
      </c>
      <c r="U146" s="33" t="s">
        <v>54</v>
      </c>
      <c r="V146" s="36">
        <f t="shared" si="937"/>
        <v>3.007518796992481E-2</v>
      </c>
      <c r="W146" s="36">
        <f t="shared" si="1053"/>
        <v>2.9557963781548558E-2</v>
      </c>
      <c r="X146" s="33">
        <f>12*((E146*Q146)/12-T146)</f>
        <v>8</v>
      </c>
      <c r="Y146" s="33">
        <f t="shared" si="654"/>
        <v>1.0364500000000001</v>
      </c>
      <c r="Z146" s="861">
        <f t="shared" si="1059"/>
        <v>0</v>
      </c>
      <c r="AA146" s="861">
        <f t="shared" si="1065"/>
        <v>130.9271</v>
      </c>
      <c r="AB146" s="33">
        <f t="shared" si="1066"/>
        <v>8706.6521499999999</v>
      </c>
      <c r="AC146" s="35">
        <v>1</v>
      </c>
      <c r="AD146" s="32" t="str">
        <f t="shared" si="942"/>
        <v>WMT</v>
      </c>
      <c r="AE146" s="33">
        <f t="shared" si="943"/>
        <v>137.84785000000002</v>
      </c>
      <c r="AF146" s="36" t="e">
        <f t="shared" si="1040"/>
        <v>#REF!</v>
      </c>
      <c r="AG146" s="890" t="e">
        <f t="shared" si="1055"/>
        <v>#REF!</v>
      </c>
      <c r="AH146" s="208" t="s">
        <v>311</v>
      </c>
      <c r="AI146" s="240">
        <f t="shared" si="1041"/>
        <v>4.3136839842969843E-2</v>
      </c>
      <c r="AJ146" s="11">
        <f t="shared" si="1044"/>
        <v>3</v>
      </c>
      <c r="AK146" s="11">
        <v>1</v>
      </c>
      <c r="AL146" s="11"/>
      <c r="AM146" s="11"/>
      <c r="AN146" s="11"/>
      <c r="AO146" s="11">
        <v>1</v>
      </c>
      <c r="AP146" s="11"/>
      <c r="AQ146" s="11" t="str">
        <f>'Update Stock Prices'!Q146</f>
        <v>mega</v>
      </c>
      <c r="AR146" s="11"/>
      <c r="AS146" s="11"/>
      <c r="AT146" s="800"/>
      <c r="AU146" s="219"/>
      <c r="AY146" s="11"/>
      <c r="AZ146" s="224"/>
      <c r="BA146" s="236"/>
      <c r="BB146" s="983" t="s">
        <v>1278</v>
      </c>
      <c r="BC146" s="639"/>
      <c r="BG146" s="236"/>
      <c r="BK146" s="11"/>
      <c r="BS146" s="420" t="str">
        <f t="shared" si="715"/>
        <v>WMT</v>
      </c>
      <c r="BT146" s="425">
        <f t="shared" si="716"/>
        <v>2.0729000000000002</v>
      </c>
      <c r="BU146" s="19">
        <f t="shared" si="717"/>
        <v>66.5</v>
      </c>
      <c r="BV146" s="19">
        <f t="shared" si="718"/>
        <v>137.84785000000002</v>
      </c>
      <c r="BW146" s="539">
        <f t="shared" si="719"/>
        <v>2</v>
      </c>
      <c r="BX146" s="19">
        <f t="shared" si="720"/>
        <v>4.1458000000000004</v>
      </c>
      <c r="BY146" s="10">
        <f t="shared" si="721"/>
        <v>6.2342857142857151E-2</v>
      </c>
      <c r="BZ146" s="10">
        <f t="shared" si="722"/>
        <v>2.1352428571428574</v>
      </c>
      <c r="CA146" s="539">
        <f t="shared" si="723"/>
        <v>141.99365000000003</v>
      </c>
      <c r="CB146" s="19">
        <f t="shared" si="724"/>
        <v>4.2704857142857149</v>
      </c>
      <c r="CC146" s="10">
        <f t="shared" si="725"/>
        <v>6.4217830290010755E-2</v>
      </c>
      <c r="CD146" s="10">
        <f t="shared" si="726"/>
        <v>2.1994606874328682</v>
      </c>
      <c r="CE146" s="539">
        <f t="shared" si="727"/>
        <v>146.26413571428574</v>
      </c>
      <c r="CF146" s="19">
        <f t="shared" si="728"/>
        <v>4.3989213748657363</v>
      </c>
      <c r="CG146" s="10">
        <f t="shared" si="729"/>
        <v>6.6149193607003554E-2</v>
      </c>
      <c r="CH146" s="10">
        <f t="shared" si="730"/>
        <v>2.2656098810398717</v>
      </c>
      <c r="CI146" s="539">
        <f t="shared" si="731"/>
        <v>150.66305708915147</v>
      </c>
      <c r="CJ146" s="19">
        <f t="shared" si="732"/>
        <v>4.5312197620797434</v>
      </c>
      <c r="CK146" s="10">
        <f t="shared" si="733"/>
        <v>6.8138643038793134E-2</v>
      </c>
      <c r="CL146" s="10">
        <f t="shared" si="734"/>
        <v>2.3337485240786648</v>
      </c>
      <c r="CM146" s="539">
        <f t="shared" si="735"/>
        <v>155.19427685123122</v>
      </c>
      <c r="CN146" s="19">
        <f t="shared" si="736"/>
        <v>4.6674970481573297</v>
      </c>
      <c r="CO146" s="10">
        <f t="shared" si="737"/>
        <v>7.0187925536200443E-2</v>
      </c>
      <c r="CP146" s="10">
        <f t="shared" si="738"/>
        <v>2.4039364496148652</v>
      </c>
      <c r="CQ146" s="539">
        <f t="shared" si="739"/>
        <v>159.86177389938854</v>
      </c>
      <c r="CR146" s="19">
        <f t="shared" si="740"/>
        <v>4.8078728992297304</v>
      </c>
      <c r="CS146" s="10">
        <f t="shared" si="741"/>
        <v>7.2298840589920754E-2</v>
      </c>
      <c r="CT146" s="10">
        <f t="shared" si="742"/>
        <v>2.4762352902047859</v>
      </c>
      <c r="CU146" s="539">
        <f t="shared" si="743"/>
        <v>164.66964679861826</v>
      </c>
      <c r="CV146" s="19">
        <f t="shared" si="744"/>
        <v>4.9524705804095719</v>
      </c>
      <c r="CW146" s="10">
        <f t="shared" si="745"/>
        <v>7.4473241810670249E-2</v>
      </c>
      <c r="CX146" s="10">
        <f t="shared" si="746"/>
        <v>2.5507085320154563</v>
      </c>
      <c r="CY146" s="539">
        <f t="shared" si="747"/>
        <v>169.62211737902786</v>
      </c>
      <c r="CZ146" s="19">
        <f t="shared" si="748"/>
        <v>5.1014170640309127</v>
      </c>
      <c r="DA146" s="10">
        <f t="shared" si="749"/>
        <v>7.6713038556855823E-2</v>
      </c>
      <c r="DB146" s="10">
        <f t="shared" si="750"/>
        <v>2.6274215705723121</v>
      </c>
      <c r="DC146" s="539">
        <f t="shared" si="751"/>
        <v>174.72353444305875</v>
      </c>
      <c r="DD146" s="19">
        <f t="shared" si="752"/>
        <v>5.2548431411446241</v>
      </c>
      <c r="DE146" s="10">
        <f t="shared" si="753"/>
        <v>7.9020197611197357E-2</v>
      </c>
      <c r="DF146" s="10">
        <f t="shared" si="754"/>
        <v>2.7064417681835096</v>
      </c>
      <c r="DG146" s="539">
        <f t="shared" si="755"/>
        <v>179.97837758420337</v>
      </c>
      <c r="DH146" s="19">
        <f t="shared" si="756"/>
        <v>5.4128835363670191</v>
      </c>
      <c r="DI146" s="10">
        <f t="shared" si="757"/>
        <v>8.1396744907774723E-2</v>
      </c>
      <c r="DJ146" s="10">
        <f t="shared" si="758"/>
        <v>2.7878385130912844</v>
      </c>
      <c r="DK146" s="539">
        <f t="shared" si="759"/>
        <v>185.39126112057042</v>
      </c>
      <c r="DL146" s="19">
        <f t="shared" si="760"/>
        <v>5.5756770261825688</v>
      </c>
      <c r="DM146" s="10">
        <f t="shared" si="761"/>
        <v>8.3844767311016075E-2</v>
      </c>
      <c r="DN146" s="10">
        <f t="shared" si="762"/>
        <v>2.8716832804023005</v>
      </c>
      <c r="DO146" s="539">
        <f t="shared" si="763"/>
        <v>190.96693814675299</v>
      </c>
      <c r="DP146" s="19">
        <f t="shared" si="764"/>
        <v>5.743366560804601</v>
      </c>
      <c r="DQ146" s="10">
        <f t="shared" si="765"/>
        <v>8.6366414448189488E-2</v>
      </c>
      <c r="DR146" s="10">
        <f t="shared" si="766"/>
        <v>2.95804969485049</v>
      </c>
      <c r="DS146" s="539">
        <f t="shared" si="767"/>
        <v>196.71030470755758</v>
      </c>
      <c r="DT146" s="19">
        <f t="shared" si="768"/>
        <v>5.9160993897009799</v>
      </c>
      <c r="DU146" s="10">
        <f t="shared" si="769"/>
        <v>8.896390059700722E-2</v>
      </c>
      <c r="DV146" s="10">
        <f t="shared" si="770"/>
        <v>3.0470135954474973</v>
      </c>
      <c r="DW146" s="539">
        <f t="shared" si="771"/>
        <v>202.62640409725856</v>
      </c>
      <c r="DX146" s="19">
        <f t="shared" si="772"/>
        <v>6.0940271908949946</v>
      </c>
      <c r="DY146" s="10">
        <f t="shared" si="773"/>
        <v>9.1639506629999923E-2</v>
      </c>
      <c r="DZ146" s="10">
        <f t="shared" si="774"/>
        <v>3.1386531020774973</v>
      </c>
      <c r="EA146" s="539">
        <f t="shared" si="775"/>
        <v>208.72043128815358</v>
      </c>
      <c r="EB146" s="19">
        <f t="shared" si="776"/>
        <v>6.2773062041549945</v>
      </c>
      <c r="EC146" s="10">
        <f t="shared" si="777"/>
        <v>9.4395582017368335E-2</v>
      </c>
      <c r="ED146" s="10">
        <f t="shared" si="778"/>
        <v>3.2330486840948658</v>
      </c>
      <c r="EE146" s="539">
        <f t="shared" si="779"/>
        <v>214.99773749230857</v>
      </c>
      <c r="EF146" s="19">
        <f t="shared" si="780"/>
        <v>6.4660973681897316</v>
      </c>
      <c r="EG146" s="10">
        <f t="shared" si="781"/>
        <v>9.7234546890071147E-2</v>
      </c>
      <c r="EH146" s="10">
        <f t="shared" si="782"/>
        <v>3.3302832309849371</v>
      </c>
      <c r="EI146" s="539">
        <f t="shared" si="783"/>
        <v>221.46383486049831</v>
      </c>
      <c r="EJ146" s="19">
        <f t="shared" si="784"/>
        <v>6.6605664619698741</v>
      </c>
      <c r="EK146" s="10">
        <f t="shared" si="785"/>
        <v>0.10015889416496052</v>
      </c>
      <c r="EL146" s="10">
        <f t="shared" si="786"/>
        <v>3.4304421251498978</v>
      </c>
      <c r="EM146" s="539">
        <f t="shared" si="787"/>
        <v>228.1244013224682</v>
      </c>
      <c r="EN146" s="19">
        <f t="shared" si="788"/>
        <v>6.8608842502997955</v>
      </c>
      <c r="EO146" s="10">
        <f t="shared" si="789"/>
        <v>0.10317119173383152</v>
      </c>
      <c r="EP146" s="10">
        <f t="shared" si="790"/>
        <v>3.5336133168837294</v>
      </c>
      <c r="EQ146" s="539">
        <f t="shared" si="791"/>
        <v>234.98528557276799</v>
      </c>
      <c r="ER146" s="19">
        <f t="shared" si="792"/>
        <v>7.0672266337674587</v>
      </c>
      <c r="ES146" s="10">
        <f t="shared" si="793"/>
        <v>0.10627408471830765</v>
      </c>
      <c r="ET146" s="10">
        <f t="shared" si="794"/>
        <v>3.6398874016020368</v>
      </c>
      <c r="EU146" s="539">
        <f t="shared" si="795"/>
        <v>242.05251220653545</v>
      </c>
      <c r="EV146" s="19">
        <f t="shared" si="796"/>
        <v>7.2797748032040737</v>
      </c>
      <c r="EW146" s="10">
        <f t="shared" si="797"/>
        <v>0.10947029779254246</v>
      </c>
      <c r="EX146" s="10">
        <f t="shared" si="798"/>
        <v>3.7493576993945794</v>
      </c>
      <c r="EY146" s="539">
        <f t="shared" si="799"/>
        <v>249.33228700973953</v>
      </c>
      <c r="EZ146" s="19">
        <f t="shared" si="800"/>
        <v>7.4987153987891588</v>
      </c>
      <c r="FA146" s="10">
        <f t="shared" si="801"/>
        <v>0.11276263757577683</v>
      </c>
      <c r="FB146" s="10">
        <f t="shared" si="802"/>
        <v>3.8621203369703561</v>
      </c>
      <c r="FC146" s="539">
        <f t="shared" si="803"/>
        <v>256.83100240852866</v>
      </c>
      <c r="FD146" s="19">
        <f t="shared" si="804"/>
        <v>7.7242406739407121</v>
      </c>
      <c r="FE146" s="10">
        <f t="shared" si="805"/>
        <v>0.11615399509685281</v>
      </c>
      <c r="FF146" s="10">
        <f t="shared" si="806"/>
        <v>3.9782743320672087</v>
      </c>
      <c r="FG146" s="539">
        <f t="shared" si="807"/>
        <v>264.55524308246936</v>
      </c>
      <c r="FH146" s="19">
        <f t="shared" si="808"/>
        <v>7.9565486641344174</v>
      </c>
      <c r="FI146" s="10">
        <f t="shared" si="809"/>
        <v>0.11964734833284839</v>
      </c>
      <c r="FJ146" s="10">
        <f t="shared" si="810"/>
        <v>4.0979216804000567</v>
      </c>
      <c r="FK146" s="539">
        <f t="shared" si="811"/>
        <v>272.51179174660376</v>
      </c>
      <c r="FL146" s="19">
        <f t="shared" si="812"/>
        <v>8.1958433608001133</v>
      </c>
      <c r="FM146" s="10">
        <f t="shared" si="813"/>
        <v>0.12324576482406185</v>
      </c>
      <c r="FN146" s="10">
        <f t="shared" si="814"/>
        <v>4.2211674452241184</v>
      </c>
      <c r="FO146" s="539">
        <f t="shared" si="815"/>
        <v>280.70763510740386</v>
      </c>
      <c r="FP146" s="19">
        <f t="shared" si="816"/>
        <v>8.4423348904482367</v>
      </c>
      <c r="FQ146" s="10">
        <f t="shared" si="817"/>
        <v>0.12695240436764266</v>
      </c>
      <c r="FR146" s="10">
        <f t="shared" si="818"/>
        <v>4.348119849591761</v>
      </c>
      <c r="FS146" s="539">
        <f t="shared" si="819"/>
        <v>289.14996999785211</v>
      </c>
      <c r="FT146" s="19">
        <f t="shared" si="820"/>
        <v>8.696239699183522</v>
      </c>
      <c r="FU146" s="10">
        <f t="shared" si="821"/>
        <v>0.13077052179223342</v>
      </c>
      <c r="FV146" s="10">
        <f t="shared" si="822"/>
        <v>4.4788903713839945</v>
      </c>
      <c r="FW146" s="539">
        <f t="shared" si="823"/>
        <v>297.84620969703565</v>
      </c>
      <c r="FX146" s="19">
        <f t="shared" si="824"/>
        <v>8.957780742767989</v>
      </c>
      <c r="FY146" s="10">
        <f t="shared" si="825"/>
        <v>0.13470346981605999</v>
      </c>
      <c r="FZ146" s="10">
        <f t="shared" si="826"/>
        <v>4.6135938412000543</v>
      </c>
      <c r="GA146" s="539">
        <f t="shared" si="827"/>
        <v>306.80399043980361</v>
      </c>
      <c r="GB146" s="19">
        <f t="shared" si="828"/>
        <v>9.2271876824001087</v>
      </c>
      <c r="GC146" s="10">
        <f t="shared" si="829"/>
        <v>0.13875470199097908</v>
      </c>
      <c r="GD146" s="10">
        <f t="shared" si="830"/>
        <v>4.7523485431910331</v>
      </c>
      <c r="GE146" s="539">
        <f t="shared" si="831"/>
        <v>316.0311781222037</v>
      </c>
      <c r="GF146" s="19">
        <f t="shared" si="832"/>
        <v>9.5046970863820661</v>
      </c>
      <c r="GG146" s="10">
        <f t="shared" si="833"/>
        <v>0.14292777573506865</v>
      </c>
      <c r="GH146" s="10">
        <f t="shared" si="834"/>
        <v>4.8952763189261015</v>
      </c>
      <c r="GI146" s="539">
        <f t="shared" si="835"/>
        <v>325.53587520858576</v>
      </c>
      <c r="GJ146" s="19">
        <f t="shared" si="836"/>
        <v>9.790552637852203</v>
      </c>
      <c r="GK146" s="10">
        <f t="shared" si="837"/>
        <v>0.1472263554564241</v>
      </c>
      <c r="GL146" s="10">
        <f t="shared" si="838"/>
        <v>5.0425026743825256</v>
      </c>
      <c r="GM146" s="539">
        <f t="shared" si="839"/>
        <v>335.32642784643798</v>
      </c>
      <c r="GN146" s="19">
        <f t="shared" si="840"/>
        <v>10.085005348765051</v>
      </c>
      <c r="GO146" s="10">
        <f t="shared" si="841"/>
        <v>0.15165421577090302</v>
      </c>
      <c r="GP146" s="10">
        <f t="shared" si="842"/>
        <v>5.1941568901534287</v>
      </c>
      <c r="GQ146" s="539">
        <f t="shared" si="843"/>
        <v>345.41143319520302</v>
      </c>
      <c r="GR146" s="19">
        <f t="shared" si="844"/>
        <v>10.388313780306857</v>
      </c>
      <c r="GS146" s="10">
        <f t="shared" si="845"/>
        <v>0.15621524481664448</v>
      </c>
      <c r="GT146" s="10">
        <f t="shared" si="846"/>
        <v>5.3503721349700735</v>
      </c>
      <c r="GU146" s="539">
        <f t="shared" si="847"/>
        <v>355.79974697550989</v>
      </c>
      <c r="GV146" s="19">
        <f t="shared" si="848"/>
        <v>10.700744269940147</v>
      </c>
      <c r="GW146" s="10">
        <f t="shared" si="849"/>
        <v>0.1609134476682729</v>
      </c>
      <c r="GX146" s="10">
        <f t="shared" si="850"/>
        <v>5.5112855826383464</v>
      </c>
      <c r="GY146" s="539">
        <f t="shared" si="851"/>
        <v>366.50049124545006</v>
      </c>
      <c r="GZ146" s="19">
        <f t="shared" si="852"/>
        <v>11.022571165276693</v>
      </c>
      <c r="HA146" s="10">
        <f t="shared" si="853"/>
        <v>0.16575294985378486</v>
      </c>
      <c r="HB146" s="10">
        <f t="shared" si="854"/>
        <v>5.6770385324921318</v>
      </c>
      <c r="HC146" s="539">
        <f t="shared" si="855"/>
        <v>377.52306241072677</v>
      </c>
      <c r="HD146" s="19">
        <f t="shared" si="856"/>
        <v>11.354077064984264</v>
      </c>
      <c r="HE146" s="10">
        <f t="shared" si="857"/>
        <v>0.17073800097720698</v>
      </c>
      <c r="HF146" s="10">
        <f t="shared" si="858"/>
        <v>5.8477765334693386</v>
      </c>
      <c r="HG146" s="539">
        <f t="shared" si="859"/>
        <v>388.87713947571103</v>
      </c>
      <c r="HH146" s="19">
        <f t="shared" si="860"/>
        <v>11.695553066938677</v>
      </c>
      <c r="HI146" s="10">
        <f t="shared" si="861"/>
        <v>0.17587297845020566</v>
      </c>
      <c r="HJ146" s="10">
        <f t="shared" si="862"/>
        <v>6.0236495119195439</v>
      </c>
      <c r="HK146" s="539">
        <f t="shared" si="863"/>
        <v>400.57269254264969</v>
      </c>
      <c r="HL146" s="19">
        <f t="shared" si="864"/>
        <v>12.047299023839088</v>
      </c>
      <c r="HM146" s="10">
        <f t="shared" si="865"/>
        <v>0.18116239133592613</v>
      </c>
      <c r="HN146" s="10">
        <f t="shared" si="866"/>
        <v>6.2048119032554698</v>
      </c>
      <c r="HO146" s="539">
        <f t="shared" si="867"/>
        <v>412.61999156648875</v>
      </c>
      <c r="HP146" s="19">
        <f t="shared" si="868"/>
        <v>12.40962380651094</v>
      </c>
      <c r="HQ146" s="10">
        <f t="shared" si="869"/>
        <v>0.18661088430843517</v>
      </c>
      <c r="HR146" s="10">
        <f t="shared" si="870"/>
        <v>6.3914227875639051</v>
      </c>
      <c r="HS146" s="539">
        <f t="shared" si="871"/>
        <v>425.02961537299967</v>
      </c>
      <c r="HT146" s="19">
        <f t="shared" si="872"/>
        <v>12.78284557512781</v>
      </c>
      <c r="HU146" s="10">
        <f t="shared" si="873"/>
        <v>0.19222324173124528</v>
      </c>
      <c r="HV146" s="10">
        <f t="shared" si="874"/>
        <v>6.5836460292951502</v>
      </c>
      <c r="HW146" s="539">
        <f t="shared" si="875"/>
        <v>437.81246094812747</v>
      </c>
      <c r="HX146" s="19">
        <f t="shared" si="876"/>
        <v>13.1672920585903</v>
      </c>
      <c r="HY146" s="10">
        <f t="shared" si="877"/>
        <v>0.19800439185850074</v>
      </c>
      <c r="HZ146" s="10">
        <f t="shared" si="878"/>
        <v>6.7816504211536506</v>
      </c>
      <c r="IA146" s="539">
        <f t="shared" si="879"/>
        <v>450.97975300671777</v>
      </c>
      <c r="IB146" s="19">
        <f t="shared" si="880"/>
        <v>13.563300842307301</v>
      </c>
    </row>
    <row r="147" spans="1:236" ht="13.5" thickBot="1">
      <c r="B147" s="19"/>
      <c r="C147" s="20"/>
      <c r="D147" s="13"/>
      <c r="E147" s="11"/>
      <c r="F147" s="20"/>
      <c r="G147" s="20"/>
      <c r="H147" s="1047"/>
      <c r="I147" s="20"/>
      <c r="J147" s="13"/>
      <c r="K147" s="13"/>
      <c r="L147" s="13"/>
      <c r="M147" s="13"/>
      <c r="O147" s="20"/>
      <c r="P147" s="20"/>
      <c r="Q147" s="20"/>
      <c r="R147" s="20"/>
      <c r="S147" s="20"/>
      <c r="T147" s="20"/>
      <c r="U147" s="27"/>
      <c r="AC147" s="20"/>
      <c r="AD147" s="47" t="s">
        <v>35</v>
      </c>
      <c r="AE147" s="20">
        <f>B148</f>
        <v>321.01</v>
      </c>
      <c r="AF147" s="27" t="e">
        <f t="shared" si="1040"/>
        <v>#REF!</v>
      </c>
      <c r="AG147" s="890" t="e">
        <f t="shared" si="1055"/>
        <v>#REF!</v>
      </c>
      <c r="AH147" s="209" t="s">
        <v>212</v>
      </c>
      <c r="AI147" s="25">
        <f>SUM(AE2:AE146)</f>
        <v>66370.613769200019</v>
      </c>
      <c r="AJ147" s="25"/>
      <c r="AK147" s="25"/>
      <c r="AL147" s="25"/>
      <c r="AM147" s="25"/>
      <c r="AN147" s="25"/>
      <c r="AO147" s="25"/>
      <c r="AP147" s="25"/>
      <c r="AQ147" s="25"/>
      <c r="AR147" s="25"/>
      <c r="AS147" s="25"/>
      <c r="AT147" s="800" t="s">
        <v>2240</v>
      </c>
      <c r="AU147" s="376"/>
      <c r="AV147" s="428" t="s">
        <v>1510</v>
      </c>
      <c r="AW147" s="764" t="s">
        <v>434</v>
      </c>
      <c r="AX147" s="765" t="s">
        <v>816</v>
      </c>
      <c r="AY147" s="765" t="s">
        <v>815</v>
      </c>
      <c r="AZ147" s="224" t="s">
        <v>1774</v>
      </c>
      <c r="BA147" s="236" t="s">
        <v>1775</v>
      </c>
      <c r="BB147" s="16" t="s">
        <v>143</v>
      </c>
      <c r="BC147" s="493">
        <v>200</v>
      </c>
      <c r="BG147" s="236"/>
      <c r="BK147" s="11"/>
      <c r="BT147" s="425"/>
      <c r="BU147" s="19"/>
      <c r="BV147" s="19"/>
      <c r="BW147" s="539"/>
      <c r="BX147" s="19"/>
      <c r="CA147" s="539"/>
      <c r="CB147" s="19"/>
      <c r="CE147" s="539"/>
      <c r="CF147" s="19"/>
      <c r="CI147" s="539"/>
      <c r="CJ147" s="19"/>
      <c r="CM147" s="539"/>
      <c r="CN147" s="19"/>
      <c r="CQ147" s="539"/>
      <c r="CR147" s="19"/>
      <c r="CU147" s="539"/>
      <c r="CV147" s="19"/>
      <c r="CY147" s="539"/>
      <c r="CZ147" s="19"/>
      <c r="DC147" s="539"/>
      <c r="DD147" s="19"/>
      <c r="DG147" s="539"/>
      <c r="DH147" s="19"/>
      <c r="DK147" s="539"/>
      <c r="DL147" s="19"/>
      <c r="DO147" s="539"/>
      <c r="DP147" s="19"/>
      <c r="DS147" s="539"/>
      <c r="DT147" s="19"/>
      <c r="DW147" s="539"/>
      <c r="DX147" s="19"/>
      <c r="EA147" s="539"/>
      <c r="EB147" s="19"/>
      <c r="GN147" s="19"/>
      <c r="GQ147" s="539"/>
      <c r="GR147" s="19"/>
      <c r="GU147" s="539"/>
      <c r="GV147" s="19"/>
      <c r="GY147" s="539"/>
      <c r="GZ147" s="19"/>
      <c r="HC147" s="539"/>
      <c r="HD147" s="19"/>
      <c r="HG147" s="539"/>
      <c r="HH147" s="19"/>
      <c r="HK147" s="539"/>
      <c r="HL147" s="19"/>
      <c r="HO147" s="539"/>
      <c r="HP147" s="19"/>
      <c r="HX147" s="19"/>
      <c r="IB147" s="19"/>
    </row>
    <row r="148" spans="1:236">
      <c r="A148" s="19" t="s">
        <v>663</v>
      </c>
      <c r="B148" s="30">
        <v>321.01</v>
      </c>
      <c r="C148" s="20"/>
      <c r="D148" s="420" t="s">
        <v>74</v>
      </c>
      <c r="E148" s="241">
        <f>SUM(F3:F140)</f>
        <v>4255.2102999999988</v>
      </c>
      <c r="F148" s="15">
        <f>E148/$E$150</f>
        <v>0.99007256419517986</v>
      </c>
      <c r="G148" s="20">
        <f>SUM(J2:J140)</f>
        <v>64069.359629200007</v>
      </c>
      <c r="H148" s="27">
        <f>G148/$G$150</f>
        <v>0.96532721321513648</v>
      </c>
      <c r="I148" s="20">
        <f>G148/E148</f>
        <v>15.056684655327146</v>
      </c>
      <c r="K148" s="25" t="s">
        <v>1879</v>
      </c>
      <c r="L148" s="20" t="s">
        <v>221</v>
      </c>
      <c r="M148" s="11" t="s">
        <v>472</v>
      </c>
      <c r="N148" s="11" t="s">
        <v>474</v>
      </c>
      <c r="P148" s="20"/>
      <c r="Q148" s="218" t="s">
        <v>72</v>
      </c>
      <c r="R148" s="446" t="s">
        <v>58</v>
      </c>
      <c r="S148" s="231" t="s">
        <v>59</v>
      </c>
      <c r="T148" s="446" t="s">
        <v>60</v>
      </c>
      <c r="U148" s="447"/>
      <c r="V148" s="446" t="s">
        <v>123</v>
      </c>
      <c r="W148" s="446"/>
      <c r="X148" s="400"/>
      <c r="Y148" s="864"/>
      <c r="AC148" s="20"/>
      <c r="AD148" s="187" t="s">
        <v>2</v>
      </c>
      <c r="AE148" s="20">
        <f>AZ2</f>
        <v>38986.190521199998</v>
      </c>
      <c r="AF148" s="27" t="e">
        <f t="shared" si="1040"/>
        <v>#REF!</v>
      </c>
      <c r="AG148" s="890" t="e">
        <f t="shared" si="1055"/>
        <v>#REF!</v>
      </c>
      <c r="AH148" s="209" t="s">
        <v>206</v>
      </c>
      <c r="AI148" s="11"/>
      <c r="AJ148" s="11"/>
      <c r="AK148" s="11"/>
      <c r="AL148" s="11"/>
      <c r="AM148" s="11"/>
      <c r="AN148" s="11"/>
      <c r="AO148" s="11"/>
      <c r="AP148" s="11"/>
      <c r="AQ148" s="11"/>
      <c r="AR148" s="11"/>
      <c r="AS148" s="11"/>
      <c r="AT148" s="1158">
        <f>10*AT145/AW148</f>
        <v>3181.8181818181815</v>
      </c>
      <c r="AU148" s="224" t="s">
        <v>1506</v>
      </c>
      <c r="AV148" s="30">
        <v>2.2000000000000002</v>
      </c>
      <c r="AW148" s="814">
        <f>AV148/7</f>
        <v>0.31428571428571433</v>
      </c>
      <c r="AX148" s="19">
        <f>AY148/12</f>
        <v>9.5660714285714299</v>
      </c>
      <c r="AY148" s="19">
        <f>AW148*365.25</f>
        <v>114.79285714285716</v>
      </c>
      <c r="AZ148" s="225">
        <f>AW148*$BA$145</f>
        <v>4.5220966084275442</v>
      </c>
      <c r="BA148" s="234">
        <f>AZ148*365.25</f>
        <v>1651.6957862281606</v>
      </c>
      <c r="BB148" s="10">
        <f ca="1">(BC147-AV152)/AW152</f>
        <v>171.86202094811415</v>
      </c>
      <c r="BC148" s="641" t="s">
        <v>845</v>
      </c>
      <c r="BE148" s="773" t="s">
        <v>1420</v>
      </c>
      <c r="BF148" s="708"/>
      <c r="BG148" s="631"/>
      <c r="BH148" s="176"/>
      <c r="BK148" s="11"/>
      <c r="BT148" s="425"/>
      <c r="BU148" s="19"/>
      <c r="BV148" s="19"/>
      <c r="BW148" s="539"/>
      <c r="BX148" s="19"/>
      <c r="CA148" s="539"/>
      <c r="CB148" s="19"/>
      <c r="CE148" s="539"/>
      <c r="CF148" s="19"/>
      <c r="CI148" s="539"/>
      <c r="CJ148" s="19"/>
      <c r="CM148" s="539"/>
      <c r="CN148" s="19"/>
      <c r="CQ148" s="539"/>
      <c r="CR148" s="19"/>
      <c r="CU148" s="539"/>
      <c r="CV148" s="19"/>
      <c r="CY148" s="539"/>
      <c r="CZ148" s="19"/>
      <c r="DC148" s="539"/>
      <c r="DD148" s="19"/>
      <c r="DG148" s="539"/>
      <c r="DH148" s="19"/>
      <c r="DK148" s="539"/>
      <c r="DL148" s="19"/>
      <c r="DO148" s="539"/>
      <c r="DP148" s="19"/>
      <c r="DS148" s="539"/>
      <c r="DT148" s="19"/>
      <c r="DW148" s="539"/>
      <c r="DX148" s="19"/>
      <c r="EA148" s="539"/>
      <c r="EB148" s="19"/>
      <c r="GN148" s="19"/>
      <c r="GQ148" s="539"/>
      <c r="GR148" s="19"/>
      <c r="GU148" s="539"/>
      <c r="GV148" s="19"/>
      <c r="GY148" s="539"/>
      <c r="GZ148" s="19"/>
      <c r="HC148" s="539"/>
      <c r="HD148" s="19"/>
      <c r="HG148" s="539"/>
      <c r="HH148" s="19"/>
      <c r="HK148" s="539"/>
      <c r="HL148" s="19"/>
      <c r="HO148" s="539"/>
      <c r="HP148" s="19"/>
      <c r="HX148" s="19"/>
      <c r="IB148" s="19"/>
    </row>
    <row r="149" spans="1:236">
      <c r="A149" s="19" t="s">
        <v>582</v>
      </c>
      <c r="B149" s="20">
        <f>B148-B141</f>
        <v>321.01</v>
      </c>
      <c r="C149" s="20"/>
      <c r="D149" s="35" t="s">
        <v>75</v>
      </c>
      <c r="E149" s="726">
        <f>SUM(F141:F146)</f>
        <v>42.666899999999991</v>
      </c>
      <c r="F149" s="36">
        <f>E149/$E$150</f>
        <v>9.9274358048201099E-3</v>
      </c>
      <c r="G149" s="33">
        <f>SUM(J141:J146)</f>
        <v>2301.25414</v>
      </c>
      <c r="H149" s="36">
        <f>G149/$G$150</f>
        <v>3.4672786784863539E-2</v>
      </c>
      <c r="I149" s="20">
        <f>G149/E149</f>
        <v>53.935348947310459</v>
      </c>
      <c r="K149" s="993" t="s">
        <v>607</v>
      </c>
      <c r="L149" s="994">
        <f>MAX(H2:H140)</f>
        <v>2.7322247456514606E-5</v>
      </c>
      <c r="M149" s="994">
        <f>AVERAGE(H2:H140)</f>
        <v>5.2403040128949102E-7</v>
      </c>
      <c r="N149" s="994">
        <f>MEDIAN(H2:H140)</f>
        <v>2.1012363849765257E-8</v>
      </c>
      <c r="P149" s="20"/>
      <c r="Q149" s="448">
        <f>T153/365.25</f>
        <v>6.9112653684765686</v>
      </c>
      <c r="R149" s="20" t="s">
        <v>56</v>
      </c>
      <c r="S149" s="20">
        <f>SUMIF($U$2:$U$140,R149,$T$2:$T$140)</f>
        <v>150.0122856795889</v>
      </c>
      <c r="T149" s="20">
        <f>S149*12</f>
        <v>1800.1474281550668</v>
      </c>
      <c r="U149" s="27"/>
      <c r="V149" s="27">
        <f>COUNTA(U2:U140)/(COUNTA(U2:U140)+COUNTBLANK(U2:U140))</f>
        <v>0.90647482014388492</v>
      </c>
      <c r="W149" s="27"/>
      <c r="Y149" s="494"/>
      <c r="AC149" s="27"/>
      <c r="AD149" s="187" t="s">
        <v>1</v>
      </c>
      <c r="AE149" s="20">
        <f>AZ3</f>
        <v>33335.683091999999</v>
      </c>
      <c r="AF149" s="27" t="e">
        <f t="shared" si="1040"/>
        <v>#REF!</v>
      </c>
      <c r="AG149" s="890" t="e">
        <f t="shared" si="1055"/>
        <v>#REF!</v>
      </c>
      <c r="AH149" s="209" t="s">
        <v>206</v>
      </c>
      <c r="AI149" s="68" t="s">
        <v>1768</v>
      </c>
      <c r="AJ149" s="68"/>
      <c r="AK149" s="68"/>
      <c r="AL149" s="68"/>
      <c r="AM149" s="68"/>
      <c r="AN149" s="68"/>
      <c r="AO149" s="68"/>
      <c r="AP149" s="68"/>
      <c r="AQ149" s="68"/>
      <c r="AR149" s="68"/>
      <c r="AS149" s="68"/>
      <c r="AT149" s="800"/>
      <c r="AU149" s="224" t="s">
        <v>1507</v>
      </c>
      <c r="AV149" s="30">
        <v>9.86</v>
      </c>
      <c r="AW149" s="814">
        <f>AV149/30</f>
        <v>0.32866666666666666</v>
      </c>
      <c r="AX149" s="19">
        <f>AY149/12</f>
        <v>10.003791666666666</v>
      </c>
      <c r="AY149" s="19">
        <f>AW149*365.25</f>
        <v>120.0455</v>
      </c>
      <c r="AZ149" s="225">
        <f>AW149*$BA$145</f>
        <v>4.7290167865707433</v>
      </c>
      <c r="BA149" s="234">
        <f t="shared" ref="BA149:BA152" si="1067">AZ149*365.25</f>
        <v>1727.2733812949639</v>
      </c>
      <c r="BB149" s="10">
        <f ca="1">BB148/365.25</f>
        <v>0.47053256933090803</v>
      </c>
      <c r="BC149" s="591" t="s">
        <v>514</v>
      </c>
      <c r="BE149" s="224" t="s">
        <v>1289</v>
      </c>
      <c r="BF149" s="176" t="s">
        <v>1656</v>
      </c>
      <c r="BG149" s="236"/>
      <c r="BK149" s="11"/>
      <c r="BT149" s="425"/>
      <c r="BU149" s="19"/>
      <c r="BV149" s="19">
        <f>SUM(BV2:BV147)</f>
        <v>66370.613769200019</v>
      </c>
      <c r="BW149" s="539"/>
      <c r="BX149" s="19">
        <f>SUM(BX2:BX147)</f>
        <v>2586.198701836066</v>
      </c>
      <c r="CA149" s="539">
        <f>SUM(CA2:CA147)</f>
        <v>68956.812471036057</v>
      </c>
      <c r="CB149" s="19">
        <f>SUM(CB2:CB147)</f>
        <v>2735.4240039256947</v>
      </c>
      <c r="CE149" s="539">
        <f>SUM(CE2:CE147)</f>
        <v>71692.236474961755</v>
      </c>
      <c r="CF149" s="19">
        <f>SUM(CF2:CF147)</f>
        <v>2895.0955675459904</v>
      </c>
      <c r="CI149" s="539">
        <f>SUM(CI2:CI147)</f>
        <v>74587.332042507755</v>
      </c>
      <c r="CJ149" s="19">
        <f>SUM(CJ2:CJ147)</f>
        <v>3066.0663833779381</v>
      </c>
      <c r="CM149" s="539">
        <f>SUM(CM2:CM147)</f>
        <v>77653.398425885694</v>
      </c>
      <c r="CN149" s="19">
        <f>SUM(CN2:CN147)</f>
        <v>3249.268164826839</v>
      </c>
      <c r="CQ149" s="539">
        <f>SUM(CQ2:CQ147)</f>
        <v>80902.666590712528</v>
      </c>
      <c r="CR149" s="19">
        <f>SUM(CR2:CR147)</f>
        <v>3445.7193161211981</v>
      </c>
      <c r="CU149" s="539">
        <f>SUM(CU2:CU147)</f>
        <v>84348.385906833719</v>
      </c>
      <c r="CV149" s="19">
        <f>SUM(CV2:CV147)</f>
        <v>3656.5337632392079</v>
      </c>
      <c r="CY149" s="539">
        <f>SUM(CY2:CY147)</f>
        <v>88004.919670072879</v>
      </c>
      <c r="CZ149" s="19">
        <f>SUM(CZ2:CZ147)</f>
        <v>3882.9307458043777</v>
      </c>
      <c r="DC149" s="539">
        <f>SUM(DC2:DC147)</f>
        <v>91887.850415877299</v>
      </c>
      <c r="DD149" s="19">
        <f>SUM(DD2:DD147)</f>
        <v>4126.2456796695615</v>
      </c>
      <c r="DG149" s="539">
        <f>SUM(DG2:DG147)</f>
        <v>96014.096095546876</v>
      </c>
      <c r="DH149" s="19">
        <f>SUM(DH2:DH147)</f>
        <v>4387.9422128903825</v>
      </c>
      <c r="DK149" s="539">
        <f>SUM(DK2:DK147)</f>
        <v>100402.03830843729</v>
      </c>
      <c r="DL149" s="19">
        <f>SUM(DL2:DL147)</f>
        <v>4669.6256123494541</v>
      </c>
      <c r="DO149" s="539">
        <f>SUM(DO2:DO147)</f>
        <v>105071.66392078668</v>
      </c>
      <c r="DP149" s="19">
        <f>SUM(DP2:DP147)</f>
        <v>4973.0576346276184</v>
      </c>
      <c r="DS149" s="539">
        <f>SUM(DS2:DS147)</f>
        <v>110044.72155541433</v>
      </c>
      <c r="DT149" s="19">
        <f>SUM(DT2:DT147)</f>
        <v>5300.173053049004</v>
      </c>
      <c r="DW149" s="539">
        <f>SUM(DW2:DW147)</f>
        <v>115344.89460846334</v>
      </c>
      <c r="DX149" s="19">
        <f>SUM(DX2:DX147)</f>
        <v>5653.0980334012911</v>
      </c>
      <c r="EA149" s="539">
        <f>SUM(EA2:EA147)</f>
        <v>120997.99264186462</v>
      </c>
      <c r="EB149" s="19">
        <f>SUM(EB2:EB147)</f>
        <v>6034.1705739323361</v>
      </c>
      <c r="EE149" s="539">
        <f>SUM(EE2:EE147)</f>
        <v>127032.16321579693</v>
      </c>
      <c r="EF149" s="19">
        <f>SUM(EF2:EF147)</f>
        <v>6445.963251165067</v>
      </c>
      <c r="EI149" s="539">
        <f>SUM(EI2:EI147)</f>
        <v>133478.12646696204</v>
      </c>
      <c r="EJ149" s="19">
        <f>SUM(EJ2:EJ147)</f>
        <v>6891.3085422103813</v>
      </c>
      <c r="EM149" s="539">
        <f>SUM(EM2:EM147)</f>
        <v>140369.43500917239</v>
      </c>
      <c r="EN149" s="19">
        <f>SUM(EN2:EN147)</f>
        <v>7373.3270269952209</v>
      </c>
      <c r="EQ149" s="539">
        <f>SUM(EQ2:EQ147)</f>
        <v>147742.76203616761</v>
      </c>
      <c r="ER149" s="19">
        <f>SUM(ER2:ER147)</f>
        <v>7895.4588106124138</v>
      </c>
      <c r="EU149" s="539">
        <f>SUM(EU2:EU147)</f>
        <v>155638.22084678002</v>
      </c>
      <c r="EV149" s="19">
        <f>SUM(EV2:EV147)</f>
        <v>8461.4985473518591</v>
      </c>
      <c r="EY149" s="539">
        <f>SUM(EY2:EY147)</f>
        <v>164099.71939413183</v>
      </c>
      <c r="EZ149" s="19">
        <f>SUM(EZ2:EZ147)</f>
        <v>9075.6344944653501</v>
      </c>
      <c r="FC149" s="539">
        <f>SUM(FC2:FC147)</f>
        <v>173175.35388859719</v>
      </c>
      <c r="FD149" s="19">
        <f>SUM(FD2:FD147)</f>
        <v>9742.4920760007226</v>
      </c>
      <c r="FG149" s="539">
        <f>SUM(FG2:FG147)</f>
        <v>182917.84596459795</v>
      </c>
      <c r="FH149" s="19">
        <f>SUM(FH2:FH147)</f>
        <v>10467.182495848721</v>
      </c>
      <c r="FK149" s="539">
        <f>SUM(FK2:FK147)</f>
        <v>193385.02846044666</v>
      </c>
      <c r="FL149" s="19">
        <f>SUM(FL2:FL147)</f>
        <v>11255.357005306803</v>
      </c>
      <c r="FO149" s="539">
        <f>SUM(FO2:FO147)</f>
        <v>204640.38546575356</v>
      </c>
      <c r="FP149" s="19">
        <f>SUM(FP2:FP147)</f>
        <v>12113.267504913207</v>
      </c>
      <c r="FS149" s="539">
        <f>SUM(FS2:FS147)</f>
        <v>216753.65297066674</v>
      </c>
      <c r="FT149" s="19">
        <f>SUM(FT2:FT147)</f>
        <v>13047.834244098309</v>
      </c>
      <c r="FW149" s="539">
        <f>SUM(FW2:FW147)</f>
        <v>229801.48721476499</v>
      </c>
      <c r="FX149" s="19">
        <f>SUM(FX2:FX147)</f>
        <v>14066.721476530205</v>
      </c>
      <c r="GA149" s="539">
        <f>SUM(GA2:GA147)</f>
        <v>243868.20869129515</v>
      </c>
      <c r="GB149" s="19">
        <f>SUM(GB2:GB147)</f>
        <v>15178.422035245751</v>
      </c>
      <c r="GE149" s="539">
        <f>SUM(GE2:GE147)</f>
        <v>259046.63072654099</v>
      </c>
      <c r="GF149" s="19">
        <f>SUM(GF2:GF147)</f>
        <v>16392.351911276372</v>
      </c>
      <c r="GI149" s="539">
        <f>SUM(GI2:GI147)</f>
        <v>275438.98263781745</v>
      </c>
      <c r="GJ149" s="19">
        <f>SUM(GJ2:GJ147)</f>
        <v>17718.9560542205</v>
      </c>
      <c r="GM149" s="539">
        <f>SUM(GM2:GM147)</f>
        <v>293157.93869203783</v>
      </c>
      <c r="GN149" s="19">
        <f>SUM(GN2:GN147)</f>
        <v>19169.826765021542</v>
      </c>
      <c r="GQ149" s="539">
        <f>SUM(GQ2:GQ147)</f>
        <v>312327.76545705949</v>
      </c>
      <c r="GR149" s="19">
        <f>SUM(GR2:GR147)</f>
        <v>20757.836222278114</v>
      </c>
      <c r="GU149" s="539">
        <f>SUM(GU2:GU147)</f>
        <v>333085.60167933773</v>
      </c>
      <c r="GV149" s="19">
        <f>SUM(GV2:GV147)</f>
        <v>22497.284876220932</v>
      </c>
      <c r="GY149" s="539">
        <f>SUM(GY2:GY147)</f>
        <v>355582.88655555848</v>
      </c>
      <c r="GZ149" s="19">
        <f>SUM(GZ2:GZ147)</f>
        <v>24404.06766184375</v>
      </c>
      <c r="HC149" s="539">
        <f>SUM(HC2:HC147)</f>
        <v>379986.95421740226</v>
      </c>
      <c r="HD149" s="19">
        <f>SUM(HD2:HD147)</f>
        <v>26495.8602277424</v>
      </c>
      <c r="HG149" s="539">
        <f>SUM(HG2:HG147)</f>
        <v>406482.81444514461</v>
      </c>
      <c r="HH149" s="19">
        <f>SUM(HH2:HH147)</f>
        <v>28792.327653583696</v>
      </c>
      <c r="HK149" s="539">
        <f>SUM(HK2:HK147)</f>
        <v>435275.14209872839</v>
      </c>
      <c r="HL149" s="19">
        <f>SUM(HL2:HL147)</f>
        <v>31315.358440846114</v>
      </c>
      <c r="HO149" s="539">
        <f>SUM(HO2:HO147)</f>
        <v>466590.50053957448</v>
      </c>
      <c r="HP149" s="19">
        <f>SUM(HP2:HP147)</f>
        <v>34089.326913134595</v>
      </c>
      <c r="HS149" s="539">
        <f>SUM(HS2:HS147)</f>
        <v>500679.82745270914</v>
      </c>
      <c r="HT149" s="19">
        <f>SUM(HT2:HT147)</f>
        <v>37141.387559158044</v>
      </c>
      <c r="HW149" s="539">
        <f>SUM(HW2:HW147)</f>
        <v>537821.21501186688</v>
      </c>
      <c r="HX149" s="19">
        <f>SUM(HX2:HX147)</f>
        <v>40501.805299241358</v>
      </c>
      <c r="IA149" s="539">
        <f>SUM(IA2:IA147)</f>
        <v>578323.02031110867</v>
      </c>
      <c r="IB149" s="19">
        <f>SUM(IB2:IB147)</f>
        <v>44204.32616166184</v>
      </c>
    </row>
    <row r="150" spans="1:236">
      <c r="B150" s="233">
        <f>B149/B148</f>
        <v>1</v>
      </c>
      <c r="C150" s="233"/>
      <c r="D150" s="20" t="s">
        <v>8</v>
      </c>
      <c r="E150" s="503">
        <f>SUM(E148:E149)</f>
        <v>4297.877199999999</v>
      </c>
      <c r="F150" s="18">
        <f>SUM(F148:F149)</f>
        <v>1</v>
      </c>
      <c r="G150" s="14">
        <f>SUM(G148:G149)</f>
        <v>66370.613769200005</v>
      </c>
      <c r="H150" s="18">
        <f>SUM(H148:H149)</f>
        <v>1</v>
      </c>
      <c r="I150" s="20">
        <f>G150/E150</f>
        <v>15.442650099262961</v>
      </c>
      <c r="K150" s="20" t="s">
        <v>593</v>
      </c>
      <c r="L150" s="994">
        <f>MAX(H141:H146)</f>
        <v>7.0019520832174451E-9</v>
      </c>
      <c r="M150" s="994">
        <f>AVERAGE(H141:H146)</f>
        <v>3.32550886621174E-9</v>
      </c>
      <c r="N150" s="994">
        <f>MEDIAN(H141:H146)</f>
        <v>2.8463991247746108E-9</v>
      </c>
      <c r="O150" s="830"/>
      <c r="P150" s="20"/>
      <c r="Q150" s="449" t="s">
        <v>323</v>
      </c>
      <c r="R150" s="19" t="s">
        <v>54</v>
      </c>
      <c r="S150" s="20">
        <f>3*SUMIF($U$2:$U$140,R150,$T$2:$T$140)</f>
        <v>173.69896610000001</v>
      </c>
      <c r="T150" s="19">
        <f>S150*4</f>
        <v>694.79586440000003</v>
      </c>
      <c r="U150" s="27"/>
      <c r="X150" s="9"/>
      <c r="Y150" s="494"/>
      <c r="AD150" s="187" t="s">
        <v>0</v>
      </c>
      <c r="AE150" s="20">
        <f>AZ4</f>
        <v>28133.1058476</v>
      </c>
      <c r="AF150" s="27" t="e">
        <f t="shared" si="1040"/>
        <v>#REF!</v>
      </c>
      <c r="AG150" s="890" t="e">
        <f t="shared" si="1055"/>
        <v>#REF!</v>
      </c>
      <c r="AH150" s="209" t="s">
        <v>206</v>
      </c>
      <c r="AI150" s="11">
        <f>SUM(AI2:AI146)</f>
        <v>990.63748413701785</v>
      </c>
      <c r="AJ150" s="11"/>
      <c r="AK150" s="11"/>
      <c r="AL150" s="11"/>
      <c r="AM150" s="11"/>
      <c r="AN150" s="11"/>
      <c r="AO150" s="11"/>
      <c r="AP150" s="11"/>
      <c r="AQ150" s="11"/>
      <c r="AR150" s="11"/>
      <c r="AS150" s="11"/>
      <c r="AT150" s="800" t="s">
        <v>2241</v>
      </c>
      <c r="AU150" s="224" t="s">
        <v>1508</v>
      </c>
      <c r="AV150" s="30">
        <v>44.28</v>
      </c>
      <c r="AW150" s="814">
        <f>AV150/90</f>
        <v>0.49199999999999999</v>
      </c>
      <c r="AX150" s="19">
        <f>AY150/12</f>
        <v>14.975250000000001</v>
      </c>
      <c r="AY150" s="19">
        <f>AW150*365.25</f>
        <v>179.703</v>
      </c>
      <c r="AZ150" s="225">
        <f>AW150*$BA$145</f>
        <v>7.0791366906474815</v>
      </c>
      <c r="BA150" s="234">
        <f t="shared" si="1067"/>
        <v>2585.6546762589928</v>
      </c>
      <c r="BB150" s="420" t="s">
        <v>1442</v>
      </c>
      <c r="BC150" s="714">
        <f ca="1">TODAY()+365.25*BB149</f>
        <v>42943.862020948116</v>
      </c>
      <c r="BE150" s="559">
        <v>10</v>
      </c>
      <c r="BF150" s="645">
        <v>21</v>
      </c>
      <c r="BG150" s="236"/>
      <c r="BK150" s="11"/>
      <c r="BT150" s="425"/>
      <c r="BU150" s="19"/>
      <c r="BV150" s="19"/>
      <c r="BW150" s="539"/>
      <c r="BX150" s="19">
        <f>BX149/12</f>
        <v>215.51655848633882</v>
      </c>
      <c r="CA150" s="539"/>
      <c r="CB150" s="19">
        <f t="shared" ref="CB150" si="1068">CB149/12</f>
        <v>227.95200032714123</v>
      </c>
      <c r="CE150" s="539"/>
      <c r="CF150" s="19">
        <f t="shared" ref="CF150" si="1069">CF149/12</f>
        <v>241.25796396216586</v>
      </c>
      <c r="CI150" s="539"/>
      <c r="CJ150" s="19">
        <f t="shared" ref="CJ150" si="1070">CJ149/12</f>
        <v>255.50553194816152</v>
      </c>
      <c r="CM150" s="539"/>
      <c r="CN150" s="19">
        <f t="shared" ref="CN150" si="1071">CN149/12</f>
        <v>270.77234706890323</v>
      </c>
      <c r="CQ150" s="539"/>
      <c r="CR150" s="19">
        <f t="shared" ref="CR150" si="1072">CR149/12</f>
        <v>287.14327634343317</v>
      </c>
      <c r="CU150" s="539"/>
      <c r="CV150" s="19">
        <f t="shared" ref="CV150" si="1073">CV149/12</f>
        <v>304.71114693660064</v>
      </c>
      <c r="CY150" s="539"/>
      <c r="CZ150" s="19">
        <f t="shared" ref="CZ150" si="1074">CZ149/12</f>
        <v>323.57756215036483</v>
      </c>
      <c r="DC150" s="539"/>
      <c r="DD150" s="19">
        <f t="shared" ref="DD150" si="1075">DD149/12</f>
        <v>343.85380663913014</v>
      </c>
      <c r="DG150" s="539"/>
      <c r="DH150" s="19">
        <f t="shared" ref="DH150" si="1076">DH149/12</f>
        <v>365.66185107419852</v>
      </c>
      <c r="DK150" s="539"/>
      <c r="DL150" s="19">
        <f t="shared" ref="DL150" si="1077">DL149/12</f>
        <v>389.13546769578784</v>
      </c>
      <c r="DO150" s="539"/>
      <c r="DP150" s="19">
        <f t="shared" ref="DP150" si="1078">DP149/12</f>
        <v>414.42146955230152</v>
      </c>
      <c r="DS150" s="539"/>
      <c r="DT150" s="19">
        <f t="shared" ref="DT150" si="1079">DT149/12</f>
        <v>441.68108775408365</v>
      </c>
      <c r="DW150" s="539"/>
      <c r="DX150" s="19">
        <f t="shared" ref="DX150" si="1080">DX149/12</f>
        <v>471.09150278344094</v>
      </c>
      <c r="EA150" s="539"/>
      <c r="EB150" s="19">
        <f t="shared" ref="EB150" si="1081">EB149/12</f>
        <v>502.84754782769465</v>
      </c>
      <c r="EF150" s="19">
        <f t="shared" ref="EF150" si="1082">EF149/12</f>
        <v>537.16360426375559</v>
      </c>
      <c r="EJ150" s="19">
        <f t="shared" ref="EJ150" si="1083">EJ149/12</f>
        <v>574.27571185086515</v>
      </c>
      <c r="EN150" s="19">
        <f t="shared" ref="EN150" si="1084">EN149/12</f>
        <v>614.44391891626844</v>
      </c>
      <c r="ER150" s="19">
        <f t="shared" ref="ER150" si="1085">ER149/12</f>
        <v>657.95490088436782</v>
      </c>
      <c r="EV150" s="19">
        <f t="shared" ref="EV150" si="1086">EV149/12</f>
        <v>705.12487894598826</v>
      </c>
      <c r="EZ150" s="19">
        <f t="shared" ref="EZ150" si="1087">EZ149/12</f>
        <v>756.30287453877918</v>
      </c>
      <c r="FD150" s="19">
        <f t="shared" ref="FD150" si="1088">FD149/12</f>
        <v>811.87433966672688</v>
      </c>
      <c r="FH150" s="19">
        <f t="shared" ref="FH150" si="1089">FH149/12</f>
        <v>872.26520798739341</v>
      </c>
      <c r="FL150" s="19">
        <f t="shared" ref="FL150" si="1090">FL149/12</f>
        <v>937.94641710890028</v>
      </c>
      <c r="FP150" s="19">
        <f t="shared" ref="FP150" si="1091">FP149/12</f>
        <v>1009.4389587427672</v>
      </c>
      <c r="FT150" s="19">
        <f t="shared" ref="FT150" si="1092">FT149/12</f>
        <v>1087.3195203415257</v>
      </c>
      <c r="FX150" s="19">
        <f t="shared" ref="FX150" si="1093">FX149/12</f>
        <v>1172.2267897108504</v>
      </c>
      <c r="GB150" s="19">
        <f t="shared" ref="GB150" si="1094">GB149/12</f>
        <v>1264.8685029371459</v>
      </c>
      <c r="GF150" s="19">
        <f t="shared" ref="GF150" si="1095">GF149/12</f>
        <v>1366.0293259396976</v>
      </c>
      <c r="GJ150" s="19">
        <f t="shared" ref="GJ150" si="1096">GJ149/12</f>
        <v>1476.5796711850417</v>
      </c>
      <c r="GN150" s="19">
        <f t="shared" ref="GN150" si="1097">GN149/12</f>
        <v>1597.4855637517951</v>
      </c>
      <c r="GQ150" s="539"/>
      <c r="GR150" s="19">
        <f t="shared" ref="GR150" si="1098">GR149/12</f>
        <v>1729.8196851898429</v>
      </c>
      <c r="GU150" s="539"/>
      <c r="GV150" s="19">
        <f t="shared" ref="GV150" si="1099">GV149/12</f>
        <v>1874.7737396850778</v>
      </c>
      <c r="GY150" s="539"/>
      <c r="GZ150" s="19">
        <f t="shared" ref="GZ150" si="1100">GZ149/12</f>
        <v>2033.6723051536458</v>
      </c>
      <c r="HC150" s="539"/>
      <c r="HD150" s="19">
        <f t="shared" ref="HD150" si="1101">HD149/12</f>
        <v>2207.9883523118665</v>
      </c>
      <c r="HG150" s="539"/>
      <c r="HH150" s="19">
        <f t="shared" ref="HH150" si="1102">HH149/12</f>
        <v>2399.3606377986412</v>
      </c>
      <c r="HK150" s="539"/>
      <c r="HL150" s="19">
        <f t="shared" ref="HL150" si="1103">HL149/12</f>
        <v>2609.6132034038428</v>
      </c>
      <c r="HO150" s="539"/>
      <c r="HP150" s="19">
        <f t="shared" ref="HP150" si="1104">HP149/12</f>
        <v>2840.7772427612163</v>
      </c>
      <c r="HT150" s="19">
        <f t="shared" ref="HT150" si="1105">HT149/12</f>
        <v>3095.1156299298368</v>
      </c>
      <c r="HX150" s="19">
        <f t="shared" ref="HX150" si="1106">HX149/12</f>
        <v>3375.1504416034463</v>
      </c>
      <c r="IB150" s="19">
        <f t="shared" ref="IB150" si="1107">IB149/12</f>
        <v>3683.6938468051535</v>
      </c>
    </row>
    <row r="151" spans="1:236" ht="13.5" thickBot="1">
      <c r="A151" s="19"/>
      <c r="B151" s="20"/>
      <c r="C151" s="20"/>
      <c r="E151" s="11"/>
      <c r="F151" s="20"/>
      <c r="G151" s="20"/>
      <c r="H151" s="20"/>
      <c r="I151" s="19"/>
      <c r="J151" s="19"/>
      <c r="K151" s="19"/>
      <c r="L151" s="19"/>
      <c r="O151" s="19"/>
      <c r="P151" s="19"/>
      <c r="Q151" s="225"/>
      <c r="R151" s="19" t="s">
        <v>882</v>
      </c>
      <c r="S151" s="20">
        <f>6*SUMIF($U$2:$U$140,R151,$T$2:$T$140)</f>
        <v>2.5735950000000001</v>
      </c>
      <c r="T151" s="19">
        <f>S151*2</f>
        <v>5.1471900000000002</v>
      </c>
      <c r="U151" s="27"/>
      <c r="X151" s="9"/>
      <c r="Y151" s="494"/>
      <c r="AD151" s="187" t="s">
        <v>5</v>
      </c>
      <c r="AE151" s="20">
        <f>AZ5</f>
        <v>20970.436557320001</v>
      </c>
      <c r="AF151" s="27" t="e">
        <f t="shared" si="1040"/>
        <v>#REF!</v>
      </c>
      <c r="AG151" s="890" t="e">
        <f t="shared" si="1055"/>
        <v>#REF!</v>
      </c>
      <c r="AH151" s="209" t="s">
        <v>206</v>
      </c>
      <c r="AI151" s="11"/>
      <c r="AJ151" s="11"/>
      <c r="AK151" s="11"/>
      <c r="AL151" s="11"/>
      <c r="AM151" s="11"/>
      <c r="AN151" s="11"/>
      <c r="AO151" s="11"/>
      <c r="AP151" s="11"/>
      <c r="AQ151" s="11"/>
      <c r="AR151" s="11"/>
      <c r="AS151" s="11"/>
      <c r="AT151" s="1159">
        <f>AT148+AV165</f>
        <v>3876.8181818181815</v>
      </c>
      <c r="AU151" s="224" t="s">
        <v>1509</v>
      </c>
      <c r="AV151" s="30">
        <v>108.52</v>
      </c>
      <c r="AW151" s="814">
        <f>AV151/365</f>
        <v>0.29731506849315065</v>
      </c>
      <c r="AX151" s="19">
        <f>AY151/12</f>
        <v>9.0495273972602721</v>
      </c>
      <c r="AY151" s="19">
        <f>AW151*365.25</f>
        <v>108.59432876712327</v>
      </c>
      <c r="AZ151" s="225">
        <f>AW151*$BA$145</f>
        <v>4.2779146545777067</v>
      </c>
      <c r="BA151" s="234">
        <f t="shared" si="1067"/>
        <v>1562.5083275845075</v>
      </c>
      <c r="BC151" s="236"/>
      <c r="BE151" s="226"/>
      <c r="BF151" s="11"/>
      <c r="BG151" s="236"/>
      <c r="BK151" s="11"/>
      <c r="BT151" s="425"/>
      <c r="BU151" s="19"/>
      <c r="BV151" s="19"/>
      <c r="BW151" s="539"/>
      <c r="BX151" s="19"/>
      <c r="CA151" s="539"/>
      <c r="CB151" s="19"/>
      <c r="CE151" s="539"/>
      <c r="CF151" s="19"/>
      <c r="CI151" s="539"/>
      <c r="CJ151" s="19"/>
      <c r="CM151" s="539"/>
      <c r="CN151" s="19"/>
      <c r="CQ151" s="539"/>
      <c r="CR151" s="19"/>
      <c r="CU151" s="539"/>
      <c r="CV151" s="19"/>
      <c r="CY151" s="539"/>
      <c r="CZ151" s="19"/>
      <c r="DC151" s="539"/>
      <c r="DD151" s="19"/>
      <c r="DG151" s="539"/>
      <c r="DH151" s="19"/>
      <c r="DK151" s="539"/>
      <c r="DL151" s="19"/>
      <c r="DO151" s="539"/>
      <c r="DP151" s="19"/>
      <c r="DS151" s="539"/>
      <c r="DT151" s="19"/>
      <c r="DW151" s="539"/>
      <c r="DX151" s="19"/>
      <c r="EA151" s="539"/>
      <c r="EB151" s="19"/>
      <c r="GN151" s="19"/>
      <c r="GQ151" s="539"/>
      <c r="GR151" s="19"/>
      <c r="GU151" s="539"/>
      <c r="GV151" s="19"/>
      <c r="GY151" s="539"/>
      <c r="GZ151" s="19"/>
      <c r="HC151" s="539"/>
      <c r="HD151" s="19"/>
      <c r="HG151" s="539"/>
      <c r="HH151" s="19"/>
      <c r="HK151" s="539"/>
      <c r="HL151" s="19"/>
      <c r="HO151" s="539"/>
      <c r="HP151" s="19"/>
      <c r="HX151" s="19"/>
      <c r="IB151" s="19"/>
    </row>
    <row r="152" spans="1:236" ht="13.5" thickBot="1">
      <c r="B152" s="20"/>
      <c r="C152" s="20"/>
      <c r="D152" s="10"/>
      <c r="E152" s="218"/>
      <c r="F152" s="400"/>
      <c r="G152" s="765"/>
      <c r="H152" s="765"/>
      <c r="I152" s="447"/>
      <c r="J152" s="447" t="s">
        <v>1846</v>
      </c>
      <c r="K152" s="962" t="s">
        <v>1853</v>
      </c>
      <c r="L152" s="447"/>
      <c r="M152" s="962"/>
      <c r="P152" s="19"/>
      <c r="Q152" s="226"/>
      <c r="R152" s="19" t="s">
        <v>57</v>
      </c>
      <c r="S152" s="20">
        <f>12*SUMIF($U$2:$U$140,R152,$T$2:$T$140)</f>
        <v>24.249193281000004</v>
      </c>
      <c r="T152" s="20">
        <f>S152</f>
        <v>24.249193281000004</v>
      </c>
      <c r="U152" s="27"/>
      <c r="V152" s="27"/>
      <c r="W152" s="27"/>
      <c r="X152" s="174"/>
      <c r="Y152" s="494"/>
      <c r="AD152" s="187" t="s">
        <v>3</v>
      </c>
      <c r="AE152" s="20">
        <f>AZ6</f>
        <v>24186.775023180002</v>
      </c>
      <c r="AF152" s="27" t="e">
        <f t="shared" si="1040"/>
        <v>#REF!</v>
      </c>
      <c r="AG152" s="890" t="e">
        <f t="shared" si="1055"/>
        <v>#REF!</v>
      </c>
      <c r="AH152" s="209" t="s">
        <v>206</v>
      </c>
      <c r="AI152" s="11"/>
      <c r="AJ152" s="11"/>
      <c r="AK152" s="11"/>
      <c r="AL152" s="11"/>
      <c r="AM152" s="11"/>
      <c r="AN152" s="11"/>
      <c r="AO152" s="11"/>
      <c r="AP152" s="11"/>
      <c r="AQ152" s="11"/>
      <c r="AR152" s="11"/>
      <c r="AS152" s="11"/>
      <c r="AT152" s="19"/>
      <c r="AU152" s="514" t="s">
        <v>1511</v>
      </c>
      <c r="AV152" s="769">
        <v>165.17</v>
      </c>
      <c r="AW152" s="770">
        <f ca="1">AV152/AV145</f>
        <v>0.20266257668711654</v>
      </c>
      <c r="AX152" s="771">
        <f ca="1">AY152/12</f>
        <v>6.1685421779141096</v>
      </c>
      <c r="AY152" s="771">
        <f ca="1">AW152*365.25</f>
        <v>74.022506134969319</v>
      </c>
      <c r="AZ152" s="917">
        <f ca="1">AW152*$BA$145</f>
        <v>2.9160082976563531</v>
      </c>
      <c r="BA152" s="633">
        <f t="shared" ca="1" si="1067"/>
        <v>1065.0720307189829</v>
      </c>
      <c r="BB152" s="420" t="s">
        <v>143</v>
      </c>
      <c r="BC152" s="493">
        <v>1</v>
      </c>
      <c r="BE152" s="224" t="s">
        <v>1290</v>
      </c>
      <c r="BF152" s="420" t="s">
        <v>1657</v>
      </c>
      <c r="BG152" s="236" t="s">
        <v>1660</v>
      </c>
      <c r="BK152" s="11"/>
      <c r="BT152" s="425"/>
      <c r="BU152" s="19"/>
      <c r="BV152" s="19"/>
      <c r="BW152" s="539"/>
      <c r="BX152" s="19"/>
      <c r="CA152" s="539"/>
      <c r="CB152" s="19"/>
      <c r="CE152" s="539"/>
      <c r="CF152" s="19"/>
      <c r="CI152" s="539"/>
      <c r="CJ152" s="19"/>
      <c r="CM152" s="539"/>
      <c r="CN152" s="19"/>
      <c r="CQ152" s="539"/>
      <c r="CR152" s="19"/>
      <c r="CU152" s="539"/>
      <c r="CV152" s="19"/>
      <c r="CY152" s="539"/>
      <c r="CZ152" s="19"/>
      <c r="GN152" s="19"/>
      <c r="GQ152" s="539"/>
      <c r="GR152" s="19"/>
      <c r="GU152" s="539"/>
      <c r="GV152" s="19"/>
      <c r="GY152" s="539"/>
      <c r="GZ152" s="19"/>
      <c r="HC152" s="539"/>
      <c r="HD152" s="19"/>
      <c r="HG152" s="539"/>
      <c r="HH152" s="19"/>
      <c r="HK152" s="539"/>
      <c r="HL152" s="19"/>
      <c r="HO152" s="539"/>
      <c r="HP152" s="19"/>
      <c r="HX152" s="19"/>
    </row>
    <row r="153" spans="1:236">
      <c r="B153" s="19"/>
      <c r="C153" s="20"/>
      <c r="D153" s="10"/>
      <c r="E153" s="968" t="s">
        <v>1861</v>
      </c>
      <c r="F153" s="447" t="s">
        <v>1850</v>
      </c>
      <c r="G153" s="447" t="s">
        <v>1851</v>
      </c>
      <c r="H153" s="765" t="s">
        <v>1849</v>
      </c>
      <c r="I153" s="447" t="s">
        <v>1848</v>
      </c>
      <c r="J153" s="447" t="s">
        <v>1847</v>
      </c>
      <c r="K153" s="962" t="s">
        <v>1852</v>
      </c>
      <c r="L153" s="998" t="s">
        <v>1883</v>
      </c>
      <c r="M153" s="962"/>
      <c r="O153" s="27"/>
      <c r="Q153" s="226"/>
      <c r="S153" s="20"/>
      <c r="T153" s="25">
        <f>SUM(T149:T152)</f>
        <v>2524.3396758360668</v>
      </c>
      <c r="Y153" s="494"/>
      <c r="AD153" s="188" t="s">
        <v>140</v>
      </c>
      <c r="AE153" s="20" t="e">
        <f>Metals!#REF!</f>
        <v>#REF!</v>
      </c>
      <c r="AF153" s="27" t="e">
        <f t="shared" si="1040"/>
        <v>#REF!</v>
      </c>
      <c r="AG153" s="890" t="e">
        <f t="shared" si="1055"/>
        <v>#REF!</v>
      </c>
      <c r="AH153" s="210" t="s">
        <v>208</v>
      </c>
      <c r="AI153" s="11"/>
      <c r="AJ153" s="11"/>
      <c r="AK153" s="11"/>
      <c r="AL153" s="11"/>
      <c r="AM153" s="11"/>
      <c r="AN153" s="11"/>
      <c r="AO153" s="11"/>
      <c r="AP153" s="11"/>
      <c r="AQ153" s="11"/>
      <c r="AR153" s="11"/>
      <c r="AS153" s="11"/>
      <c r="AT153" s="46"/>
      <c r="AU153" s="709"/>
      <c r="AV153" s="491"/>
      <c r="BB153" s="694" t="s">
        <v>1449</v>
      </c>
      <c r="BC153" s="234">
        <f ca="1">((BC152))*AV145</f>
        <v>815</v>
      </c>
      <c r="BE153" s="713">
        <v>0.5</v>
      </c>
      <c r="BF153" s="10">
        <f>BE150*BF150</f>
        <v>210</v>
      </c>
      <c r="BG153" s="553">
        <f>BF153*365.25</f>
        <v>76702.5</v>
      </c>
      <c r="BH153" s="10"/>
      <c r="BK153" s="11"/>
      <c r="BT153" s="425"/>
      <c r="BU153" s="19"/>
      <c r="BV153" s="19"/>
      <c r="BW153" s="539"/>
      <c r="BX153" s="19"/>
      <c r="CA153" s="539"/>
      <c r="CB153" s="19"/>
      <c r="CE153" s="539"/>
      <c r="CF153" s="19"/>
      <c r="CI153" s="539"/>
      <c r="CJ153" s="19"/>
      <c r="CM153" s="539"/>
      <c r="CN153" s="19"/>
      <c r="CQ153" s="539"/>
      <c r="CR153" s="19"/>
      <c r="CU153" s="539"/>
      <c r="CV153" s="19"/>
      <c r="CY153" s="539"/>
      <c r="CZ153" s="19"/>
      <c r="GN153" s="19"/>
      <c r="GQ153" s="539"/>
      <c r="GR153" s="19"/>
      <c r="GU153" s="539"/>
      <c r="GV153" s="19"/>
      <c r="GY153" s="539"/>
      <c r="GZ153" s="19"/>
      <c r="HC153" s="539"/>
      <c r="HD153" s="19"/>
      <c r="HG153" s="539"/>
      <c r="HH153" s="19"/>
      <c r="HK153" s="539"/>
      <c r="HL153" s="19"/>
      <c r="HO153" s="539"/>
      <c r="HP153" s="19"/>
      <c r="HX153" s="19"/>
    </row>
    <row r="154" spans="1:236" ht="13.5" thickBot="1">
      <c r="A154" s="10"/>
      <c r="B154" s="19"/>
      <c r="C154" s="19"/>
      <c r="D154" s="647"/>
      <c r="E154" s="226" t="s">
        <v>607</v>
      </c>
      <c r="F154" s="20">
        <f>SUMIF(L2:L140,"&gt;0")</f>
        <v>18323.520711999994</v>
      </c>
      <c r="G154" s="20">
        <f>SUMIF(L2:L140,"&lt;0")</f>
        <v>-4930.1410828000016</v>
      </c>
      <c r="H154" s="20">
        <f>F154+G154</f>
        <v>13393.379629199993</v>
      </c>
      <c r="I154" s="27">
        <f>H154/SUM(K2:K140)</f>
        <v>0.26429443750668458</v>
      </c>
      <c r="J154" s="27">
        <f>COUNTIF(L2:L140,"&gt;0")/COUNTA(L2:L140)</f>
        <v>0.63309352517985606</v>
      </c>
      <c r="K154" s="401">
        <f>COUNTIF(M2:M140,"&lt;0")/COUNTA(M2:M140)</f>
        <v>0.36690647482014388</v>
      </c>
      <c r="L154" s="185">
        <f>H154-F159</f>
        <v>5080.9349911999925</v>
      </c>
      <c r="M154" s="401">
        <f>L154/SUM(K2:K140)</f>
        <v>0.1002631817125193</v>
      </c>
      <c r="O154" s="27"/>
      <c r="Q154" s="226"/>
      <c r="Y154" s="494"/>
      <c r="AD154" s="188" t="s">
        <v>139</v>
      </c>
      <c r="AE154" s="20" t="e">
        <f>Metals!#REF!</f>
        <v>#REF!</v>
      </c>
      <c r="AF154" s="27" t="e">
        <f t="shared" si="1040"/>
        <v>#REF!</v>
      </c>
      <c r="AG154" s="890" t="e">
        <f t="shared" si="1055"/>
        <v>#REF!</v>
      </c>
      <c r="AH154" s="210" t="s">
        <v>207</v>
      </c>
      <c r="AI154" s="11"/>
      <c r="AJ154" s="11"/>
      <c r="AK154" s="11"/>
      <c r="AL154" s="11"/>
      <c r="AM154" s="11"/>
      <c r="AN154" s="11"/>
      <c r="AO154" s="11"/>
      <c r="AP154" s="11"/>
      <c r="AQ154" s="11"/>
      <c r="AR154" s="11"/>
      <c r="AS154" s="11"/>
      <c r="AU154" s="709"/>
      <c r="AV154" s="921"/>
      <c r="AW154" s="491"/>
      <c r="AX154" s="19"/>
      <c r="BB154" s="224"/>
      <c r="BC154" s="236"/>
      <c r="BE154" s="224" t="s">
        <v>1286</v>
      </c>
      <c r="BG154" s="236"/>
      <c r="BI154" s="12"/>
      <c r="BJ154" s="12"/>
      <c r="BK154" s="11"/>
      <c r="BT154" s="425"/>
      <c r="BU154" s="19"/>
      <c r="BV154" s="19"/>
      <c r="BW154" s="539"/>
      <c r="BX154" s="19"/>
      <c r="CA154" s="539"/>
      <c r="CB154" s="19"/>
      <c r="CE154" s="539"/>
      <c r="CF154" s="19"/>
      <c r="CI154" s="539"/>
      <c r="CJ154" s="19"/>
      <c r="CM154" s="539"/>
      <c r="CN154" s="19"/>
      <c r="CQ154" s="539"/>
      <c r="CR154" s="19"/>
      <c r="CU154" s="539"/>
      <c r="CV154" s="19"/>
      <c r="CY154" s="539"/>
      <c r="CZ154" s="19"/>
      <c r="GN154" s="19"/>
      <c r="GQ154" s="539"/>
      <c r="GR154" s="19"/>
      <c r="GU154" s="539"/>
      <c r="GV154" s="19"/>
      <c r="GY154" s="539"/>
      <c r="GZ154" s="19"/>
      <c r="HC154" s="539"/>
      <c r="HD154" s="19"/>
      <c r="HG154" s="539"/>
      <c r="HH154" s="19"/>
      <c r="HK154" s="539"/>
      <c r="HL154" s="19"/>
      <c r="HO154" s="539"/>
      <c r="HP154" s="19"/>
      <c r="HX154" s="19"/>
    </row>
    <row r="155" spans="1:236">
      <c r="A155" s="10"/>
      <c r="C155" s="19"/>
      <c r="D155" s="647"/>
      <c r="E155" s="226" t="s">
        <v>593</v>
      </c>
      <c r="F155" s="20">
        <f>SUMIF(L141:L146,"&gt;0")</f>
        <v>489.69713599999989</v>
      </c>
      <c r="G155" s="20">
        <f>SUMIF(L141:L146,"&lt;0")</f>
        <v>-3.9329959999999744</v>
      </c>
      <c r="H155" s="20">
        <f>F155+G155</f>
        <v>485.76413999999988</v>
      </c>
      <c r="I155" s="27">
        <f>H155/SUM(K141:K146)</f>
        <v>0.26756640906862605</v>
      </c>
      <c r="J155" s="27">
        <f>COUNTIF(L141:L146,"&gt;0")/COUNTA(L141:L146)</f>
        <v>0.66666666666666663</v>
      </c>
      <c r="K155" s="401">
        <f>COUNTIF(M141:M146,"&lt;0")/COUNTA(M141:M146)</f>
        <v>0.33333333333333331</v>
      </c>
      <c r="L155" s="185">
        <f>H155-I159</f>
        <v>209.2442299999999</v>
      </c>
      <c r="M155" s="401">
        <f>L155/SUM(K141:K146)</f>
        <v>0.11525496147045695</v>
      </c>
      <c r="O155" s="1309"/>
      <c r="Q155" s="226"/>
      <c r="V155" s="25" t="s">
        <v>123</v>
      </c>
      <c r="W155" s="25"/>
      <c r="Y155" s="494"/>
      <c r="AD155" s="188" t="s">
        <v>195</v>
      </c>
      <c r="AE155" s="20" t="e">
        <f>Metals!#REF!</f>
        <v>#REF!</v>
      </c>
      <c r="AF155" s="27" t="e">
        <f t="shared" si="1040"/>
        <v>#REF!</v>
      </c>
      <c r="AG155" s="890" t="e">
        <f t="shared" si="1055"/>
        <v>#REF!</v>
      </c>
      <c r="AH155" s="210" t="s">
        <v>211</v>
      </c>
      <c r="AI155" s="11"/>
      <c r="AJ155" s="11"/>
      <c r="AK155" s="11"/>
      <c r="AL155" s="11"/>
      <c r="AM155" s="11"/>
      <c r="AN155" s="11"/>
      <c r="AO155" s="11"/>
      <c r="AP155" s="11"/>
      <c r="AQ155" s="11"/>
      <c r="AR155" s="11"/>
      <c r="AS155" s="11"/>
      <c r="AT155" s="420" t="s">
        <v>1647</v>
      </c>
      <c r="AU155" s="729"/>
      <c r="AV155" s="217" t="s">
        <v>1455</v>
      </c>
      <c r="AW155" s="217" t="s">
        <v>843</v>
      </c>
      <c r="AX155" s="428"/>
      <c r="AY155" s="428"/>
      <c r="AZ155" s="592" t="s">
        <v>1453</v>
      </c>
      <c r="BB155" s="224" t="s">
        <v>57</v>
      </c>
      <c r="BC155" s="493">
        <v>10</v>
      </c>
      <c r="BE155" s="713">
        <v>0.7</v>
      </c>
      <c r="BF155" s="420" t="s">
        <v>1658</v>
      </c>
      <c r="BG155" s="236" t="s">
        <v>1661</v>
      </c>
      <c r="BI155" s="12"/>
      <c r="BJ155" s="12"/>
      <c r="BT155" s="425"/>
      <c r="BU155" s="19"/>
      <c r="BV155" s="19"/>
      <c r="BW155" s="539"/>
      <c r="BX155" s="19"/>
      <c r="CA155" s="539"/>
      <c r="CB155" s="19"/>
      <c r="CE155" s="539"/>
      <c r="CF155" s="19"/>
      <c r="CI155" s="539"/>
      <c r="CJ155" s="19"/>
      <c r="CM155" s="539"/>
      <c r="CN155" s="19"/>
      <c r="CQ155" s="539"/>
      <c r="CR155" s="19"/>
      <c r="CU155" s="539"/>
      <c r="CV155" s="19"/>
      <c r="CY155" s="539"/>
      <c r="CZ155" s="19"/>
      <c r="GN155" s="19"/>
      <c r="GQ155" s="539"/>
      <c r="GR155" s="19"/>
      <c r="GU155" s="539"/>
      <c r="GV155" s="19"/>
      <c r="GY155" s="539"/>
      <c r="GZ155" s="19"/>
      <c r="HC155" s="539"/>
      <c r="HD155" s="19"/>
      <c r="HG155" s="539"/>
      <c r="HH155" s="19"/>
      <c r="HK155" s="539"/>
      <c r="HL155" s="19"/>
      <c r="HO155" s="539"/>
      <c r="HP155" s="19"/>
      <c r="HX155" s="19"/>
    </row>
    <row r="156" spans="1:236" ht="13.5" thickBot="1">
      <c r="A156" s="10"/>
      <c r="B156" s="19"/>
      <c r="C156" s="19"/>
      <c r="D156" s="647"/>
      <c r="E156" s="237" t="s">
        <v>8</v>
      </c>
      <c r="F156" s="537">
        <f>SUMIF(L2:L146,"&gt;0")</f>
        <v>18813.217847999993</v>
      </c>
      <c r="G156" s="537">
        <f>SUMIF(L2:L146,"&lt;0")</f>
        <v>-4934.0740788000021</v>
      </c>
      <c r="H156" s="537">
        <f>F156+G156</f>
        <v>13879.143769199991</v>
      </c>
      <c r="I156" s="963">
        <f>H156/SUM(K2:K146)</f>
        <v>0.26440760316295187</v>
      </c>
      <c r="J156" s="963">
        <f>COUNTIF(L2:L146,"&gt;0")/COUNTA(L2:L146)</f>
        <v>0.6344827586206897</v>
      </c>
      <c r="K156" s="606">
        <f>COUNTIF(M2:M146,"&lt;0")/COUNTA(M2:M146)</f>
        <v>0.36551724137931035</v>
      </c>
      <c r="L156" s="191">
        <f>H156-L159</f>
        <v>5566.69913119999</v>
      </c>
      <c r="M156" s="606">
        <f>L156/SUM(K2:K146)</f>
        <v>0.10604959493799641</v>
      </c>
      <c r="Q156" s="450" t="s">
        <v>73</v>
      </c>
      <c r="R156" s="32" t="s">
        <v>56</v>
      </c>
      <c r="S156" s="33">
        <f>SUMIF($U$141:$U$146,R156,$T$141:$T$146)</f>
        <v>0</v>
      </c>
      <c r="T156" s="33">
        <f>12*S156</f>
        <v>0</v>
      </c>
      <c r="U156" s="27"/>
      <c r="V156" s="27">
        <f>COUNTA(U141:U146)/(COUNTA(U141:U146)+COUNTBLANK(U141:U146))</f>
        <v>0.83333333333333337</v>
      </c>
      <c r="W156" s="27"/>
      <c r="Y156" s="494"/>
      <c r="AD156" s="188" t="s">
        <v>196</v>
      </c>
      <c r="AE156" s="20" t="e">
        <f>Metals!#REF!</f>
        <v>#REF!</v>
      </c>
      <c r="AF156" s="27" t="e">
        <f t="shared" si="1040"/>
        <v>#REF!</v>
      </c>
      <c r="AG156" s="890" t="e">
        <f t="shared" si="1055"/>
        <v>#REF!</v>
      </c>
      <c r="AH156" s="210" t="s">
        <v>211</v>
      </c>
      <c r="AI156" s="11"/>
      <c r="AJ156" s="11"/>
      <c r="AK156" s="11"/>
      <c r="AL156" s="11"/>
      <c r="AM156" s="11"/>
      <c r="AN156" s="11"/>
      <c r="AO156" s="11"/>
      <c r="AP156" s="11"/>
      <c r="AQ156" s="11"/>
      <c r="AR156" s="11"/>
      <c r="AS156" s="11"/>
      <c r="AT156" s="183">
        <f>1-AT157</f>
        <v>0.97169811320754718</v>
      </c>
      <c r="AU156" s="224" t="s">
        <v>1414</v>
      </c>
      <c r="AV156" s="6">
        <f ca="1">TODAY()</f>
        <v>42772</v>
      </c>
      <c r="AW156" s="728">
        <v>42770</v>
      </c>
      <c r="AX156" s="7" t="s">
        <v>1415</v>
      </c>
      <c r="AY156" s="7" t="s">
        <v>1423</v>
      </c>
      <c r="AZ156" s="553">
        <f>AV159/AV158</f>
        <v>55.526653504442251</v>
      </c>
      <c r="BB156" s="694" t="s">
        <v>1385</v>
      </c>
      <c r="BC156" s="234">
        <f ca="1">((12*BC155)/365.25)*AV145</f>
        <v>267.7618069815195</v>
      </c>
      <c r="BE156" s="224" t="s">
        <v>1287</v>
      </c>
      <c r="BF156" s="10">
        <f>BF153/60</f>
        <v>3.5</v>
      </c>
      <c r="BG156" s="553">
        <f>BG153/60</f>
        <v>1278.375</v>
      </c>
      <c r="BH156" s="10"/>
      <c r="BI156" s="12"/>
      <c r="BJ156" s="12"/>
      <c r="BT156" s="425"/>
      <c r="BU156" s="19"/>
      <c r="BV156" s="19"/>
      <c r="BW156" s="539"/>
      <c r="BX156" s="19"/>
      <c r="CA156" s="539"/>
      <c r="CB156" s="19"/>
      <c r="CE156" s="539"/>
      <c r="CF156" s="19"/>
      <c r="CI156" s="539"/>
      <c r="CJ156" s="19"/>
      <c r="CM156" s="539"/>
      <c r="CN156" s="19"/>
      <c r="CQ156" s="539"/>
      <c r="CR156" s="19"/>
      <c r="CU156" s="539"/>
      <c r="CV156" s="19"/>
      <c r="CY156" s="539"/>
      <c r="CZ156" s="19"/>
      <c r="GN156" s="19"/>
      <c r="GQ156" s="539"/>
      <c r="GR156" s="19"/>
      <c r="GU156" s="539"/>
      <c r="GV156" s="19"/>
      <c r="GY156" s="539"/>
      <c r="GZ156" s="19"/>
      <c r="HC156" s="539"/>
      <c r="HD156" s="19"/>
      <c r="HG156" s="539"/>
      <c r="HH156" s="19"/>
      <c r="HK156" s="539"/>
      <c r="HL156" s="19"/>
      <c r="HO156" s="539"/>
      <c r="HP156" s="19"/>
      <c r="HX156" s="19"/>
    </row>
    <row r="157" spans="1:236">
      <c r="A157" s="10"/>
      <c r="C157" s="19"/>
      <c r="D157" s="647"/>
      <c r="E157" s="966"/>
      <c r="F157" s="647"/>
      <c r="G157" s="573"/>
      <c r="H157" s="11"/>
      <c r="I157" s="11"/>
      <c r="M157" s="227"/>
      <c r="Q157" s="448">
        <f>T160/365.25</f>
        <v>0.16936078302532512</v>
      </c>
      <c r="R157" s="32" t="s">
        <v>54</v>
      </c>
      <c r="S157" s="33">
        <f>3*SUMIF($U$141:$U$146,R157,$T$141:$T$146)</f>
        <v>14.005813</v>
      </c>
      <c r="T157" s="33">
        <f>4*S157</f>
        <v>56.023251999999999</v>
      </c>
      <c r="U157" s="27"/>
      <c r="Y157" s="494"/>
      <c r="AD157" s="188" t="s">
        <v>246</v>
      </c>
      <c r="AE157" s="20" t="e">
        <f>Metals!#REF!</f>
        <v>#REF!</v>
      </c>
      <c r="AF157" s="27" t="e">
        <f t="shared" si="1040"/>
        <v>#REF!</v>
      </c>
      <c r="AG157" s="890" t="e">
        <f t="shared" si="1055"/>
        <v>#REF!</v>
      </c>
      <c r="AH157" s="210" t="s">
        <v>252</v>
      </c>
      <c r="AI157" s="11"/>
      <c r="AJ157" s="11"/>
      <c r="AK157" s="11"/>
      <c r="AL157" s="11"/>
      <c r="AM157" s="11"/>
      <c r="AN157" s="11"/>
      <c r="AO157" s="11"/>
      <c r="AP157" s="11"/>
      <c r="AQ157" s="11"/>
      <c r="AR157" s="11"/>
      <c r="AS157" s="11"/>
      <c r="AT157" s="183">
        <f>AV162/SUM(AV162,AV161)</f>
        <v>2.8301886792452831E-2</v>
      </c>
      <c r="AU157" s="224" t="s">
        <v>456</v>
      </c>
      <c r="AV157" s="19">
        <f>AV152</f>
        <v>165.17</v>
      </c>
      <c r="AW157" s="20">
        <v>164.27</v>
      </c>
      <c r="AX157" s="15">
        <f t="shared" ref="AX157" si="1108">AV157/AW157-1</f>
        <v>5.4787849272537326E-3</v>
      </c>
      <c r="AY157" s="19">
        <f t="shared" ref="AY157:AY165" ca="1" si="1109">(AV157-AW157)/($AV$156-$AW$156)</f>
        <v>0.44999999999998863</v>
      </c>
      <c r="AZ157" s="236"/>
      <c r="BB157" s="224"/>
      <c r="BC157" s="236"/>
      <c r="BE157" s="713">
        <v>0.9</v>
      </c>
      <c r="BG157" s="236"/>
      <c r="BI157" s="12"/>
      <c r="BJ157" s="12"/>
      <c r="BT157" s="425"/>
      <c r="BU157" s="19"/>
      <c r="BV157" s="19"/>
      <c r="BW157" s="539"/>
      <c r="BX157" s="19"/>
      <c r="CA157" s="539"/>
      <c r="CB157" s="19"/>
      <c r="CE157" s="539"/>
      <c r="CF157" s="19"/>
      <c r="CI157" s="539"/>
      <c r="CJ157" s="19"/>
      <c r="CM157" s="539"/>
      <c r="CN157" s="19"/>
      <c r="CQ157" s="539"/>
      <c r="CR157" s="19"/>
      <c r="CU157" s="539"/>
      <c r="CV157" s="19"/>
      <c r="CY157" s="539"/>
      <c r="CZ157" s="19"/>
      <c r="GN157" s="19"/>
      <c r="GQ157" s="539"/>
      <c r="GR157" s="19"/>
      <c r="GU157" s="539"/>
      <c r="GV157" s="19"/>
      <c r="GY157" s="539"/>
      <c r="GZ157" s="19"/>
      <c r="HC157" s="539"/>
      <c r="HD157" s="19"/>
      <c r="HG157" s="539"/>
      <c r="HH157" s="19"/>
      <c r="HK157" s="539"/>
      <c r="HL157" s="19"/>
      <c r="HO157" s="539"/>
      <c r="HP157" s="19"/>
      <c r="HX157" s="19"/>
    </row>
    <row r="158" spans="1:236" ht="13.5" thickBot="1">
      <c r="A158" s="10"/>
      <c r="D158" s="647"/>
      <c r="E158" s="226" t="s">
        <v>607</v>
      </c>
      <c r="F158" s="11"/>
      <c r="G158" s="573"/>
      <c r="H158" s="11" t="s">
        <v>593</v>
      </c>
      <c r="I158" s="11"/>
      <c r="K158" s="647" t="s">
        <v>8</v>
      </c>
      <c r="L158" s="647"/>
      <c r="M158" s="227"/>
      <c r="Q158" s="451" t="s">
        <v>323</v>
      </c>
      <c r="R158" s="32" t="s">
        <v>882</v>
      </c>
      <c r="S158" s="33">
        <f>6*SUMIF($U$141:$U$146,R158,$T$141:$T$146)</f>
        <v>2.9178869999999999</v>
      </c>
      <c r="T158" s="33">
        <f>2*S158</f>
        <v>5.8357739999999998</v>
      </c>
      <c r="U158" s="27"/>
      <c r="Y158" s="494"/>
      <c r="AD158" s="188" t="s">
        <v>352</v>
      </c>
      <c r="AE158" s="20" t="e">
        <f>Metals!#REF!</f>
        <v>#REF!</v>
      </c>
      <c r="AF158" s="27" t="e">
        <f t="shared" si="1040"/>
        <v>#REF!</v>
      </c>
      <c r="AG158" s="890" t="e">
        <f t="shared" si="1055"/>
        <v>#REF!</v>
      </c>
      <c r="AH158" s="210" t="s">
        <v>353</v>
      </c>
      <c r="AI158" s="11"/>
      <c r="AJ158" s="11"/>
      <c r="AK158" s="11"/>
      <c r="AL158" s="11"/>
      <c r="AM158" s="11"/>
      <c r="AN158" s="11"/>
      <c r="AO158" s="11"/>
      <c r="AP158" s="11"/>
      <c r="AQ158" s="11"/>
      <c r="AR158" s="11"/>
      <c r="AS158" s="11"/>
      <c r="AU158" s="224" t="s">
        <v>1407</v>
      </c>
      <c r="AV158" s="715">
        <v>2026</v>
      </c>
      <c r="AW158" s="12">
        <v>2021</v>
      </c>
      <c r="AX158" s="15">
        <f t="shared" ref="AX158:AX165" si="1110">AV158/AW158-1</f>
        <v>2.4740227610093868E-3</v>
      </c>
      <c r="AY158" s="10">
        <f t="shared" ca="1" si="1109"/>
        <v>2.5</v>
      </c>
      <c r="AZ158" s="632" t="s">
        <v>1454</v>
      </c>
      <c r="BB158" s="224" t="s">
        <v>1441</v>
      </c>
      <c r="BC158" s="493">
        <v>1000</v>
      </c>
      <c r="BE158" s="224" t="s">
        <v>1288</v>
      </c>
      <c r="BF158" s="420" t="s">
        <v>1659</v>
      </c>
      <c r="BG158" s="236" t="s">
        <v>1662</v>
      </c>
      <c r="BI158" s="12"/>
      <c r="BJ158" s="12"/>
      <c r="BL158" s="46"/>
      <c r="BM158" s="859"/>
      <c r="BT158" s="425"/>
      <c r="BU158" s="19"/>
      <c r="BV158" s="19"/>
      <c r="BW158" s="539"/>
      <c r="BX158" s="19"/>
      <c r="CA158" s="539"/>
      <c r="CB158" s="19"/>
      <c r="CE158" s="539"/>
      <c r="CF158" s="19"/>
      <c r="CI158" s="539"/>
      <c r="CJ158" s="19"/>
      <c r="CM158" s="539"/>
      <c r="CN158" s="19"/>
      <c r="CQ158" s="539"/>
      <c r="CR158" s="19"/>
      <c r="CU158" s="539"/>
      <c r="CV158" s="19"/>
      <c r="CY158" s="539"/>
      <c r="CZ158" s="19"/>
      <c r="GN158" s="19"/>
      <c r="GQ158" s="539"/>
      <c r="GR158" s="19"/>
      <c r="GU158" s="539"/>
      <c r="GV158" s="19"/>
      <c r="GY158" s="539"/>
      <c r="GZ158" s="19"/>
      <c r="HC158" s="539"/>
      <c r="HD158" s="19"/>
      <c r="HG158" s="539"/>
      <c r="HH158" s="19"/>
      <c r="HK158" s="539"/>
      <c r="HL158" s="19"/>
      <c r="HO158" s="539"/>
      <c r="HP158" s="19"/>
      <c r="HX158" s="19"/>
    </row>
    <row r="159" spans="1:236" ht="13.5" thickBot="1">
      <c r="C159" s="1211"/>
      <c r="E159" s="964" t="s">
        <v>1269</v>
      </c>
      <c r="F159" s="106">
        <f>MAX(L2:L140)</f>
        <v>8312.4446380000009</v>
      </c>
      <c r="G159" s="11"/>
      <c r="H159" s="964" t="s">
        <v>1269</v>
      </c>
      <c r="I159" s="106">
        <f>MAX(L141:L146)</f>
        <v>276.51990999999998</v>
      </c>
      <c r="K159" s="964" t="s">
        <v>1269</v>
      </c>
      <c r="L159" s="106">
        <f>MAX(L2:L146)</f>
        <v>8312.4446380000009</v>
      </c>
      <c r="M159" s="227"/>
      <c r="Q159" s="226"/>
      <c r="R159" s="32" t="s">
        <v>57</v>
      </c>
      <c r="S159" s="33">
        <f>12*SUMIF($U$141:$U$146,R159,$T$141:$T$146)</f>
        <v>0</v>
      </c>
      <c r="T159" s="33">
        <f>S159</f>
        <v>0</v>
      </c>
      <c r="U159" s="27"/>
      <c r="Y159" s="494"/>
      <c r="AD159" s="188" t="s">
        <v>562</v>
      </c>
      <c r="AE159" s="20" t="e">
        <f>Metals!#REF!</f>
        <v>#REF!</v>
      </c>
      <c r="AF159" s="27" t="e">
        <f t="shared" si="1040"/>
        <v>#REF!</v>
      </c>
      <c r="AG159" s="890" t="e">
        <f t="shared" si="1055"/>
        <v>#REF!</v>
      </c>
      <c r="AH159" s="210" t="s">
        <v>563</v>
      </c>
      <c r="AI159" s="11"/>
      <c r="AJ159" s="11"/>
      <c r="AK159" s="11"/>
      <c r="AL159" s="11"/>
      <c r="AM159" s="11"/>
      <c r="AN159" s="11"/>
      <c r="AO159" s="11"/>
      <c r="AP159" s="11"/>
      <c r="AQ159" s="11"/>
      <c r="AR159" s="11"/>
      <c r="AS159" s="11"/>
      <c r="AT159" s="420" t="s">
        <v>1645</v>
      </c>
      <c r="AU159" s="224" t="s">
        <v>1408</v>
      </c>
      <c r="AV159" s="715">
        <v>112497</v>
      </c>
      <c r="AW159" s="12">
        <v>111739</v>
      </c>
      <c r="AX159" s="15">
        <f t="shared" si="1110"/>
        <v>6.7836655062243345E-3</v>
      </c>
      <c r="AY159" s="10">
        <f t="shared" ca="1" si="1109"/>
        <v>379</v>
      </c>
      <c r="AZ159" s="553">
        <f>AV161/AV158</f>
        <v>0.96594274432379068</v>
      </c>
      <c r="BB159" s="937" t="s">
        <v>1448</v>
      </c>
      <c r="BC159" s="232">
        <f ca="1">((BC158))*AV145/365.25</f>
        <v>2231.3483915126626</v>
      </c>
      <c r="BE159" s="713">
        <v>0.95</v>
      </c>
      <c r="BF159" s="10">
        <f>BF156/60</f>
        <v>5.8333333333333334E-2</v>
      </c>
      <c r="BG159" s="553">
        <f>BG156/60</f>
        <v>21.306249999999999</v>
      </c>
      <c r="BH159" s="10"/>
      <c r="BI159" s="12"/>
      <c r="BJ159" s="12"/>
      <c r="BL159" s="46"/>
      <c r="BM159" s="859"/>
      <c r="BT159" s="425"/>
      <c r="BU159" s="19"/>
      <c r="BV159" s="19"/>
      <c r="BW159" s="539"/>
      <c r="BX159" s="19"/>
      <c r="CA159" s="539"/>
      <c r="CB159" s="19"/>
      <c r="CE159" s="539"/>
      <c r="CF159" s="19"/>
      <c r="CI159" s="539"/>
      <c r="CJ159" s="19"/>
      <c r="CM159" s="539"/>
      <c r="CN159" s="19"/>
      <c r="CQ159" s="539"/>
      <c r="CR159" s="19"/>
      <c r="CU159" s="539"/>
      <c r="CV159" s="19"/>
      <c r="CY159" s="539"/>
      <c r="CZ159" s="19"/>
      <c r="GN159" s="19"/>
      <c r="GQ159" s="539"/>
      <c r="GR159" s="19"/>
      <c r="GU159" s="539"/>
      <c r="GV159" s="19"/>
      <c r="GY159" s="539"/>
      <c r="GZ159" s="19"/>
      <c r="HC159" s="539"/>
      <c r="HD159" s="19"/>
      <c r="HG159" s="539"/>
      <c r="HH159" s="19"/>
      <c r="HK159" s="539"/>
      <c r="HL159" s="19"/>
      <c r="HO159" s="539"/>
      <c r="HP159" s="19"/>
      <c r="HX159" s="19"/>
    </row>
    <row r="160" spans="1:236" ht="13.5" thickBot="1">
      <c r="E160" s="965" t="s">
        <v>1270</v>
      </c>
      <c r="F160" s="82">
        <f>MIN(L2:L140)</f>
        <v>-1777.7926900000002</v>
      </c>
      <c r="G160" s="11"/>
      <c r="H160" s="965" t="s">
        <v>1270</v>
      </c>
      <c r="I160" s="82">
        <f>MIN(L141:L146)</f>
        <v>-2.4121499999999685</v>
      </c>
      <c r="K160" s="965" t="s">
        <v>1270</v>
      </c>
      <c r="L160" s="82">
        <f>MIN(L2:L146)</f>
        <v>-1777.7926900000002</v>
      </c>
      <c r="M160" s="227"/>
      <c r="Q160" s="226"/>
      <c r="R160" s="20"/>
      <c r="T160" s="34">
        <f>SUM(T156:T159)</f>
        <v>61.859026</v>
      </c>
      <c r="Y160" s="494"/>
      <c r="AD160" s="586" t="s">
        <v>1168</v>
      </c>
      <c r="AE160" s="20">
        <f>'P2P Notes'!C2</f>
        <v>1475</v>
      </c>
      <c r="AF160" s="27" t="e">
        <f t="shared" si="1040"/>
        <v>#REF!</v>
      </c>
      <c r="AG160" s="890" t="e">
        <f t="shared" si="1055"/>
        <v>#REF!</v>
      </c>
      <c r="AH160" s="210" t="s">
        <v>1176</v>
      </c>
      <c r="AI160" s="11"/>
      <c r="AJ160" s="11"/>
      <c r="AK160" s="11"/>
      <c r="AL160" s="11"/>
      <c r="AM160" s="11"/>
      <c r="AN160" s="11"/>
      <c r="AO160" s="11"/>
      <c r="AP160" s="11"/>
      <c r="AQ160" s="11"/>
      <c r="AR160" s="11"/>
      <c r="AS160" s="11"/>
      <c r="AT160" s="16">
        <f>(AV160/1440)</f>
        <v>115.56388888888888</v>
      </c>
      <c r="AU160" s="224" t="s">
        <v>1409</v>
      </c>
      <c r="AV160" s="715">
        <v>166412</v>
      </c>
      <c r="AW160" s="12">
        <v>165036</v>
      </c>
      <c r="AX160" s="15">
        <f t="shared" si="1110"/>
        <v>8.3375748321579124E-3</v>
      </c>
      <c r="AY160" s="10">
        <f t="shared" ca="1" si="1109"/>
        <v>688</v>
      </c>
      <c r="AZ160" s="236"/>
      <c r="BB160" s="420" t="s">
        <v>1513</v>
      </c>
      <c r="BE160" s="224"/>
      <c r="BG160" s="236"/>
      <c r="BI160" s="12"/>
      <c r="BJ160" s="12"/>
      <c r="BL160" s="46"/>
      <c r="BM160" s="859"/>
      <c r="BT160" s="425"/>
      <c r="BU160" s="19"/>
      <c r="BV160" s="19"/>
      <c r="BW160" s="539"/>
      <c r="BX160" s="19"/>
      <c r="CA160" s="539"/>
      <c r="CB160" s="19"/>
      <c r="CE160" s="539"/>
      <c r="CF160" s="19"/>
      <c r="CI160" s="539"/>
      <c r="CJ160" s="19"/>
      <c r="CM160" s="539"/>
      <c r="CN160" s="19"/>
      <c r="CQ160" s="539"/>
      <c r="CR160" s="19"/>
      <c r="CU160" s="539"/>
      <c r="CV160" s="19"/>
      <c r="CY160" s="539"/>
      <c r="CZ160" s="19"/>
      <c r="GN160" s="19"/>
      <c r="GQ160" s="539"/>
      <c r="GR160" s="19"/>
      <c r="GU160" s="539"/>
      <c r="GV160" s="19"/>
      <c r="GY160" s="539"/>
      <c r="GZ160" s="19"/>
      <c r="HC160" s="539"/>
      <c r="HD160" s="19"/>
      <c r="HG160" s="539"/>
      <c r="HH160" s="19"/>
      <c r="HK160" s="539"/>
      <c r="HL160" s="19"/>
      <c r="HO160" s="539"/>
      <c r="HP160" s="19"/>
      <c r="HX160" s="19"/>
    </row>
    <row r="161" spans="5:232">
      <c r="E161" s="965" t="s">
        <v>1891</v>
      </c>
      <c r="F161" s="82">
        <f>AVERAGE(L2:L140)</f>
        <v>96.355249130935263</v>
      </c>
      <c r="G161" s="11"/>
      <c r="H161" s="965" t="s">
        <v>1891</v>
      </c>
      <c r="I161" s="82">
        <f>AVERAGE(L141:L146)</f>
        <v>80.960689999999985</v>
      </c>
      <c r="K161" s="965" t="s">
        <v>1891</v>
      </c>
      <c r="L161" s="82">
        <f>AVERAGE(L2:L146)</f>
        <v>95.718232891034489</v>
      </c>
      <c r="M161" s="227"/>
      <c r="Q161" s="226"/>
      <c r="R161" s="20"/>
      <c r="T161" s="25"/>
      <c r="Y161" s="494"/>
      <c r="AD161" s="586" t="s">
        <v>1169</v>
      </c>
      <c r="AE161" s="20">
        <f>'P2P Notes'!C3</f>
        <v>850</v>
      </c>
      <c r="AF161" s="27" t="e">
        <f t="shared" si="1040"/>
        <v>#REF!</v>
      </c>
      <c r="AG161" s="890" t="e">
        <f t="shared" si="1055"/>
        <v>#REF!</v>
      </c>
      <c r="AH161" s="210" t="s">
        <v>1176</v>
      </c>
      <c r="AI161" s="11"/>
      <c r="AJ161" s="11"/>
      <c r="AK161" s="11"/>
      <c r="AL161" s="11"/>
      <c r="AM161" s="11"/>
      <c r="AN161" s="11"/>
      <c r="AO161" s="11"/>
      <c r="AP161" s="11"/>
      <c r="AQ161" s="11"/>
      <c r="AR161" s="11"/>
      <c r="AS161" s="11"/>
      <c r="AU161" s="224" t="s">
        <v>1411</v>
      </c>
      <c r="AV161" s="715">
        <v>1957</v>
      </c>
      <c r="AW161" s="12">
        <v>1947</v>
      </c>
      <c r="AX161" s="15">
        <f t="shared" si="1110"/>
        <v>5.1361068310220581E-3</v>
      </c>
      <c r="AY161" s="10">
        <f t="shared" ca="1" si="1109"/>
        <v>5</v>
      </c>
      <c r="AZ161" s="758" t="s">
        <v>1505</v>
      </c>
      <c r="BA161" s="428" t="s">
        <v>1514</v>
      </c>
      <c r="BB161" s="776">
        <v>0.05</v>
      </c>
      <c r="BC161" s="19">
        <f>AV152</f>
        <v>165.17</v>
      </c>
      <c r="BE161" s="774">
        <f>BE153*BE155*BE157*BE159</f>
        <v>0.29924999999999996</v>
      </c>
      <c r="BG161" s="236"/>
      <c r="BI161" s="12"/>
      <c r="BJ161" s="12"/>
      <c r="BT161" s="425"/>
      <c r="BU161" s="19"/>
      <c r="BV161" s="19"/>
      <c r="BW161" s="539"/>
      <c r="BX161" s="19"/>
      <c r="CA161" s="539"/>
      <c r="CB161" s="19"/>
      <c r="CE161" s="539"/>
      <c r="CF161" s="19"/>
      <c r="CI161" s="539"/>
      <c r="CJ161" s="19"/>
      <c r="CM161" s="539"/>
      <c r="CN161" s="19"/>
      <c r="CQ161" s="539"/>
      <c r="CR161" s="19"/>
      <c r="CU161" s="539"/>
      <c r="CV161" s="19"/>
      <c r="CY161" s="539"/>
      <c r="CZ161" s="19"/>
      <c r="GN161" s="19"/>
      <c r="GQ161" s="539"/>
      <c r="GR161" s="19"/>
      <c r="GU161" s="539"/>
      <c r="GV161" s="19"/>
      <c r="GY161" s="539"/>
      <c r="GZ161" s="19"/>
      <c r="HC161" s="539"/>
      <c r="HD161" s="19"/>
      <c r="HG161" s="539"/>
      <c r="HH161" s="19"/>
      <c r="HK161" s="539"/>
      <c r="HL161" s="19"/>
      <c r="HO161" s="539"/>
      <c r="HP161" s="19"/>
      <c r="HX161" s="19"/>
    </row>
    <row r="162" spans="5:232">
      <c r="E162" s="965" t="s">
        <v>1888</v>
      </c>
      <c r="F162" s="82">
        <f>AVERAGEIF(L2:L140,"&gt;0")</f>
        <v>208.22182627272721</v>
      </c>
      <c r="G162" s="11"/>
      <c r="H162" s="965" t="s">
        <v>1888</v>
      </c>
      <c r="I162" s="82">
        <f>AVERAGEIF(L141:L146,"&gt;0")</f>
        <v>122.42428399999997</v>
      </c>
      <c r="K162" s="965" t="s">
        <v>1888</v>
      </c>
      <c r="L162" s="82">
        <f>AVERAGEIF(L2:L146,"&gt;0")</f>
        <v>204.49149834782602</v>
      </c>
      <c r="M162" s="227"/>
      <c r="Q162" s="226"/>
      <c r="V162" s="20" t="s">
        <v>202</v>
      </c>
      <c r="X162" s="20" t="s">
        <v>203</v>
      </c>
      <c r="Y162" s="865" t="s">
        <v>123</v>
      </c>
      <c r="Z162" s="25"/>
      <c r="AA162" s="25"/>
      <c r="AB162" s="25"/>
      <c r="AD162" s="586" t="s">
        <v>1170</v>
      </c>
      <c r="AE162" s="20">
        <f>'P2P Notes'!C4</f>
        <v>125</v>
      </c>
      <c r="AF162" s="27" t="e">
        <f t="shared" si="1040"/>
        <v>#REF!</v>
      </c>
      <c r="AG162" s="890" t="e">
        <f t="shared" si="1055"/>
        <v>#REF!</v>
      </c>
      <c r="AH162" s="210" t="s">
        <v>1176</v>
      </c>
      <c r="AI162" s="11"/>
      <c r="AJ162" s="11"/>
      <c r="AK162" s="11"/>
      <c r="AL162" s="11"/>
      <c r="AM162" s="11"/>
      <c r="AN162" s="11"/>
      <c r="AO162" s="11"/>
      <c r="AP162" s="11"/>
      <c r="AQ162" s="11"/>
      <c r="AR162" s="11"/>
      <c r="AS162" s="11"/>
      <c r="AT162" s="420" t="s">
        <v>1646</v>
      </c>
      <c r="AU162" s="224" t="s">
        <v>1412</v>
      </c>
      <c r="AV162" s="715">
        <v>57</v>
      </c>
      <c r="AW162" s="12">
        <v>54</v>
      </c>
      <c r="AX162" s="15">
        <f t="shared" si="1110"/>
        <v>5.555555555555558E-2</v>
      </c>
      <c r="AY162" s="10">
        <f t="shared" ca="1" si="1109"/>
        <v>1.5</v>
      </c>
      <c r="AZ162" s="759">
        <f>AV152/AV158</f>
        <v>8.1525172754195449E-2</v>
      </c>
      <c r="BA162" s="12">
        <v>2</v>
      </c>
      <c r="BB162" s="759">
        <f>$AZ$162*(1+$BB$161)^BA162</f>
        <v>8.9881502961500492E-2</v>
      </c>
      <c r="BC162" s="19">
        <f>BB162*$AV$158</f>
        <v>182.09992499999998</v>
      </c>
      <c r="BE162" s="224"/>
      <c r="BG162" s="236"/>
      <c r="BI162" s="12"/>
      <c r="BJ162" s="12"/>
      <c r="BT162" s="425"/>
      <c r="BU162" s="19"/>
      <c r="BV162" s="19"/>
      <c r="BW162" s="539"/>
      <c r="BX162" s="19"/>
      <c r="CA162" s="539"/>
      <c r="CB162" s="19"/>
      <c r="CE162" s="539"/>
      <c r="CF162" s="19"/>
      <c r="CI162" s="539"/>
      <c r="CJ162" s="19"/>
      <c r="CM162" s="539"/>
      <c r="CN162" s="19"/>
      <c r="CQ162" s="539"/>
      <c r="CR162" s="19"/>
      <c r="CU162" s="539"/>
      <c r="CV162" s="19"/>
      <c r="CY162" s="539"/>
      <c r="CZ162" s="19"/>
      <c r="GN162" s="19"/>
      <c r="GQ162" s="539"/>
      <c r="GR162" s="19"/>
      <c r="GU162" s="539"/>
      <c r="GV162" s="19"/>
      <c r="GY162" s="539"/>
      <c r="GZ162" s="19"/>
      <c r="HC162" s="539"/>
      <c r="HD162" s="19"/>
      <c r="HG162" s="539"/>
      <c r="HH162" s="19"/>
      <c r="HK162" s="539"/>
      <c r="HL162" s="19"/>
      <c r="HO162" s="539"/>
      <c r="HP162" s="19"/>
      <c r="HX162" s="19"/>
    </row>
    <row r="163" spans="5:232">
      <c r="E163" s="965" t="s">
        <v>1889</v>
      </c>
      <c r="F163" s="82">
        <f>ABS(AVERAGEIF(L2:L140,"&lt;0"))</f>
        <v>96.66943299607847</v>
      </c>
      <c r="H163" s="965" t="s">
        <v>1889</v>
      </c>
      <c r="I163" s="82">
        <f>ABS(AVERAGEIF(L141:L146,"&lt;0"))</f>
        <v>1.9664979999999872</v>
      </c>
      <c r="K163" s="965" t="s">
        <v>1889</v>
      </c>
      <c r="L163" s="82">
        <f>ABS(AVERAGEIF(L2:L146,"&lt;0"))</f>
        <v>93.095737335849094</v>
      </c>
      <c r="M163" s="227"/>
      <c r="P163" s="420"/>
      <c r="Q163" s="226" t="s">
        <v>8</v>
      </c>
      <c r="R163" s="11" t="s">
        <v>56</v>
      </c>
      <c r="S163" s="20">
        <f>S149+S156</f>
        <v>150.0122856795889</v>
      </c>
      <c r="T163" s="20">
        <f>T149+T156</f>
        <v>1800.1474281550668</v>
      </c>
      <c r="U163" s="27"/>
      <c r="V163" s="27">
        <f>T149/T163</f>
        <v>1</v>
      </c>
      <c r="W163" s="27"/>
      <c r="X163" s="27">
        <f>T156/T163</f>
        <v>0</v>
      </c>
      <c r="Y163" s="401">
        <f>COUNTA(U2:U146)/(COUNTA(U2:U146)+COUNTBLANK(U2:U146))</f>
        <v>0.90344827586206899</v>
      </c>
      <c r="Z163" s="27"/>
      <c r="AA163" s="27"/>
      <c r="AB163" s="27"/>
      <c r="AC163" s="9"/>
      <c r="AD163" s="586" t="s">
        <v>1171</v>
      </c>
      <c r="AE163" s="20">
        <f>'P2P Notes'!C5</f>
        <v>0</v>
      </c>
      <c r="AF163" s="27" t="e">
        <f t="shared" si="1040"/>
        <v>#REF!</v>
      </c>
      <c r="AG163" s="890" t="e">
        <f t="shared" si="1055"/>
        <v>#REF!</v>
      </c>
      <c r="AH163" s="210" t="s">
        <v>1176</v>
      </c>
      <c r="AI163" s="11"/>
      <c r="AJ163" s="11"/>
      <c r="AK163" s="11"/>
      <c r="AL163" s="11"/>
      <c r="AM163" s="11"/>
      <c r="AN163" s="11"/>
      <c r="AO163" s="11"/>
      <c r="AP163" s="11"/>
      <c r="AQ163" s="11"/>
      <c r="AR163" s="11"/>
      <c r="AS163" s="11"/>
      <c r="AT163" s="16">
        <f>AV160/525960</f>
        <v>0.31639668415849115</v>
      </c>
      <c r="AU163" s="224" t="s">
        <v>1413</v>
      </c>
      <c r="AV163" s="715">
        <v>620</v>
      </c>
      <c r="AW163" s="12">
        <v>619</v>
      </c>
      <c r="AX163" s="15">
        <f t="shared" si="1110"/>
        <v>1.615508885298933E-3</v>
      </c>
      <c r="AY163" s="10">
        <f t="shared" ca="1" si="1109"/>
        <v>0.5</v>
      </c>
      <c r="AZ163" s="236"/>
      <c r="BA163" s="12">
        <v>5</v>
      </c>
      <c r="BB163" s="759">
        <f>$AZ$162*(1+$BB$161)^BA163</f>
        <v>0.104049074865807</v>
      </c>
      <c r="BC163" s="19">
        <f>BB163*$AV$158</f>
        <v>210.803425678125</v>
      </c>
      <c r="BE163" s="709" t="s">
        <v>1664</v>
      </c>
      <c r="BG163" s="236"/>
      <c r="BI163" s="12"/>
      <c r="BJ163" s="12"/>
      <c r="BT163" s="425"/>
      <c r="BU163" s="19"/>
      <c r="BV163" s="19"/>
      <c r="BW163" s="539"/>
      <c r="BX163" s="19"/>
      <c r="CA163" s="539"/>
      <c r="CB163" s="19"/>
      <c r="CE163" s="539"/>
      <c r="CF163" s="19"/>
      <c r="CI163" s="539"/>
      <c r="CJ163" s="19"/>
      <c r="CM163" s="539"/>
      <c r="CN163" s="19"/>
      <c r="CQ163" s="539"/>
      <c r="CR163" s="19"/>
      <c r="CU163" s="539"/>
      <c r="CV163" s="19"/>
      <c r="CY163" s="539"/>
      <c r="CZ163" s="19"/>
      <c r="GN163" s="19"/>
      <c r="GQ163" s="539"/>
      <c r="GR163" s="19"/>
      <c r="GU163" s="539"/>
      <c r="GV163" s="19"/>
      <c r="GY163" s="539"/>
      <c r="GZ163" s="19"/>
      <c r="HC163" s="539"/>
      <c r="HD163" s="19"/>
      <c r="HG163" s="539"/>
      <c r="HH163" s="19"/>
      <c r="HK163" s="539"/>
      <c r="HL163" s="19"/>
      <c r="HO163" s="539"/>
      <c r="HP163" s="19"/>
      <c r="HX163" s="19"/>
    </row>
    <row r="164" spans="5:232">
      <c r="E164" s="965"/>
      <c r="F164" s="82"/>
      <c r="H164" s="965"/>
      <c r="I164" s="82"/>
      <c r="K164" s="965"/>
      <c r="L164" s="82"/>
      <c r="M164" s="227"/>
      <c r="P164" s="420"/>
      <c r="Q164" s="448">
        <f>T167/365.25</f>
        <v>7.0806261515018933</v>
      </c>
      <c r="R164" s="11" t="s">
        <v>54</v>
      </c>
      <c r="S164" s="20">
        <f>S150+S157</f>
        <v>187.7047791</v>
      </c>
      <c r="T164" s="20">
        <f>T150+T157</f>
        <v>750.81911639999998</v>
      </c>
      <c r="U164" s="27"/>
      <c r="V164" s="27">
        <f>T150/T164</f>
        <v>0.92538382311225875</v>
      </c>
      <c r="W164" s="27"/>
      <c r="X164" s="27">
        <f>T157/T164</f>
        <v>7.4616176887741262E-2</v>
      </c>
      <c r="Y164" s="494"/>
      <c r="AC164" s="20"/>
      <c r="AD164" s="586" t="s">
        <v>1172</v>
      </c>
      <c r="AE164" s="20">
        <f>'P2P Notes'!C6</f>
        <v>50</v>
      </c>
      <c r="AF164" s="27" t="e">
        <f t="shared" si="1040"/>
        <v>#REF!</v>
      </c>
      <c r="AG164" s="890" t="e">
        <f t="shared" si="1055"/>
        <v>#REF!</v>
      </c>
      <c r="AH164" s="210" t="s">
        <v>1176</v>
      </c>
      <c r="AI164" s="11"/>
      <c r="AJ164" s="11"/>
      <c r="AK164" s="11"/>
      <c r="AL164" s="11"/>
      <c r="AM164" s="11"/>
      <c r="AN164" s="11"/>
      <c r="AO164" s="11"/>
      <c r="AP164" s="11"/>
      <c r="AQ164" s="11"/>
      <c r="AR164" s="11"/>
      <c r="AS164" s="11"/>
      <c r="AU164" s="224" t="s">
        <v>6</v>
      </c>
      <c r="AV164" s="715">
        <v>286</v>
      </c>
      <c r="AW164" s="12">
        <v>286</v>
      </c>
      <c r="AX164" s="15">
        <f t="shared" si="1110"/>
        <v>0</v>
      </c>
      <c r="AY164" s="10">
        <f t="shared" ca="1" si="1109"/>
        <v>0</v>
      </c>
      <c r="AZ164" s="632" t="s">
        <v>1678</v>
      </c>
      <c r="BA164" s="12">
        <v>10</v>
      </c>
      <c r="BB164" s="759">
        <f>$AZ$162*(1+$BB$161)^BA164</f>
        <v>0.13279591584641165</v>
      </c>
      <c r="BC164" s="19">
        <f>BB164*$AV$158</f>
        <v>269.04452550483001</v>
      </c>
      <c r="BE164" s="775">
        <f>BE150*BE153*BE155*BE157*BE159</f>
        <v>2.9924999999999997</v>
      </c>
      <c r="BG164" s="236"/>
      <c r="BT164" s="425"/>
      <c r="BU164" s="19"/>
      <c r="BV164" s="19"/>
      <c r="BW164" s="539"/>
      <c r="BX164" s="19"/>
      <c r="CA164" s="539"/>
      <c r="CB164" s="19"/>
      <c r="CE164" s="539"/>
      <c r="CF164" s="19"/>
      <c r="CI164" s="539"/>
      <c r="CJ164" s="19"/>
      <c r="CM164" s="539"/>
      <c r="CN164" s="19"/>
      <c r="CQ164" s="539"/>
      <c r="CR164" s="19"/>
      <c r="CU164" s="539"/>
      <c r="CV164" s="19"/>
      <c r="CY164" s="539"/>
      <c r="CZ164" s="19"/>
      <c r="GN164" s="19"/>
      <c r="GQ164" s="539"/>
      <c r="GR164" s="19"/>
      <c r="GU164" s="539"/>
      <c r="GV164" s="19"/>
      <c r="GY164" s="539"/>
      <c r="GZ164" s="19"/>
      <c r="HC164" s="539"/>
      <c r="HD164" s="19"/>
      <c r="HG164" s="539"/>
      <c r="HH164" s="19"/>
      <c r="HK164" s="539"/>
      <c r="HL164" s="19"/>
      <c r="HO164" s="539"/>
      <c r="HP164" s="19"/>
      <c r="HX164" s="19"/>
    </row>
    <row r="165" spans="5:232" ht="13.5" thickBot="1">
      <c r="E165" s="965" t="s">
        <v>1273</v>
      </c>
      <c r="F165" s="82">
        <f>((1+(F162/F163))*J154)-1</f>
        <v>0.99674991509305699</v>
      </c>
      <c r="H165" s="965" t="s">
        <v>1273</v>
      </c>
      <c r="I165" s="82">
        <f>((1+(I162/I163))*J155)-1</f>
        <v>41.169983391796237</v>
      </c>
      <c r="K165" s="965" t="s">
        <v>1273</v>
      </c>
      <c r="L165" s="82">
        <f>((1+(L162/L163))*J156)-1</f>
        <v>1.0281698779152961</v>
      </c>
      <c r="M165" s="227"/>
      <c r="P165" s="420"/>
      <c r="Q165" s="449" t="s">
        <v>323</v>
      </c>
      <c r="R165" s="11" t="s">
        <v>882</v>
      </c>
      <c r="S165" s="20">
        <f t="shared" ref="S165:T166" si="1111">S151+S158</f>
        <v>5.4914819999999995</v>
      </c>
      <c r="T165" s="20">
        <f t="shared" si="1111"/>
        <v>10.982963999999999</v>
      </c>
      <c r="U165" s="27"/>
      <c r="V165" s="15">
        <f>T152/T166</f>
        <v>1</v>
      </c>
      <c r="W165" s="15"/>
      <c r="X165" s="15">
        <f>T159/T166</f>
        <v>0</v>
      </c>
      <c r="Y165" s="866"/>
      <c r="Z165" s="12"/>
      <c r="AA165" s="12"/>
      <c r="AB165" s="12"/>
      <c r="AC165" s="20"/>
      <c r="AD165" s="586" t="s">
        <v>1173</v>
      </c>
      <c r="AE165" s="20">
        <f>'P2P Notes'!C7</f>
        <v>25</v>
      </c>
      <c r="AF165" s="27" t="e">
        <f t="shared" si="1040"/>
        <v>#REF!</v>
      </c>
      <c r="AG165" s="890" t="e">
        <f t="shared" si="1055"/>
        <v>#REF!</v>
      </c>
      <c r="AH165" s="210" t="s">
        <v>1176</v>
      </c>
      <c r="AI165" s="11"/>
      <c r="AJ165" s="11"/>
      <c r="AK165" s="11"/>
      <c r="AL165" s="11"/>
      <c r="AM165" s="11"/>
      <c r="AN165" s="11"/>
      <c r="AO165" s="11"/>
      <c r="AP165" s="11"/>
      <c r="AQ165" s="11"/>
      <c r="AR165" s="11"/>
      <c r="AS165" s="11"/>
      <c r="AT165" s="420" t="s">
        <v>1903</v>
      </c>
      <c r="AU165" s="441" t="s">
        <v>1410</v>
      </c>
      <c r="AV165" s="716">
        <v>695</v>
      </c>
      <c r="AW165" s="407">
        <v>695</v>
      </c>
      <c r="AX165" s="408">
        <f t="shared" si="1110"/>
        <v>0</v>
      </c>
      <c r="AY165" s="739">
        <f t="shared" ca="1" si="1109"/>
        <v>0</v>
      </c>
      <c r="AZ165" s="777">
        <f>AV152/AV159</f>
        <v>1.4682169302292505E-3</v>
      </c>
      <c r="BA165" s="407">
        <v>20</v>
      </c>
      <c r="BB165" s="777">
        <f>$AZ$162*(1+$BB$161)^BA165</f>
        <v>0.21631055378020925</v>
      </c>
      <c r="BC165" s="19">
        <f>BB165*$AV$158</f>
        <v>438.24518195870394</v>
      </c>
      <c r="BE165" s="224"/>
      <c r="BG165" s="236"/>
      <c r="BT165" s="425"/>
      <c r="BU165" s="19"/>
      <c r="BV165" s="19"/>
      <c r="BW165" s="539"/>
      <c r="BX165" s="19"/>
      <c r="CA165" s="539"/>
      <c r="CB165" s="19"/>
      <c r="CE165" s="539"/>
      <c r="CF165" s="19"/>
      <c r="CI165" s="539"/>
      <c r="CJ165" s="19"/>
      <c r="CM165" s="539"/>
      <c r="CN165" s="19"/>
      <c r="CQ165" s="539"/>
      <c r="CR165" s="19"/>
      <c r="CU165" s="539"/>
      <c r="CV165" s="19"/>
      <c r="CY165" s="539"/>
      <c r="CZ165" s="19"/>
      <c r="GN165" s="19"/>
      <c r="GQ165" s="539"/>
      <c r="GR165" s="19"/>
      <c r="GU165" s="539"/>
      <c r="GV165" s="19"/>
      <c r="GY165" s="539"/>
      <c r="GZ165" s="19"/>
      <c r="HC165" s="539"/>
      <c r="HD165" s="19"/>
      <c r="HG165" s="539"/>
      <c r="HH165" s="19"/>
      <c r="HK165" s="539"/>
      <c r="HL165" s="19"/>
      <c r="HO165" s="539"/>
      <c r="HP165" s="19"/>
      <c r="HX165" s="19"/>
    </row>
    <row r="166" spans="5:232" ht="13.5" thickBot="1">
      <c r="E166" s="1010" t="s">
        <v>1271</v>
      </c>
      <c r="F166" s="744" t="s">
        <v>1272</v>
      </c>
      <c r="G166" s="432"/>
      <c r="H166" s="1010" t="s">
        <v>1271</v>
      </c>
      <c r="I166" s="744" t="s">
        <v>1272</v>
      </c>
      <c r="J166" s="229"/>
      <c r="K166" s="1010" t="s">
        <v>1271</v>
      </c>
      <c r="L166" s="744" t="s">
        <v>1272</v>
      </c>
      <c r="M166" s="230"/>
      <c r="P166" s="420"/>
      <c r="Q166" s="224"/>
      <c r="R166" s="11" t="s">
        <v>57</v>
      </c>
      <c r="S166" s="20">
        <f t="shared" si="1111"/>
        <v>24.249193281000004</v>
      </c>
      <c r="T166" s="20">
        <f t="shared" si="1111"/>
        <v>24.249193281000004</v>
      </c>
      <c r="U166" s="27"/>
      <c r="V166" s="15">
        <f>T153/T167</f>
        <v>0.97608110082335009</v>
      </c>
      <c r="W166" s="15"/>
      <c r="X166" s="15">
        <f>T160/T167</f>
        <v>2.3918899176650004E-2</v>
      </c>
      <c r="Y166" s="866"/>
      <c r="Z166" s="12"/>
      <c r="AA166" s="12"/>
      <c r="AB166" s="12"/>
      <c r="AD166" s="586" t="s">
        <v>1174</v>
      </c>
      <c r="AE166" s="20">
        <f>'P2P Notes'!C8</f>
        <v>0</v>
      </c>
      <c r="AF166" s="27" t="e">
        <f t="shared" si="1040"/>
        <v>#REF!</v>
      </c>
      <c r="AG166" s="890" t="e">
        <f t="shared" si="1055"/>
        <v>#REF!</v>
      </c>
      <c r="AH166" s="210" t="s">
        <v>1176</v>
      </c>
      <c r="AI166" s="11"/>
      <c r="AJ166" s="11"/>
      <c r="AK166" s="11"/>
      <c r="AL166" s="11"/>
      <c r="AM166" s="11"/>
      <c r="AN166" s="11"/>
      <c r="AO166" s="11"/>
      <c r="AP166" s="11"/>
      <c r="AQ166" s="11"/>
      <c r="AR166" s="11"/>
      <c r="AS166" s="11"/>
      <c r="AT166" s="16">
        <f ca="1">AV164/AW145</f>
        <v>128.17361963190186</v>
      </c>
      <c r="AU166" s="709"/>
      <c r="AV166" s="707"/>
      <c r="BE166" s="224" t="s">
        <v>1665</v>
      </c>
      <c r="BF166" s="420" t="s">
        <v>1666</v>
      </c>
      <c r="BG166" s="236" t="s">
        <v>1422</v>
      </c>
      <c r="BT166" s="425"/>
      <c r="BU166" s="19"/>
      <c r="BV166" s="19"/>
      <c r="BW166" s="539"/>
      <c r="BX166" s="19"/>
      <c r="CA166" s="539"/>
      <c r="CB166" s="19"/>
      <c r="CE166" s="539"/>
      <c r="CF166" s="19"/>
      <c r="CI166" s="539"/>
      <c r="CJ166" s="19"/>
      <c r="CM166" s="539"/>
      <c r="CN166" s="19"/>
      <c r="CQ166" s="539"/>
      <c r="CR166" s="19"/>
      <c r="CU166" s="539"/>
      <c r="CV166" s="19"/>
      <c r="CY166" s="539"/>
      <c r="CZ166" s="19"/>
      <c r="GN166" s="19"/>
      <c r="GQ166" s="539"/>
      <c r="GR166" s="19"/>
      <c r="GU166" s="539"/>
      <c r="GV166" s="19"/>
      <c r="GY166" s="539"/>
      <c r="GZ166" s="19"/>
      <c r="HC166" s="539"/>
      <c r="HD166" s="19"/>
      <c r="HG166" s="539"/>
      <c r="HH166" s="19"/>
      <c r="HK166" s="539"/>
      <c r="HL166" s="19"/>
      <c r="HO166" s="539"/>
      <c r="HP166" s="19"/>
      <c r="HX166" s="19"/>
    </row>
    <row r="167" spans="5:232" ht="13.5" thickBot="1">
      <c r="L167" s="420"/>
      <c r="P167" s="420"/>
      <c r="Q167" s="224"/>
      <c r="R167" s="420"/>
      <c r="S167" s="420"/>
      <c r="T167" s="21">
        <f>SUM(T163:T166)</f>
        <v>2586.1987018360664</v>
      </c>
      <c r="U167" s="19"/>
      <c r="V167" s="19"/>
      <c r="W167" s="19"/>
      <c r="X167" s="19"/>
      <c r="Y167" s="866"/>
      <c r="Z167" s="12"/>
      <c r="AA167" s="12"/>
      <c r="AB167" s="12"/>
      <c r="AC167" s="12"/>
      <c r="AD167" s="586" t="s">
        <v>1175</v>
      </c>
      <c r="AE167" s="20">
        <f>'P2P Notes'!C10</f>
        <v>10.45</v>
      </c>
      <c r="AF167" s="27" t="e">
        <f t="shared" si="1040"/>
        <v>#REF!</v>
      </c>
      <c r="AG167" s="890" t="e">
        <f t="shared" si="1055"/>
        <v>#REF!</v>
      </c>
      <c r="AH167" s="210" t="s">
        <v>1177</v>
      </c>
      <c r="AI167" s="11"/>
      <c r="AJ167" s="11"/>
      <c r="AK167" s="11"/>
      <c r="AL167" s="11"/>
      <c r="AM167" s="11"/>
      <c r="AN167" s="11"/>
      <c r="AO167" s="11"/>
      <c r="AP167" s="11"/>
      <c r="AQ167" s="11"/>
      <c r="AR167" s="11"/>
      <c r="AS167" s="11"/>
      <c r="AU167" s="729"/>
      <c r="AV167" s="772" t="s">
        <v>427</v>
      </c>
      <c r="AW167" s="217" t="s">
        <v>1241</v>
      </c>
      <c r="AX167" s="217" t="s">
        <v>1417</v>
      </c>
      <c r="AY167" s="217" t="s">
        <v>1418</v>
      </c>
      <c r="AZ167" s="217" t="s">
        <v>1419</v>
      </c>
      <c r="BA167" s="592" t="s">
        <v>1917</v>
      </c>
      <c r="BB167" s="945"/>
      <c r="BE167" s="813">
        <f>2/1000</f>
        <v>2E-3</v>
      </c>
      <c r="BF167" s="645">
        <v>2</v>
      </c>
      <c r="BG167" s="234">
        <f>BE167*BE164*BF167</f>
        <v>1.197E-2</v>
      </c>
      <c r="BH167" s="19"/>
      <c r="BT167" s="425"/>
      <c r="BU167" s="19"/>
      <c r="BV167" s="19"/>
      <c r="BW167" s="539"/>
      <c r="BX167" s="19"/>
      <c r="CA167" s="539"/>
      <c r="CB167" s="19"/>
      <c r="CE167" s="539"/>
      <c r="CF167" s="19"/>
      <c r="CI167" s="539"/>
      <c r="CJ167" s="19"/>
      <c r="CM167" s="539"/>
      <c r="CN167" s="19"/>
      <c r="CQ167" s="539"/>
      <c r="CR167" s="19"/>
      <c r="CU167" s="539"/>
      <c r="CV167" s="19"/>
      <c r="CY167" s="539"/>
      <c r="CZ167" s="19"/>
      <c r="GN167" s="19"/>
      <c r="GQ167" s="539"/>
      <c r="GR167" s="19"/>
      <c r="GU167" s="539"/>
      <c r="GV167" s="19"/>
      <c r="GY167" s="539"/>
      <c r="GZ167" s="19"/>
      <c r="HC167" s="539"/>
      <c r="HD167" s="19"/>
      <c r="HG167" s="539"/>
      <c r="HH167" s="19"/>
      <c r="HK167" s="539"/>
      <c r="HL167" s="19"/>
      <c r="HO167" s="539"/>
      <c r="HP167" s="19"/>
      <c r="HX167" s="19"/>
    </row>
    <row r="168" spans="5:232">
      <c r="E168" s="972" t="s">
        <v>272</v>
      </c>
      <c r="F168" s="572" t="s">
        <v>1859</v>
      </c>
      <c r="G168" s="175"/>
      <c r="H168" s="773"/>
      <c r="I168" s="428" t="s">
        <v>2235</v>
      </c>
      <c r="J168" s="447" t="s">
        <v>2236</v>
      </c>
      <c r="K168" s="962" t="s">
        <v>2237</v>
      </c>
      <c r="M168" s="420"/>
      <c r="P168" s="420"/>
      <c r="Q168" s="224"/>
      <c r="R168" s="420"/>
      <c r="U168" s="19"/>
      <c r="V168" s="19"/>
      <c r="W168" s="19"/>
      <c r="X168" s="19"/>
      <c r="Y168" s="866"/>
      <c r="Z168" s="12"/>
      <c r="AA168" s="12"/>
      <c r="AB168" s="12"/>
      <c r="AC168" s="12"/>
      <c r="AD168" s="194" t="s">
        <v>2522</v>
      </c>
      <c r="AE168" s="30">
        <v>5</v>
      </c>
      <c r="AF168" s="27" t="e">
        <f t="shared" si="1040"/>
        <v>#REF!</v>
      </c>
      <c r="AG168" s="890" t="e">
        <f t="shared" si="1055"/>
        <v>#REF!</v>
      </c>
      <c r="AH168" s="210" t="s">
        <v>2525</v>
      </c>
      <c r="AI168" s="11"/>
      <c r="AJ168" s="11"/>
      <c r="AK168" s="11"/>
      <c r="AL168" s="11"/>
      <c r="AM168" s="11"/>
      <c r="AN168" s="11"/>
      <c r="AO168" s="11"/>
      <c r="AP168" s="11"/>
      <c r="AQ168" s="11"/>
      <c r="AR168" s="11"/>
      <c r="AS168" s="11"/>
      <c r="AT168" s="7" t="s">
        <v>1906</v>
      </c>
      <c r="AU168" s="224" t="s">
        <v>1407</v>
      </c>
      <c r="AV168" s="10">
        <f ca="1">AV158/AV145</f>
        <v>2.4858895705521471</v>
      </c>
      <c r="AW168" s="12">
        <f t="shared" ref="AW168:AW175" ca="1" si="1112">AV168*365.25</f>
        <v>907.97116564417172</v>
      </c>
      <c r="AX168" s="12">
        <f t="shared" ref="AX168:AX175" ca="1" si="1113">AW168/12</f>
        <v>75.664263803680981</v>
      </c>
      <c r="AY168" s="715">
        <v>3000</v>
      </c>
      <c r="AZ168" s="46">
        <f t="shared" ref="AZ168:AZ175" ca="1" si="1114">TODAY()+365.25*(((AY168-AV158)/AV168)/365.25)</f>
        <v>43163.81145113524</v>
      </c>
      <c r="BA168" s="730">
        <f t="shared" ref="BA168:BA175" si="1115">AV158/AY168</f>
        <v>0.67533333333333334</v>
      </c>
      <c r="BB168" s="12"/>
      <c r="BC168" s="19"/>
      <c r="BE168" s="224"/>
      <c r="BG168" s="236"/>
      <c r="BT168" s="425"/>
      <c r="BU168" s="19"/>
      <c r="BV168" s="19"/>
      <c r="BW168" s="539"/>
      <c r="BX168" s="19"/>
      <c r="CA168" s="539"/>
      <c r="CB168" s="19"/>
      <c r="CE168" s="539"/>
      <c r="CF168" s="19"/>
      <c r="CI168" s="539"/>
      <c r="CJ168" s="19"/>
      <c r="CM168" s="539"/>
      <c r="CN168" s="19"/>
      <c r="CQ168" s="539"/>
      <c r="CR168" s="19"/>
      <c r="CU168" s="539"/>
      <c r="CV168" s="19"/>
      <c r="CY168" s="539"/>
      <c r="CZ168" s="19"/>
      <c r="GN168" s="19"/>
      <c r="GQ168" s="539"/>
      <c r="GR168" s="19"/>
      <c r="GU168" s="539"/>
      <c r="GV168" s="19"/>
      <c r="GY168" s="539"/>
      <c r="GZ168" s="19"/>
      <c r="HC168" s="539"/>
      <c r="HD168" s="19"/>
      <c r="HG168" s="539"/>
      <c r="HH168" s="19"/>
      <c r="HK168" s="539"/>
      <c r="HL168" s="19"/>
      <c r="HO168" s="539"/>
      <c r="HP168" s="19"/>
      <c r="HX168" s="19"/>
    </row>
    <row r="169" spans="5:232">
      <c r="E169" s="224">
        <v>2009</v>
      </c>
      <c r="F169" s="234">
        <v>0</v>
      </c>
      <c r="G169" s="19"/>
      <c r="H169" s="225" t="s">
        <v>2234</v>
      </c>
      <c r="I169" s="19">
        <f>AVERAGE(J2:J140)</f>
        <v>460.93064481438853</v>
      </c>
      <c r="J169" s="19">
        <f>AVERAGE(J141:J146)</f>
        <v>383.54235666666665</v>
      </c>
      <c r="K169" s="234">
        <f>AVERAGE(J2:J146)</f>
        <v>457.72837082206911</v>
      </c>
      <c r="L169" s="420"/>
      <c r="M169" s="420"/>
      <c r="Q169" s="226"/>
      <c r="T169" s="420" t="s">
        <v>1979</v>
      </c>
      <c r="U169" s="11" t="s">
        <v>1978</v>
      </c>
      <c r="W169" s="19"/>
      <c r="X169" s="19"/>
      <c r="Y169" s="866"/>
      <c r="Z169" s="12"/>
      <c r="AA169" s="12"/>
      <c r="AB169" s="12"/>
      <c r="AC169" s="12"/>
      <c r="AD169" s="194" t="s">
        <v>2523</v>
      </c>
      <c r="AE169" s="30">
        <v>231</v>
      </c>
      <c r="AF169" s="27" t="e">
        <f t="shared" si="1040"/>
        <v>#REF!</v>
      </c>
      <c r="AG169" s="890" t="e">
        <f t="shared" si="1055"/>
        <v>#REF!</v>
      </c>
      <c r="AH169" s="210" t="s">
        <v>2524</v>
      </c>
      <c r="AI169" s="11"/>
      <c r="AJ169" s="11"/>
      <c r="AK169" s="11"/>
      <c r="AL169" s="11"/>
      <c r="AM169" s="11"/>
      <c r="AN169" s="11"/>
      <c r="AO169" s="11"/>
      <c r="AP169" s="11"/>
      <c r="AQ169" s="11"/>
      <c r="AR169" s="11"/>
      <c r="AS169" s="11"/>
      <c r="AT169" s="45">
        <f>AV152/AV165</f>
        <v>0.23765467625899278</v>
      </c>
      <c r="AU169" s="224" t="s">
        <v>1408</v>
      </c>
      <c r="AV169" s="10">
        <f ca="1">AV159/AV145</f>
        <v>138.03312883435584</v>
      </c>
      <c r="AW169" s="12">
        <f t="shared" ca="1" si="1112"/>
        <v>50416.600306748471</v>
      </c>
      <c r="AX169" s="12">
        <f t="shared" ca="1" si="1113"/>
        <v>4201.3833588957059</v>
      </c>
      <c r="AY169" s="715">
        <v>1000000</v>
      </c>
      <c r="AZ169" s="46">
        <f t="shared" ca="1" si="1114"/>
        <v>49201.637634781371</v>
      </c>
      <c r="BA169" s="730">
        <f t="shared" si="1115"/>
        <v>0.112497</v>
      </c>
      <c r="BB169" s="807"/>
      <c r="BE169" s="224" t="s">
        <v>1513</v>
      </c>
      <c r="BG169" s="236" t="s">
        <v>1663</v>
      </c>
      <c r="BT169" s="425"/>
      <c r="BU169" s="19"/>
      <c r="BV169" s="19"/>
      <c r="BW169" s="539"/>
      <c r="BX169" s="19"/>
      <c r="CA169" s="539"/>
      <c r="CB169" s="19"/>
      <c r="CE169" s="539"/>
      <c r="CF169" s="19"/>
      <c r="CI169" s="539"/>
      <c r="CJ169" s="19"/>
      <c r="CM169" s="539"/>
      <c r="CN169" s="19"/>
      <c r="CQ169" s="539"/>
      <c r="CR169" s="19"/>
      <c r="CU169" s="539"/>
      <c r="CV169" s="19"/>
      <c r="CY169" s="539"/>
      <c r="CZ169" s="19"/>
      <c r="GN169" s="19"/>
      <c r="GQ169" s="539"/>
      <c r="GR169" s="19"/>
      <c r="GU169" s="539"/>
      <c r="GV169" s="19"/>
      <c r="GY169" s="539"/>
      <c r="GZ169" s="19"/>
      <c r="HC169" s="539"/>
      <c r="HD169" s="19"/>
      <c r="HG169" s="539"/>
      <c r="HH169" s="19"/>
      <c r="HK169" s="539"/>
      <c r="HL169" s="19"/>
      <c r="HO169" s="539"/>
      <c r="HP169" s="19"/>
      <c r="HX169" s="19"/>
    </row>
    <row r="170" spans="5:232" ht="13.5" thickBot="1">
      <c r="E170" s="224">
        <v>2010</v>
      </c>
      <c r="F170" s="234">
        <v>519.52</v>
      </c>
      <c r="G170" s="19"/>
      <c r="H170" s="192" t="s">
        <v>221</v>
      </c>
      <c r="I170" s="19">
        <f>MAX(J2:J140)</f>
        <v>18092.014638000001</v>
      </c>
      <c r="J170" s="19">
        <f>MAX(J141:J146)</f>
        <v>1258.7409259999999</v>
      </c>
      <c r="K170" s="234">
        <f>MAX(J2:J146)</f>
        <v>18092.014638000001</v>
      </c>
      <c r="L170" s="15"/>
      <c r="M170" s="420"/>
      <c r="N170" s="15"/>
      <c r="O170" s="420"/>
      <c r="P170" s="420"/>
      <c r="Q170" s="224"/>
      <c r="R170" s="420"/>
      <c r="S170" s="420" t="s">
        <v>69</v>
      </c>
      <c r="T170" s="15">
        <f>T153/G148</f>
        <v>3.9400107796388577E-2</v>
      </c>
      <c r="U170" s="15">
        <f>SUM(S2:S140)/SUM(K2:K140)</f>
        <v>4.9813337124137838E-2</v>
      </c>
      <c r="V170" s="19"/>
      <c r="W170" s="19"/>
      <c r="X170" s="19"/>
      <c r="Y170" s="866"/>
      <c r="Z170" s="12"/>
      <c r="AA170" s="12"/>
      <c r="AB170" s="12"/>
      <c r="AC170" s="12"/>
      <c r="AD170" s="194" t="s">
        <v>395</v>
      </c>
      <c r="AE170" s="20" t="e">
        <f>Metals!#REF!</f>
        <v>#REF!</v>
      </c>
      <c r="AF170" s="27" t="e">
        <f t="shared" si="1040"/>
        <v>#REF!</v>
      </c>
      <c r="AG170" s="890" t="e">
        <f t="shared" si="1055"/>
        <v>#REF!</v>
      </c>
      <c r="AH170" s="210" t="s">
        <v>394</v>
      </c>
      <c r="AI170" s="512"/>
      <c r="AJ170" s="512"/>
      <c r="AK170" s="512"/>
      <c r="AL170" s="512"/>
      <c r="AM170" s="512"/>
      <c r="AN170" s="512"/>
      <c r="AO170" s="512"/>
      <c r="AP170" s="512"/>
      <c r="AQ170" s="512"/>
      <c r="AR170" s="512"/>
      <c r="AS170" s="512"/>
      <c r="AU170" s="224" t="s">
        <v>1409</v>
      </c>
      <c r="AV170" s="10">
        <f ca="1">AV160/AV145</f>
        <v>204.18650306748467</v>
      </c>
      <c r="AW170" s="12">
        <f t="shared" ca="1" si="1112"/>
        <v>74579.120245398779</v>
      </c>
      <c r="AX170" s="12">
        <f t="shared" ca="1" si="1113"/>
        <v>6214.9266871165646</v>
      </c>
      <c r="AY170" s="715">
        <v>1000000</v>
      </c>
      <c r="AZ170" s="46">
        <f t="shared" ca="1" si="1114"/>
        <v>46854.483354565775</v>
      </c>
      <c r="BA170" s="730">
        <f t="shared" si="1115"/>
        <v>0.166412</v>
      </c>
      <c r="BB170" s="807"/>
      <c r="BE170" s="713">
        <v>0.05</v>
      </c>
      <c r="BG170" s="234">
        <f>BG167*365.25</f>
        <v>4.3720425000000001</v>
      </c>
      <c r="BH170" s="19"/>
      <c r="BT170" s="425"/>
      <c r="BU170" s="19"/>
      <c r="BV170" s="19"/>
      <c r="BW170" s="539"/>
      <c r="BX170" s="19"/>
      <c r="CA170" s="539"/>
      <c r="CB170" s="19"/>
      <c r="CE170" s="539"/>
      <c r="CF170" s="19"/>
      <c r="CI170" s="539"/>
      <c r="CJ170" s="19"/>
      <c r="CM170" s="539"/>
      <c r="CN170" s="19"/>
      <c r="CQ170" s="539"/>
      <c r="CR170" s="19"/>
      <c r="CU170" s="539"/>
      <c r="CV170" s="19"/>
      <c r="CY170" s="539"/>
      <c r="CZ170" s="19"/>
      <c r="GN170" s="19"/>
      <c r="GQ170" s="539"/>
      <c r="GR170" s="19"/>
      <c r="GU170" s="539"/>
      <c r="GV170" s="19"/>
      <c r="GY170" s="539"/>
      <c r="GZ170" s="19"/>
      <c r="HC170" s="539"/>
      <c r="HD170" s="19"/>
      <c r="HG170" s="539"/>
      <c r="HH170" s="19"/>
      <c r="HK170" s="539"/>
      <c r="HL170" s="19"/>
      <c r="HO170" s="539"/>
      <c r="HP170" s="19"/>
      <c r="HX170" s="19"/>
    </row>
    <row r="171" spans="5:232">
      <c r="E171" s="224">
        <v>2011</v>
      </c>
      <c r="F171" s="234">
        <v>-1059.58</v>
      </c>
      <c r="G171" s="19"/>
      <c r="H171" s="192" t="s">
        <v>161</v>
      </c>
      <c r="I171" s="149">
        <f>MIN(J2:J140)</f>
        <v>0.1233522</v>
      </c>
      <c r="J171" s="149">
        <f>MIN(J141:J146)</f>
        <v>76.69</v>
      </c>
      <c r="K171" s="357">
        <f>MIN(J2:J146)</f>
        <v>0.1233522</v>
      </c>
      <c r="L171" s="599"/>
      <c r="M171" s="420"/>
      <c r="N171" s="15"/>
      <c r="O171" s="420"/>
      <c r="P171" s="420"/>
      <c r="Q171" s="224"/>
      <c r="R171" s="420"/>
      <c r="S171" s="32" t="s">
        <v>70</v>
      </c>
      <c r="T171" s="36">
        <f>T160/G149</f>
        <v>2.6880571304480086E-2</v>
      </c>
      <c r="U171" s="15">
        <f>SUM(S141:S146)/SUM(K141:K146)</f>
        <v>3.4072909242132979E-2</v>
      </c>
      <c r="V171" s="19"/>
      <c r="W171" s="19"/>
      <c r="X171" s="19"/>
      <c r="Y171" s="866"/>
      <c r="Z171" s="760"/>
      <c r="AA171" s="760"/>
      <c r="AB171" s="760"/>
      <c r="AC171" s="12"/>
      <c r="AD171" s="189" t="s">
        <v>152</v>
      </c>
      <c r="AE171" s="20">
        <f>Treasuries!G9</f>
        <v>3170.5899999999974</v>
      </c>
      <c r="AF171" s="27" t="e">
        <f t="shared" si="1040"/>
        <v>#REF!</v>
      </c>
      <c r="AG171" s="890" t="e">
        <f t="shared" si="1055"/>
        <v>#REF!</v>
      </c>
      <c r="AH171" s="210" t="s">
        <v>209</v>
      </c>
      <c r="AI171" s="512"/>
      <c r="AJ171" s="512"/>
      <c r="AK171" s="512"/>
      <c r="AL171" s="512"/>
      <c r="AM171" s="512"/>
      <c r="AN171" s="512"/>
      <c r="AO171" s="512"/>
      <c r="AP171" s="512"/>
      <c r="AQ171" s="512"/>
      <c r="AR171" s="512"/>
      <c r="AS171" s="512"/>
      <c r="AT171" s="1416" t="s">
        <v>2795</v>
      </c>
      <c r="AU171" s="224" t="s">
        <v>1411</v>
      </c>
      <c r="AV171" s="10">
        <f ca="1">AV161/AV145</f>
        <v>2.4012269938650306</v>
      </c>
      <c r="AW171" s="12">
        <f t="shared" ca="1" si="1112"/>
        <v>877.04815950920238</v>
      </c>
      <c r="AX171" s="12">
        <f t="shared" ca="1" si="1113"/>
        <v>73.08734662576687</v>
      </c>
      <c r="AY171" s="715">
        <v>2000</v>
      </c>
      <c r="AZ171" s="46">
        <f t="shared" ca="1" si="1114"/>
        <v>42789.907511497193</v>
      </c>
      <c r="BA171" s="730">
        <f t="shared" si="1115"/>
        <v>0.97850000000000004</v>
      </c>
      <c r="BB171" s="10"/>
      <c r="BC171" s="16"/>
      <c r="BE171" s="224">
        <v>2</v>
      </c>
      <c r="BF171" s="19">
        <f>(1+$BE$170)^BE171*$BG$170</f>
        <v>4.8201768562499998</v>
      </c>
      <c r="BG171" s="236"/>
      <c r="BT171" s="425"/>
      <c r="BU171" s="19"/>
      <c r="BV171" s="19"/>
      <c r="BW171" s="539"/>
      <c r="BX171" s="19"/>
      <c r="CA171" s="539"/>
      <c r="CB171" s="19"/>
      <c r="CE171" s="539"/>
      <c r="CF171" s="19"/>
      <c r="CI171" s="539"/>
      <c r="CJ171" s="19"/>
      <c r="CM171" s="539"/>
      <c r="CN171" s="19"/>
      <c r="CQ171" s="539"/>
      <c r="CR171" s="19"/>
      <c r="CU171" s="539"/>
      <c r="CV171" s="19"/>
      <c r="CY171" s="539"/>
      <c r="CZ171" s="19"/>
      <c r="GN171" s="19"/>
      <c r="GQ171" s="539"/>
      <c r="GR171" s="19"/>
      <c r="GU171" s="539"/>
      <c r="GV171" s="19"/>
      <c r="GY171" s="539"/>
      <c r="GZ171" s="19"/>
      <c r="HC171" s="539"/>
      <c r="HD171" s="19"/>
      <c r="HG171" s="539"/>
      <c r="HH171" s="19"/>
      <c r="HK171" s="539"/>
      <c r="HL171" s="19"/>
      <c r="HO171" s="539"/>
      <c r="HP171" s="19"/>
      <c r="HX171" s="19"/>
    </row>
    <row r="172" spans="5:232" ht="13.5" thickBot="1">
      <c r="E172" s="224">
        <v>2012</v>
      </c>
      <c r="F172" s="234">
        <v>0</v>
      </c>
      <c r="G172" s="19"/>
      <c r="H172" s="51" t="s">
        <v>474</v>
      </c>
      <c r="I172" s="102">
        <f>MEDIAN(J2:J140)</f>
        <v>88.74454200000001</v>
      </c>
      <c r="J172" s="102">
        <f>MEDIAN(J141:J146)</f>
        <v>188.04207500000001</v>
      </c>
      <c r="K172" s="88">
        <f>MEDIAN(J2:J146)</f>
        <v>89.85025499999999</v>
      </c>
      <c r="L172" s="97"/>
      <c r="M172" s="420"/>
      <c r="N172" s="15"/>
      <c r="O172" s="420"/>
      <c r="P172" s="420"/>
      <c r="Q172" s="226"/>
      <c r="S172" s="420" t="s">
        <v>71</v>
      </c>
      <c r="T172" s="15">
        <f>T167/G150</f>
        <v>3.8966020576959311E-2</v>
      </c>
      <c r="U172" s="15">
        <f>SUM(S2:S146)/SUM(K2:K146)</f>
        <v>4.9268932682511396E-2</v>
      </c>
      <c r="V172" s="19"/>
      <c r="W172" s="19"/>
      <c r="X172" s="19"/>
      <c r="Y172" s="866"/>
      <c r="Z172" s="12"/>
      <c r="AA172" s="12"/>
      <c r="AB172" s="12"/>
      <c r="AC172" s="12"/>
      <c r="AD172" s="189" t="s">
        <v>153</v>
      </c>
      <c r="AE172" s="20">
        <f>Treasuries!G10</f>
        <v>11029.05</v>
      </c>
      <c r="AF172" s="27" t="e">
        <f t="shared" si="1040"/>
        <v>#REF!</v>
      </c>
      <c r="AG172" s="890" t="e">
        <f t="shared" si="1055"/>
        <v>#REF!</v>
      </c>
      <c r="AH172" s="210" t="s">
        <v>210</v>
      </c>
      <c r="AI172" s="512"/>
      <c r="AJ172" s="512"/>
      <c r="AK172" s="512"/>
      <c r="AL172" s="512"/>
      <c r="AM172" s="512"/>
      <c r="AN172" s="512"/>
      <c r="AO172" s="512"/>
      <c r="AP172" s="512"/>
      <c r="AQ172" s="512"/>
      <c r="AR172" s="512"/>
      <c r="AS172" s="512"/>
      <c r="AT172" s="1417">
        <v>1000000</v>
      </c>
      <c r="AU172" s="224" t="s">
        <v>1412</v>
      </c>
      <c r="AV172" s="10">
        <f ca="1">AV162/AV145</f>
        <v>6.9938650306748465E-2</v>
      </c>
      <c r="AW172" s="12">
        <f t="shared" ca="1" si="1112"/>
        <v>25.545092024539876</v>
      </c>
      <c r="AX172" s="12">
        <f t="shared" ca="1" si="1113"/>
        <v>2.1287576687116565</v>
      </c>
      <c r="AY172" s="715">
        <v>100</v>
      </c>
      <c r="AZ172" s="46">
        <f t="shared" ca="1" si="1114"/>
        <v>43386.824561403511</v>
      </c>
      <c r="BA172" s="730">
        <f t="shared" si="1115"/>
        <v>0.56999999999999995</v>
      </c>
      <c r="BB172" s="807"/>
      <c r="BE172" s="224">
        <v>5</v>
      </c>
      <c r="BF172" s="19">
        <f>(1+$BE$170)^BE172*$BG$170</f>
        <v>5.5799572332164065</v>
      </c>
      <c r="BG172" s="236"/>
      <c r="BT172" s="425"/>
      <c r="BU172" s="19"/>
      <c r="BV172" s="19"/>
      <c r="BW172" s="539"/>
      <c r="BX172" s="19"/>
      <c r="CA172" s="539"/>
      <c r="CB172" s="19"/>
      <c r="CE172" s="539"/>
      <c r="CF172" s="19"/>
      <c r="CI172" s="539"/>
      <c r="CJ172" s="19"/>
      <c r="CM172" s="539"/>
      <c r="CN172" s="19"/>
      <c r="CQ172" s="539"/>
      <c r="CR172" s="19"/>
      <c r="CU172" s="539"/>
      <c r="CV172" s="19"/>
      <c r="CY172" s="539"/>
      <c r="CZ172" s="19"/>
      <c r="GN172" s="19"/>
      <c r="GQ172" s="539"/>
      <c r="GR172" s="19"/>
      <c r="GU172" s="539"/>
      <c r="GV172" s="19"/>
      <c r="GY172" s="539"/>
      <c r="GZ172" s="19"/>
      <c r="HC172" s="539"/>
      <c r="HD172" s="19"/>
      <c r="HG172" s="539"/>
      <c r="HH172" s="19"/>
      <c r="HK172" s="539"/>
      <c r="HL172" s="19"/>
      <c r="HO172" s="539"/>
      <c r="HP172" s="19"/>
      <c r="HX172" s="19"/>
    </row>
    <row r="173" spans="5:232" ht="13.5" thickBot="1">
      <c r="E173" s="224">
        <v>2013</v>
      </c>
      <c r="F173" s="234">
        <v>0</v>
      </c>
      <c r="G173" s="19"/>
      <c r="H173" s="172"/>
      <c r="I173" s="793"/>
      <c r="J173" s="793"/>
      <c r="K173" s="91"/>
      <c r="L173" s="97"/>
      <c r="M173" s="420"/>
      <c r="N173" s="15"/>
      <c r="O173" s="420"/>
      <c r="P173" s="420"/>
      <c r="Q173" s="226"/>
      <c r="S173" s="420"/>
      <c r="T173" s="420"/>
      <c r="U173" s="420"/>
      <c r="V173" s="19"/>
      <c r="W173" s="21"/>
      <c r="X173" s="19"/>
      <c r="Y173" s="866"/>
      <c r="Z173" s="12"/>
      <c r="AA173" s="12"/>
      <c r="AB173" s="12"/>
      <c r="AC173" s="12"/>
      <c r="AD173" s="189" t="s">
        <v>486</v>
      </c>
      <c r="AE173" s="20">
        <f>Treasuries!BB3</f>
        <v>300</v>
      </c>
      <c r="AF173" s="27" t="e">
        <f t="shared" si="1040"/>
        <v>#REF!</v>
      </c>
      <c r="AG173" s="890" t="e">
        <f t="shared" si="1055"/>
        <v>#REF!</v>
      </c>
      <c r="AH173" s="211" t="s">
        <v>2447</v>
      </c>
      <c r="AI173" s="512"/>
      <c r="AJ173" s="512"/>
      <c r="AK173" s="512"/>
      <c r="AL173" s="512"/>
      <c r="AM173" s="512"/>
      <c r="AN173" s="512"/>
      <c r="AO173" s="512"/>
      <c r="AP173" s="512"/>
      <c r="AQ173" s="512"/>
      <c r="AR173" s="512"/>
      <c r="AS173" s="512"/>
      <c r="AT173" s="800"/>
      <c r="AU173" s="224" t="s">
        <v>1413</v>
      </c>
      <c r="AV173" s="10">
        <f ca="1">AV163/AV145</f>
        <v>0.76073619631901845</v>
      </c>
      <c r="AW173" s="12">
        <f t="shared" ca="1" si="1112"/>
        <v>277.85889570552149</v>
      </c>
      <c r="AX173" s="12">
        <f t="shared" ca="1" si="1113"/>
        <v>23.154907975460123</v>
      </c>
      <c r="AY173" s="715">
        <v>1000</v>
      </c>
      <c r="AZ173" s="46">
        <f t="shared" ca="1" si="1114"/>
        <v>43271.516129032258</v>
      </c>
      <c r="BA173" s="730">
        <f t="shared" si="1115"/>
        <v>0.62</v>
      </c>
      <c r="BB173" s="807"/>
      <c r="BE173" s="224">
        <v>10</v>
      </c>
      <c r="BF173" s="19">
        <f>(1+$BE$170)^BE173*$BG$170</f>
        <v>7.1215965362926124</v>
      </c>
      <c r="BG173" s="236"/>
      <c r="BT173" s="425"/>
      <c r="BU173" s="19"/>
      <c r="BV173" s="19"/>
      <c r="BW173" s="539"/>
      <c r="BX173" s="19"/>
      <c r="CA173" s="539"/>
      <c r="CB173" s="19"/>
      <c r="CE173" s="539"/>
      <c r="CF173" s="19"/>
      <c r="CI173" s="539"/>
      <c r="CJ173" s="19"/>
      <c r="CM173" s="539"/>
      <c r="CN173" s="19"/>
      <c r="CQ173" s="539"/>
      <c r="CR173" s="19"/>
      <c r="CU173" s="539"/>
      <c r="CV173" s="19"/>
      <c r="CY173" s="539"/>
      <c r="CZ173" s="19"/>
      <c r="GN173" s="19"/>
      <c r="GQ173" s="539"/>
      <c r="GR173" s="19"/>
      <c r="GU173" s="539"/>
      <c r="GV173" s="19"/>
      <c r="GY173" s="539"/>
      <c r="GZ173" s="19"/>
      <c r="HC173" s="539"/>
      <c r="HD173" s="19"/>
      <c r="HG173" s="539"/>
      <c r="HH173" s="19"/>
      <c r="HK173" s="539"/>
      <c r="HL173" s="19"/>
      <c r="HO173" s="539"/>
      <c r="HP173" s="19"/>
      <c r="HX173" s="19"/>
    </row>
    <row r="174" spans="5:232" ht="13.5" thickBot="1">
      <c r="E174" s="224">
        <v>2014</v>
      </c>
      <c r="F174" s="234">
        <v>-123.69</v>
      </c>
      <c r="G174" s="19"/>
      <c r="H174" s="172"/>
      <c r="I174" s="97"/>
      <c r="J174" s="97"/>
      <c r="K174" s="1067"/>
      <c r="L174" s="91"/>
      <c r="M174" s="420"/>
      <c r="N174" s="15"/>
      <c r="O174" s="420"/>
      <c r="P174" s="420"/>
      <c r="Q174" s="403" t="s">
        <v>53</v>
      </c>
      <c r="R174" s="404" t="s">
        <v>141</v>
      </c>
      <c r="S174" s="405" t="s">
        <v>809</v>
      </c>
      <c r="T174" s="231" t="s">
        <v>8</v>
      </c>
      <c r="U174" s="231" t="s">
        <v>1198</v>
      </c>
      <c r="V174" s="1037" t="s">
        <v>1979</v>
      </c>
      <c r="W174" s="1058" t="s">
        <v>1978</v>
      </c>
      <c r="X174" s="19"/>
      <c r="Y174" s="866"/>
      <c r="Z174" s="12"/>
      <c r="AA174" s="12"/>
      <c r="AB174" s="12"/>
      <c r="AC174" s="12"/>
      <c r="AD174" s="189" t="s">
        <v>721</v>
      </c>
      <c r="AE174" s="20">
        <f>Treasuries!O3</f>
        <v>1900</v>
      </c>
      <c r="AF174" s="27" t="e">
        <f t="shared" si="1040"/>
        <v>#REF!</v>
      </c>
      <c r="AG174" s="890" t="e">
        <f t="shared" si="1055"/>
        <v>#REF!</v>
      </c>
      <c r="AH174" s="211" t="s">
        <v>2444</v>
      </c>
      <c r="AI174" s="512"/>
      <c r="AJ174" s="512"/>
      <c r="AK174" s="512"/>
      <c r="AL174" s="512"/>
      <c r="AM174" s="512"/>
      <c r="AN174" s="512"/>
      <c r="AO174" s="512"/>
      <c r="AP174" s="512"/>
      <c r="AQ174" s="512"/>
      <c r="AR174" s="512"/>
      <c r="AS174" s="512"/>
      <c r="AT174" s="800" t="s">
        <v>2794</v>
      </c>
      <c r="AU174" s="224" t="s">
        <v>6</v>
      </c>
      <c r="AV174" s="10">
        <f ca="1">AV164/AV145</f>
        <v>0.35092024539877298</v>
      </c>
      <c r="AW174" s="12">
        <f t="shared" ca="1" si="1112"/>
        <v>128.17361963190183</v>
      </c>
      <c r="AX174" s="12">
        <f t="shared" ca="1" si="1113"/>
        <v>10.681134969325152</v>
      </c>
      <c r="AY174" s="715">
        <v>500</v>
      </c>
      <c r="AZ174" s="46">
        <f t="shared" ca="1" si="1114"/>
        <v>43381.825174825171</v>
      </c>
      <c r="BA174" s="730">
        <f t="shared" si="1115"/>
        <v>0.57199999999999995</v>
      </c>
      <c r="BB174" s="46"/>
      <c r="BE174" s="441">
        <v>20</v>
      </c>
      <c r="BF174" s="432">
        <f>(1+$BE$170)^BE174*$BG$170</f>
        <v>11.600330332043876</v>
      </c>
      <c r="BG174" s="646"/>
      <c r="GN174" s="19"/>
      <c r="GQ174" s="539"/>
      <c r="GR174" s="19"/>
      <c r="GU174" s="539"/>
      <c r="GV174" s="19"/>
      <c r="GY174" s="539"/>
      <c r="GZ174" s="19"/>
      <c r="HC174" s="539"/>
      <c r="HD174" s="19"/>
      <c r="HG174" s="539"/>
      <c r="HH174" s="19"/>
      <c r="HK174" s="539"/>
      <c r="HL174" s="19"/>
      <c r="HO174" s="539"/>
      <c r="HP174" s="19"/>
      <c r="HX174" s="19"/>
    </row>
    <row r="175" spans="5:232" ht="13.5" thickBot="1">
      <c r="E175" s="224">
        <v>2015</v>
      </c>
      <c r="F175" s="234">
        <v>-290.67</v>
      </c>
      <c r="G175" s="19"/>
      <c r="H175" s="362"/>
      <c r="I175" s="91"/>
      <c r="J175" s="91"/>
      <c r="K175" s="91"/>
      <c r="L175" s="91"/>
      <c r="M175" s="420"/>
      <c r="N175" s="15"/>
      <c r="O175" s="420"/>
      <c r="P175" s="420" t="s">
        <v>1093</v>
      </c>
      <c r="Q175" s="406" t="s">
        <v>56</v>
      </c>
      <c r="R175" s="12">
        <f>COUNTIF($U$2:$U$146,Q175)</f>
        <v>39</v>
      </c>
      <c r="S175" s="15">
        <f>R175/$R$180</f>
        <v>0.26896551724137929</v>
      </c>
      <c r="T175" s="20">
        <f>SUMIF($U$2:$U$146,"M",$J$2:$J$146)</f>
        <v>40495.760888999997</v>
      </c>
      <c r="U175" s="233">
        <f>T175/$T$180</f>
        <v>0.61014594546046652</v>
      </c>
      <c r="V175" s="15">
        <f>T163/T175</f>
        <v>4.4452737487494572E-2</v>
      </c>
      <c r="W175" s="591">
        <f>SUMIF($U$2:$U$146,"M",$S$2:$S$146)/SUMIF($U$2:$U$146,"M",$K$2:$K$146)</f>
        <v>5.6364676775210926E-2</v>
      </c>
      <c r="X175" s="19"/>
      <c r="Y175" s="866"/>
      <c r="Z175" s="12"/>
      <c r="AA175" s="12"/>
      <c r="AB175" s="12"/>
      <c r="AC175" s="12"/>
      <c r="AD175" s="189" t="s">
        <v>2448</v>
      </c>
      <c r="AE175" s="20">
        <f>Treasuries!X3</f>
        <v>100</v>
      </c>
      <c r="AF175" s="27" t="e">
        <f t="shared" ref="AF175:AF191" si="1116">(AE175/$AE$191)</f>
        <v>#REF!</v>
      </c>
      <c r="AG175" s="890" t="e">
        <f t="shared" si="1055"/>
        <v>#REF!</v>
      </c>
      <c r="AH175" s="211" t="s">
        <v>2451</v>
      </c>
      <c r="AI175" s="512"/>
      <c r="AJ175" s="512"/>
      <c r="AK175" s="512"/>
      <c r="AL175" s="512"/>
      <c r="AM175" s="512"/>
      <c r="AN175" s="512"/>
      <c r="AO175" s="512"/>
      <c r="AP175" s="512"/>
      <c r="AQ175" s="512"/>
      <c r="AR175" s="512"/>
      <c r="AS175" s="512"/>
      <c r="AT175" s="1418">
        <f>AT172*AZ165</f>
        <v>1468.2169302292505</v>
      </c>
      <c r="AU175" s="441" t="s">
        <v>1410</v>
      </c>
      <c r="AV175" s="739">
        <f ca="1">AV165/AV145</f>
        <v>0.85276073619631898</v>
      </c>
      <c r="AW175" s="407">
        <f t="shared" ca="1" si="1112"/>
        <v>311.47085889570553</v>
      </c>
      <c r="AX175" s="407">
        <f t="shared" ca="1" si="1113"/>
        <v>25.955904907975462</v>
      </c>
      <c r="AY175" s="716">
        <v>1000</v>
      </c>
      <c r="AZ175" s="731">
        <f t="shared" ca="1" si="1114"/>
        <v>43129.661870503594</v>
      </c>
      <c r="BA175" s="732">
        <f t="shared" si="1115"/>
        <v>0.69499999999999995</v>
      </c>
      <c r="BG175" s="623"/>
      <c r="BH175" s="26"/>
      <c r="GN175" s="19"/>
      <c r="GQ175" s="539"/>
      <c r="GR175" s="19"/>
      <c r="GU175" s="539"/>
      <c r="GV175" s="19"/>
      <c r="GY175" s="539"/>
      <c r="GZ175" s="19"/>
      <c r="HC175" s="539"/>
      <c r="HD175" s="19"/>
      <c r="HG175" s="539"/>
      <c r="HH175" s="19"/>
      <c r="HK175" s="539"/>
      <c r="HL175" s="19"/>
      <c r="HO175" s="539"/>
      <c r="HP175" s="19"/>
      <c r="HX175" s="19"/>
    </row>
    <row r="176" spans="5:232" ht="13.5" thickBot="1">
      <c r="E176" s="224">
        <v>2016</v>
      </c>
      <c r="F176" s="234">
        <v>-351.67</v>
      </c>
      <c r="G176" s="19"/>
      <c r="H176" s="172"/>
      <c r="I176" s="1171"/>
      <c r="J176" s="97"/>
      <c r="K176" s="91"/>
      <c r="L176" s="91"/>
      <c r="M176" s="420"/>
      <c r="N176" s="15"/>
      <c r="O176" s="420"/>
      <c r="P176" s="420" t="s">
        <v>1094</v>
      </c>
      <c r="Q176" s="406" t="s">
        <v>54</v>
      </c>
      <c r="R176" s="12">
        <f>COUNTIF($U$2:$U$146,Q176)</f>
        <v>84</v>
      </c>
      <c r="S176" s="15">
        <f>R176/$R$180</f>
        <v>0.57931034482758625</v>
      </c>
      <c r="T176" s="20">
        <f>SUMIF($U$2:$U$146,"Q",$J$2:$J$146)</f>
        <v>20839.426856000002</v>
      </c>
      <c r="U176" s="233">
        <f>T176/$T$180</f>
        <v>0.31398574869998808</v>
      </c>
      <c r="V176" s="15">
        <f>T164/T176</f>
        <v>3.6028779562324059E-2</v>
      </c>
      <c r="W176" s="591">
        <f>SUMIF($U$2:$U$146,"Q",$S$2:$S$146)/SUMIF($U$2:$U$146,"Q",$K$2:$K$146)</f>
        <v>4.2529350985094715E-2</v>
      </c>
      <c r="X176" s="19"/>
      <c r="Y176" s="866"/>
      <c r="Z176" s="12"/>
      <c r="AA176" s="12"/>
      <c r="AB176" s="1231"/>
      <c r="AC176" s="12"/>
      <c r="AD176" s="189" t="s">
        <v>2449</v>
      </c>
      <c r="AE176" s="20">
        <f>Treasuries!AH3</f>
        <v>100</v>
      </c>
      <c r="AF176" s="27" t="e">
        <f t="shared" si="1116"/>
        <v>#REF!</v>
      </c>
      <c r="AG176" s="890" t="e">
        <f t="shared" si="1055"/>
        <v>#REF!</v>
      </c>
      <c r="AH176" s="211" t="s">
        <v>2451</v>
      </c>
      <c r="AI176" s="512"/>
      <c r="AJ176" s="512"/>
      <c r="AK176" s="512"/>
      <c r="AL176" s="512"/>
      <c r="AM176" s="512"/>
      <c r="AN176" s="512"/>
      <c r="AO176" s="512"/>
      <c r="AP176" s="512"/>
      <c r="AQ176" s="512"/>
      <c r="AR176" s="512"/>
      <c r="AS176" s="512"/>
      <c r="AU176" s="710"/>
      <c r="AV176" s="711"/>
      <c r="AW176" s="712"/>
      <c r="AX176" s="238"/>
      <c r="AY176" s="238"/>
      <c r="AZ176" s="238"/>
      <c r="BA176" s="238"/>
      <c r="BB176" s="238"/>
      <c r="BC176" s="408"/>
      <c r="BD176" s="238"/>
      <c r="BE176" s="238"/>
      <c r="BF176" s="238"/>
      <c r="BG176" s="767"/>
      <c r="BH176" s="26"/>
      <c r="BI176" s="11"/>
      <c r="BJ176" s="11"/>
      <c r="BK176" s="11"/>
      <c r="BL176" s="11"/>
      <c r="BM176" s="11"/>
      <c r="BN176" s="11"/>
      <c r="BO176" s="11"/>
      <c r="GN176" s="19"/>
      <c r="GQ176" s="539"/>
      <c r="GR176" s="19"/>
      <c r="GU176" s="539"/>
      <c r="GV176" s="19"/>
      <c r="GY176" s="539"/>
      <c r="GZ176" s="19"/>
      <c r="HC176" s="539"/>
      <c r="HD176" s="19"/>
      <c r="HG176" s="539"/>
      <c r="HH176" s="19"/>
      <c r="HK176" s="539"/>
      <c r="HL176" s="19"/>
      <c r="HO176" s="539"/>
      <c r="HP176" s="19"/>
      <c r="HX176" s="19"/>
    </row>
    <row r="177" spans="1:232">
      <c r="E177" s="224">
        <v>2017</v>
      </c>
      <c r="F177" s="234">
        <v>-0.01</v>
      </c>
      <c r="G177" s="19"/>
      <c r="H177" s="91"/>
      <c r="I177" s="1171"/>
      <c r="J177" s="97"/>
      <c r="K177" s="91"/>
      <c r="L177" s="91"/>
      <c r="M177" s="420"/>
      <c r="N177" s="15"/>
      <c r="O177" s="420"/>
      <c r="P177" s="420" t="s">
        <v>1095</v>
      </c>
      <c r="Q177" s="406" t="s">
        <v>882</v>
      </c>
      <c r="R177" s="12">
        <f>COUNTIF($U$2:$U$146,Q177)</f>
        <v>4</v>
      </c>
      <c r="S177" s="15">
        <f>R177/$R$180</f>
        <v>2.7586206896551724E-2</v>
      </c>
      <c r="T177" s="20">
        <f>SUMIF($U$2:$U$146,"B",$J$2:$J$146)</f>
        <v>567.03735200000006</v>
      </c>
      <c r="U177" s="233">
        <f>T177/$T$180</f>
        <v>8.5435001998300005E-3</v>
      </c>
      <c r="V177" s="15">
        <f>T165/T177</f>
        <v>1.9369030913504968E-2</v>
      </c>
      <c r="W177" s="591">
        <f>SUMIF($U$2:$U$146,"B",$S$2:$S$146)/SUMIF($U$2:$U$146,"B",$K$2:$K$146)</f>
        <v>3.6332541599126661E-2</v>
      </c>
      <c r="X177" s="19"/>
      <c r="Y177" s="866"/>
      <c r="Z177" s="12"/>
      <c r="AA177" s="12"/>
      <c r="AB177" s="12"/>
      <c r="AC177" s="12"/>
      <c r="AD177" s="189" t="s">
        <v>2450</v>
      </c>
      <c r="AE177" s="20">
        <f>Treasuries!AQ3</f>
        <v>600</v>
      </c>
      <c r="AF177" s="27" t="e">
        <f t="shared" si="1116"/>
        <v>#REF!</v>
      </c>
      <c r="AG177" s="890" t="e">
        <f t="shared" si="1055"/>
        <v>#REF!</v>
      </c>
      <c r="AH177" s="211" t="s">
        <v>2451</v>
      </c>
      <c r="AI177" s="512"/>
      <c r="AJ177" s="512"/>
      <c r="AK177" s="512"/>
      <c r="AL177" s="512"/>
      <c r="AM177" s="512"/>
      <c r="AN177" s="512"/>
      <c r="AO177" s="512"/>
      <c r="AP177" s="512"/>
      <c r="AQ177" s="512"/>
      <c r="AR177" s="512"/>
      <c r="AS177" s="512"/>
      <c r="AT177" s="19"/>
      <c r="BI177" s="11"/>
      <c r="BJ177" s="11"/>
      <c r="BK177" s="11"/>
      <c r="BL177" s="11"/>
      <c r="BM177" s="11"/>
      <c r="BN177" s="11"/>
      <c r="BO177" s="11"/>
      <c r="GN177" s="19"/>
      <c r="GQ177" s="539"/>
      <c r="GR177" s="19"/>
      <c r="GU177" s="539"/>
      <c r="GV177" s="19"/>
      <c r="GY177" s="539"/>
      <c r="GZ177" s="19"/>
      <c r="HC177" s="539"/>
      <c r="HD177" s="19"/>
      <c r="HG177" s="539"/>
      <c r="HH177" s="19"/>
      <c r="HK177" s="539"/>
      <c r="HL177" s="19"/>
      <c r="HO177" s="539"/>
      <c r="HP177" s="19"/>
      <c r="HX177" s="19"/>
    </row>
    <row r="178" spans="1:232" ht="13.5" thickBot="1">
      <c r="D178" s="11"/>
      <c r="E178" s="224"/>
      <c r="F178" s="236"/>
      <c r="H178" s="91"/>
      <c r="I178" s="1172"/>
      <c r="J178" s="599"/>
      <c r="K178" s="91"/>
      <c r="L178" s="91"/>
      <c r="M178" s="12"/>
      <c r="N178" s="15"/>
      <c r="O178" s="420"/>
      <c r="P178" s="420" t="s">
        <v>1096</v>
      </c>
      <c r="Q178" s="406" t="s">
        <v>57</v>
      </c>
      <c r="R178" s="12">
        <f>COUNTIF($U$2:$U$146,Q178)</f>
        <v>4</v>
      </c>
      <c r="S178" s="15">
        <f>R178/$R$180</f>
        <v>2.7586206896551724E-2</v>
      </c>
      <c r="T178" s="20">
        <f>SUMIF($U$2:$U$146,"Y",$J$2:$J$146)</f>
        <v>2932.0683930000005</v>
      </c>
      <c r="U178" s="233">
        <f>T178/$T$180</f>
        <v>4.4177207750347162E-2</v>
      </c>
      <c r="V178" s="15">
        <f>T166/T178</f>
        <v>8.2703368512454748E-3</v>
      </c>
      <c r="W178" s="591">
        <f>SUMIF($U$2:$U$146,"Y",$S$2:$S$146)/SUMIF($U$2:$U$146,"Y",$K$2:$K$146)</f>
        <v>2.5640172647105476E-2</v>
      </c>
      <c r="X178" s="19"/>
      <c r="Y178" s="866"/>
      <c r="Z178" s="12"/>
      <c r="AA178" s="12"/>
      <c r="AB178" s="12"/>
      <c r="AC178" s="12"/>
      <c r="AD178" s="189" t="s">
        <v>275</v>
      </c>
      <c r="AE178" s="20">
        <f>Treasuries!E15</f>
        <v>4300</v>
      </c>
      <c r="AF178" s="27" t="e">
        <f t="shared" si="1116"/>
        <v>#REF!</v>
      </c>
      <c r="AG178" s="890" t="e">
        <f t="shared" si="1055"/>
        <v>#REF!</v>
      </c>
      <c r="AH178" s="211" t="s">
        <v>285</v>
      </c>
      <c r="AI178" s="11"/>
      <c r="AJ178" s="11"/>
      <c r="AK178" s="11"/>
      <c r="AL178" s="11"/>
      <c r="AM178" s="11"/>
      <c r="AN178" s="11"/>
      <c r="AO178" s="11"/>
      <c r="AP178" s="11"/>
      <c r="AQ178" s="11"/>
      <c r="AR178" s="11"/>
      <c r="AS178" s="11"/>
      <c r="AT178" s="11" t="s">
        <v>304</v>
      </c>
      <c r="BI178" s="11"/>
      <c r="BJ178" s="11"/>
      <c r="BK178" s="11"/>
      <c r="BL178" s="11"/>
      <c r="BM178" s="11"/>
      <c r="BN178" s="11"/>
      <c r="BO178" s="11"/>
      <c r="GN178" s="19"/>
      <c r="GQ178" s="539"/>
      <c r="GR178" s="19"/>
      <c r="GU178" s="539"/>
      <c r="GV178" s="19"/>
      <c r="GY178" s="539"/>
      <c r="GZ178" s="19"/>
      <c r="HC178" s="539"/>
      <c r="HD178" s="19"/>
      <c r="HG178" s="539"/>
      <c r="HH178" s="19"/>
      <c r="HK178" s="539"/>
      <c r="HL178" s="19"/>
      <c r="HO178" s="539"/>
      <c r="HP178" s="19"/>
      <c r="HX178" s="19"/>
    </row>
    <row r="179" spans="1:232" ht="13.5" thickBot="1">
      <c r="B179" s="531" t="s">
        <v>2363</v>
      </c>
      <c r="D179" s="11"/>
      <c r="E179" s="224" t="s">
        <v>8</v>
      </c>
      <c r="F179" s="234">
        <f>SUM(F169:F177)</f>
        <v>-1306.1000000000001</v>
      </c>
      <c r="G179" s="19"/>
      <c r="H179" s="172"/>
      <c r="I179" s="97"/>
      <c r="J179" s="97"/>
      <c r="K179" s="91"/>
      <c r="L179" s="91"/>
      <c r="M179" s="420"/>
      <c r="N179" s="15"/>
      <c r="O179" s="420"/>
      <c r="P179" s="420"/>
      <c r="Q179" s="643" t="s">
        <v>503</v>
      </c>
      <c r="R179" s="12">
        <f>COUNTBLANK($U$2:$U$146)</f>
        <v>14</v>
      </c>
      <c r="S179" s="15">
        <f>R179/$R$180</f>
        <v>9.6551724137931033E-2</v>
      </c>
      <c r="T179" s="20">
        <f>SUMIF($U$2:$U$146,"",$J$2:$J$146)</f>
        <v>1536.3202792000004</v>
      </c>
      <c r="U179" s="233">
        <f>T179/$T$180</f>
        <v>2.3147597889368116E-2</v>
      </c>
      <c r="V179" s="19"/>
      <c r="W179" s="591"/>
      <c r="X179" s="19"/>
      <c r="Y179" s="866"/>
      <c r="Z179" s="12"/>
      <c r="AA179" s="12"/>
      <c r="AB179" s="12"/>
      <c r="AC179" s="12"/>
      <c r="AD179" s="189" t="s">
        <v>283</v>
      </c>
      <c r="AE179" s="20">
        <f>Treasuries!E16</f>
        <v>7100</v>
      </c>
      <c r="AF179" s="27" t="e">
        <f t="shared" si="1116"/>
        <v>#REF!</v>
      </c>
      <c r="AG179" s="890" t="e">
        <f t="shared" si="1055"/>
        <v>#REF!</v>
      </c>
      <c r="AH179" s="211" t="s">
        <v>286</v>
      </c>
      <c r="AI179" s="11"/>
      <c r="AJ179" s="11"/>
      <c r="AK179" s="11"/>
      <c r="AL179" s="11"/>
      <c r="AM179" s="11"/>
      <c r="AN179" s="11"/>
      <c r="AO179" s="11"/>
      <c r="AP179" s="11"/>
      <c r="AQ179" s="11"/>
      <c r="AR179" s="11"/>
      <c r="AS179" s="11"/>
      <c r="AT179" s="11"/>
      <c r="AU179" s="471" t="s">
        <v>814</v>
      </c>
      <c r="AV179" s="428"/>
      <c r="AW179" s="631"/>
      <c r="AX179" s="428"/>
      <c r="AY179" s="428"/>
      <c r="AZ179" s="428"/>
      <c r="BA179" s="428"/>
      <c r="BB179" s="428"/>
      <c r="BC179" s="1043"/>
      <c r="BI179" s="11"/>
      <c r="BJ179" s="11"/>
      <c r="BK179" s="11"/>
      <c r="BL179" s="11"/>
      <c r="BM179" s="11"/>
      <c r="BN179" s="11"/>
      <c r="BO179" s="11"/>
      <c r="GN179" s="19"/>
      <c r="GQ179" s="539"/>
      <c r="GR179" s="19"/>
      <c r="GU179" s="539"/>
      <c r="GV179" s="19"/>
      <c r="GY179" s="539"/>
      <c r="GZ179" s="19"/>
      <c r="HC179" s="539"/>
      <c r="HD179" s="19"/>
      <c r="HG179" s="539"/>
      <c r="HH179" s="19"/>
      <c r="HK179" s="539"/>
      <c r="HL179" s="19"/>
      <c r="HO179" s="539"/>
      <c r="HP179" s="19"/>
      <c r="HX179" s="19"/>
    </row>
    <row r="180" spans="1:232" ht="13.5" thickBot="1">
      <c r="A180" s="420" t="s">
        <v>2772</v>
      </c>
      <c r="B180" s="773" t="s">
        <v>2355</v>
      </c>
      <c r="C180" s="428" t="s">
        <v>13</v>
      </c>
      <c r="D180" s="447" t="s">
        <v>2661</v>
      </c>
      <c r="E180" s="973"/>
      <c r="F180" s="236"/>
      <c r="G180" s="17"/>
      <c r="H180" s="1147"/>
      <c r="I180" s="97"/>
      <c r="J180" s="97"/>
      <c r="K180" s="97"/>
      <c r="L180" s="91"/>
      <c r="N180" s="1009"/>
      <c r="O180" s="420"/>
      <c r="P180" s="420"/>
      <c r="Q180" s="237"/>
      <c r="R180" s="1057">
        <f>SUM(R175:R179)</f>
        <v>145</v>
      </c>
      <c r="S180" s="408">
        <f>SUM(S175:S179)</f>
        <v>1</v>
      </c>
      <c r="T180" s="432">
        <f>SUM(T175:T179)</f>
        <v>66370.613769200005</v>
      </c>
      <c r="U180" s="594"/>
      <c r="V180" s="432"/>
      <c r="W180" s="232"/>
      <c r="X180" s="537"/>
      <c r="Y180" s="867"/>
      <c r="AC180" s="12"/>
      <c r="AD180" s="189" t="s">
        <v>300</v>
      </c>
      <c r="AE180" s="20">
        <f>Treasuries!E17</f>
        <v>3900</v>
      </c>
      <c r="AF180" s="27" t="e">
        <f t="shared" si="1116"/>
        <v>#REF!</v>
      </c>
      <c r="AG180" s="890" t="e">
        <f t="shared" si="1055"/>
        <v>#REF!</v>
      </c>
      <c r="AH180" s="211" t="s">
        <v>302</v>
      </c>
      <c r="AI180" s="11"/>
      <c r="AJ180" s="11"/>
      <c r="AK180" s="11"/>
      <c r="AL180" s="11"/>
      <c r="AM180" s="11"/>
      <c r="AN180" s="11"/>
      <c r="AO180" s="11"/>
      <c r="AP180" s="11"/>
      <c r="AQ180" s="11"/>
      <c r="AR180" s="11"/>
      <c r="AS180" s="11"/>
      <c r="AT180" s="13"/>
      <c r="AU180" s="508" t="s">
        <v>2389</v>
      </c>
      <c r="AV180" s="420" t="s">
        <v>1512</v>
      </c>
      <c r="AW180" s="236" t="s">
        <v>514</v>
      </c>
      <c r="AX180" s="176"/>
      <c r="AZ180" s="915" t="s">
        <v>1771</v>
      </c>
      <c r="BA180" s="235" t="s">
        <v>1772</v>
      </c>
      <c r="BC180" s="591"/>
      <c r="BI180" s="11"/>
      <c r="BJ180" s="11"/>
      <c r="BK180" s="11"/>
      <c r="BL180" s="11"/>
      <c r="BM180" s="11"/>
      <c r="BN180" s="11"/>
      <c r="BO180" s="11"/>
      <c r="GN180" s="19"/>
      <c r="GQ180" s="539"/>
      <c r="GR180" s="19"/>
      <c r="GU180" s="539"/>
      <c r="GV180" s="19"/>
      <c r="GY180" s="539"/>
      <c r="GZ180" s="19"/>
      <c r="HC180" s="539"/>
      <c r="HD180" s="19"/>
      <c r="HG180" s="539"/>
      <c r="HH180" s="19"/>
      <c r="HK180" s="539"/>
      <c r="HL180" s="19"/>
      <c r="HO180" s="539"/>
      <c r="HP180" s="19"/>
      <c r="HX180" s="19"/>
    </row>
    <row r="181" spans="1:232" ht="13.5" thickBot="1">
      <c r="A181" s="16" t="e">
        <f>C181/C182</f>
        <v>#REF!</v>
      </c>
      <c r="B181" s="224" t="s">
        <v>48</v>
      </c>
      <c r="C181" s="19">
        <f>I144</f>
        <v>41.54</v>
      </c>
      <c r="D181" s="19">
        <f>Q144</f>
        <v>1.4</v>
      </c>
      <c r="E181" s="237" t="s">
        <v>1860</v>
      </c>
      <c r="F181" s="232">
        <f>H156+F179</f>
        <v>12573.04376919999</v>
      </c>
      <c r="G181" s="17"/>
      <c r="N181" s="15"/>
      <c r="O181" s="420"/>
      <c r="P181" s="420"/>
      <c r="Q181" s="66"/>
      <c r="S181" s="420"/>
      <c r="T181" s="420"/>
      <c r="U181" s="420"/>
      <c r="V181" s="19"/>
      <c r="W181" s="19"/>
      <c r="AC181" s="12"/>
      <c r="AD181" s="189" t="s">
        <v>151</v>
      </c>
      <c r="AE181" s="20">
        <f>Treasuries!D4</f>
        <v>208.57</v>
      </c>
      <c r="AF181" s="27" t="e">
        <f t="shared" si="1116"/>
        <v>#REF!</v>
      </c>
      <c r="AG181" s="890" t="e">
        <f t="shared" si="1055"/>
        <v>#REF!</v>
      </c>
      <c r="AH181" s="210" t="s">
        <v>213</v>
      </c>
      <c r="AI181" s="11"/>
      <c r="AJ181" s="11"/>
      <c r="AK181" s="11"/>
      <c r="AL181" s="11"/>
      <c r="AM181" s="11"/>
      <c r="AN181" s="11"/>
      <c r="AO181" s="11"/>
      <c r="AP181" s="11"/>
      <c r="AQ181" s="11"/>
      <c r="AR181" s="11"/>
      <c r="AS181" s="11"/>
      <c r="AT181" s="20"/>
      <c r="AU181" s="768">
        <v>42592</v>
      </c>
      <c r="AV181" s="238">
        <f ca="1">DATEDIF(AU181,A4,"D")</f>
        <v>180</v>
      </c>
      <c r="AW181" s="811">
        <f ca="1">AV181/365.25</f>
        <v>0.49281314168377821</v>
      </c>
      <c r="AX181" s="893"/>
      <c r="AZ181" s="916">
        <v>100</v>
      </c>
      <c r="BA181" s="641">
        <f>AZ181/AV201</f>
        <v>50</v>
      </c>
      <c r="BC181" s="591"/>
      <c r="BI181" s="11"/>
      <c r="BJ181" s="11"/>
      <c r="BK181" s="11"/>
      <c r="BL181" s="11"/>
      <c r="BM181" s="11"/>
      <c r="BN181" s="11"/>
      <c r="BO181" s="11"/>
      <c r="GN181" s="19"/>
      <c r="GQ181" s="539"/>
      <c r="GR181" s="19"/>
      <c r="GU181" s="539"/>
      <c r="GV181" s="19"/>
      <c r="GY181" s="539"/>
      <c r="GZ181" s="19"/>
      <c r="HC181" s="539"/>
      <c r="HD181" s="19"/>
      <c r="HG181" s="539"/>
      <c r="HH181" s="19"/>
      <c r="HK181" s="539"/>
      <c r="HL181" s="19"/>
      <c r="HO181" s="539"/>
      <c r="HP181" s="19"/>
      <c r="HX181" s="19"/>
    </row>
    <row r="182" spans="1:232" ht="11.25" customHeight="1" thickBot="1">
      <c r="B182" s="441" t="s">
        <v>2354</v>
      </c>
      <c r="C182" s="432" t="e">
        <f>Metals!#REF!</f>
        <v>#REF!</v>
      </c>
      <c r="D182" s="646" t="s">
        <v>2356</v>
      </c>
      <c r="E182" s="11"/>
      <c r="F182" s="17"/>
      <c r="G182" s="17"/>
      <c r="H182" s="17"/>
      <c r="I182" s="9"/>
      <c r="AC182" s="12"/>
      <c r="AD182" s="32" t="s">
        <v>1780</v>
      </c>
      <c r="AE182" s="20">
        <f>AA233</f>
        <v>124.54728384900001</v>
      </c>
      <c r="AF182" s="27" t="e">
        <f t="shared" si="1116"/>
        <v>#REF!</v>
      </c>
      <c r="AG182" s="890" t="e">
        <f t="shared" si="1055"/>
        <v>#REF!</v>
      </c>
      <c r="AH182" s="210" t="s">
        <v>1781</v>
      </c>
      <c r="AI182" s="11"/>
      <c r="AJ182" s="11"/>
      <c r="AK182" s="11"/>
      <c r="AL182" s="11"/>
      <c r="AM182" s="11"/>
      <c r="AN182" s="11"/>
      <c r="AO182" s="11"/>
      <c r="AP182" s="11"/>
      <c r="AQ182" s="11"/>
      <c r="AR182" s="11"/>
      <c r="AS182" s="11"/>
      <c r="AT182" s="11"/>
      <c r="AU182" s="219"/>
      <c r="AY182" s="11"/>
      <c r="AZ182" s="224"/>
      <c r="BA182" s="236"/>
      <c r="BB182" s="983" t="s">
        <v>1278</v>
      </c>
      <c r="BC182" s="639"/>
      <c r="BI182" s="11"/>
      <c r="BJ182" s="11"/>
      <c r="BK182" s="11"/>
      <c r="BL182" s="11"/>
      <c r="BM182" s="11"/>
      <c r="BN182" s="11"/>
      <c r="BO182" s="11"/>
      <c r="GN182" s="19"/>
      <c r="GQ182" s="539"/>
      <c r="GR182" s="19"/>
      <c r="GU182" s="539"/>
      <c r="GV182" s="19"/>
      <c r="GY182" s="539"/>
      <c r="GZ182" s="19"/>
      <c r="HC182" s="539"/>
      <c r="HD182" s="19"/>
      <c r="HG182" s="539"/>
      <c r="HH182" s="19"/>
      <c r="HK182" s="539"/>
      <c r="HL182" s="19"/>
      <c r="HO182" s="539"/>
      <c r="HP182" s="19"/>
      <c r="HX182" s="19"/>
    </row>
    <row r="183" spans="1:232" ht="13.5" thickBot="1">
      <c r="E183" s="11"/>
      <c r="F183" s="17"/>
      <c r="G183" s="17"/>
      <c r="H183" s="17"/>
      <c r="I183" s="9"/>
      <c r="P183" s="413" t="s">
        <v>634</v>
      </c>
      <c r="Q183" s="409"/>
      <c r="R183" s="428"/>
      <c r="S183" s="429"/>
      <c r="T183" s="235"/>
      <c r="AC183" s="12"/>
      <c r="AD183" s="32" t="s">
        <v>2214</v>
      </c>
      <c r="AE183" s="20">
        <f>AA239</f>
        <v>57.25</v>
      </c>
      <c r="AF183" s="27" t="e">
        <f t="shared" si="1116"/>
        <v>#REF!</v>
      </c>
      <c r="AG183" s="890" t="e">
        <f t="shared" si="1055"/>
        <v>#REF!</v>
      </c>
      <c r="AH183" s="210" t="s">
        <v>1781</v>
      </c>
      <c r="AI183" s="11"/>
      <c r="AJ183" s="11"/>
      <c r="AK183" s="11"/>
      <c r="AL183" s="11"/>
      <c r="AM183" s="11"/>
      <c r="AN183" s="11"/>
      <c r="AO183" s="11"/>
      <c r="AP183" s="11"/>
      <c r="AQ183" s="11"/>
      <c r="AR183" s="11"/>
      <c r="AS183" s="11"/>
      <c r="AT183" s="11"/>
      <c r="AU183" s="376"/>
      <c r="AV183" s="428" t="s">
        <v>1510</v>
      </c>
      <c r="AW183" s="764" t="s">
        <v>434</v>
      </c>
      <c r="AX183" s="765" t="s">
        <v>816</v>
      </c>
      <c r="AY183" s="766" t="s">
        <v>815</v>
      </c>
      <c r="AZ183" s="224" t="s">
        <v>1774</v>
      </c>
      <c r="BA183" s="236" t="s">
        <v>1775</v>
      </c>
      <c r="BB183" s="16" t="s">
        <v>143</v>
      </c>
      <c r="BC183" s="493">
        <v>100</v>
      </c>
      <c r="BI183" s="11"/>
      <c r="BJ183" s="11"/>
      <c r="BK183" s="11"/>
      <c r="BL183" s="11"/>
      <c r="BM183" s="11"/>
      <c r="BN183" s="11"/>
      <c r="BO183" s="11"/>
      <c r="GN183" s="19"/>
      <c r="GQ183" s="539"/>
      <c r="GR183" s="19"/>
      <c r="GU183" s="539"/>
      <c r="GV183" s="19"/>
      <c r="GY183" s="539"/>
      <c r="GZ183" s="19"/>
      <c r="HC183" s="539"/>
      <c r="HD183" s="19"/>
      <c r="HG183" s="539"/>
      <c r="HH183" s="19"/>
      <c r="HK183" s="539"/>
      <c r="HL183" s="19"/>
      <c r="HO183" s="539"/>
      <c r="HP183" s="19"/>
      <c r="HX183" s="19"/>
    </row>
    <row r="184" spans="1:232" ht="13.5" thickBot="1">
      <c r="B184" s="216" t="s">
        <v>1973</v>
      </c>
      <c r="C184" s="428"/>
      <c r="D184" s="428"/>
      <c r="E184" s="447"/>
      <c r="F184" s="1053"/>
      <c r="G184" s="447"/>
      <c r="H184" s="447"/>
      <c r="I184" s="447"/>
      <c r="J184" s="447"/>
      <c r="K184" s="409"/>
      <c r="L184" s="447"/>
      <c r="M184" s="603"/>
      <c r="P184" s="402"/>
      <c r="Q184" s="27"/>
      <c r="R184" s="417" t="s">
        <v>139</v>
      </c>
      <c r="S184" s="423" t="s">
        <v>140</v>
      </c>
      <c r="T184" s="236"/>
      <c r="AC184" s="12"/>
      <c r="AD184" s="498" t="s">
        <v>821</v>
      </c>
      <c r="AE184" s="20" t="e">
        <f>#REF!</f>
        <v>#REF!</v>
      </c>
      <c r="AF184" s="27" t="e">
        <f t="shared" si="1116"/>
        <v>#REF!</v>
      </c>
      <c r="AG184" s="890" t="e">
        <f t="shared" ref="AG184:AG190" si="1117">(100*AF184)^2</f>
        <v>#REF!</v>
      </c>
      <c r="AH184" s="210" t="s">
        <v>823</v>
      </c>
      <c r="AI184" s="512"/>
      <c r="AJ184" s="512"/>
      <c r="AK184" s="512"/>
      <c r="AL184" s="512"/>
      <c r="AM184" s="512"/>
      <c r="AN184" s="512"/>
      <c r="AO184" s="512"/>
      <c r="AP184" s="512"/>
      <c r="AQ184" s="512"/>
      <c r="AR184" s="512"/>
      <c r="AS184" s="512"/>
      <c r="AT184" s="13"/>
      <c r="AU184" s="224" t="s">
        <v>1506</v>
      </c>
      <c r="AV184" s="30">
        <v>0.01</v>
      </c>
      <c r="AW184" s="814">
        <f>AV184/7</f>
        <v>1.4285714285714286E-3</v>
      </c>
      <c r="AX184" s="19">
        <f>AY184/12</f>
        <v>4.3482142857142858E-2</v>
      </c>
      <c r="AY184" s="234">
        <f>AW184*365.25</f>
        <v>0.5217857142857143</v>
      </c>
      <c r="AZ184" s="225">
        <f>AW184*$BA$181</f>
        <v>7.1428571428571425E-2</v>
      </c>
      <c r="BA184" s="234">
        <f>AZ184*365.25</f>
        <v>26.089285714285712</v>
      </c>
      <c r="BB184" s="10">
        <f ca="1">(BC183-AV188)/AW188</f>
        <v>30854.482758620696</v>
      </c>
      <c r="BC184" s="641" t="s">
        <v>845</v>
      </c>
      <c r="BI184" s="11"/>
      <c r="BJ184" s="11"/>
      <c r="BK184" s="11"/>
      <c r="BL184" s="11"/>
      <c r="BM184" s="11"/>
      <c r="BN184" s="1032"/>
      <c r="BO184" s="11"/>
      <c r="GN184" s="19"/>
      <c r="GQ184" s="539"/>
      <c r="GR184" s="19"/>
      <c r="GU184" s="539"/>
      <c r="GV184" s="19"/>
      <c r="GY184" s="539"/>
      <c r="GZ184" s="19"/>
      <c r="HC184" s="539"/>
      <c r="HD184" s="19"/>
      <c r="HG184" s="539"/>
      <c r="HH184" s="19"/>
      <c r="HK184" s="539"/>
      <c r="HL184" s="19"/>
      <c r="HO184" s="539"/>
      <c r="HP184" s="19"/>
      <c r="HX184" s="19"/>
    </row>
    <row r="185" spans="1:232">
      <c r="B185" s="224"/>
      <c r="E185" s="11"/>
      <c r="F185" s="9"/>
      <c r="G185" s="11"/>
      <c r="H185" s="11"/>
      <c r="I185" s="11"/>
      <c r="K185" s="27"/>
      <c r="M185" s="401"/>
      <c r="P185" s="418" t="s">
        <v>636</v>
      </c>
      <c r="Q185" s="27" t="s">
        <v>620</v>
      </c>
      <c r="R185" s="410">
        <f>Metals!C3</f>
        <v>17.64</v>
      </c>
      <c r="S185" s="410">
        <f>Metals!C2</f>
        <v>1229.5999999999999</v>
      </c>
      <c r="T185" s="236"/>
      <c r="Y185" s="878" t="s">
        <v>1746</v>
      </c>
      <c r="AC185" s="12"/>
      <c r="AD185" s="499" t="s">
        <v>822</v>
      </c>
      <c r="AE185" s="20" t="e">
        <f>#REF!</f>
        <v>#REF!</v>
      </c>
      <c r="AF185" s="27" t="e">
        <f t="shared" si="1116"/>
        <v>#REF!</v>
      </c>
      <c r="AG185" s="890" t="e">
        <f t="shared" si="1117"/>
        <v>#REF!</v>
      </c>
      <c r="AH185" s="210" t="s">
        <v>857</v>
      </c>
      <c r="AI185" s="512"/>
      <c r="AJ185" s="512"/>
      <c r="AK185" s="512"/>
      <c r="AL185" s="512"/>
      <c r="AM185" s="512"/>
      <c r="AN185" s="512"/>
      <c r="AO185" s="512"/>
      <c r="AP185" s="512"/>
      <c r="AQ185" s="512"/>
      <c r="AR185" s="512"/>
      <c r="AS185" s="512"/>
      <c r="AT185" s="11"/>
      <c r="AU185" s="224" t="s">
        <v>1507</v>
      </c>
      <c r="AV185" s="30">
        <v>0.04</v>
      </c>
      <c r="AW185" s="814">
        <f>AV185/30</f>
        <v>1.3333333333333333E-3</v>
      </c>
      <c r="AX185" s="19">
        <f>AY185/12</f>
        <v>4.0583333333333332E-2</v>
      </c>
      <c r="AY185" s="234">
        <f>AW185*365.25</f>
        <v>0.48699999999999999</v>
      </c>
      <c r="AZ185" s="225">
        <f t="shared" ref="AZ185:AZ188" si="1118">AW185*$BA$181</f>
        <v>6.6666666666666666E-2</v>
      </c>
      <c r="BA185" s="234">
        <f t="shared" ref="BA185:BA188" si="1119">AZ185*365.25</f>
        <v>24.35</v>
      </c>
      <c r="BB185" s="10">
        <f ca="1">BB184/365.25</f>
        <v>84.474969907243519</v>
      </c>
      <c r="BC185" s="591" t="s">
        <v>514</v>
      </c>
      <c r="BI185" s="11"/>
      <c r="BJ185" s="11"/>
      <c r="BK185" s="11"/>
      <c r="BL185" s="11"/>
      <c r="BM185" s="11"/>
      <c r="BN185" s="11"/>
      <c r="BO185" s="11"/>
      <c r="GN185" s="19"/>
      <c r="GQ185" s="539"/>
      <c r="GR185" s="19"/>
      <c r="GU185" s="539"/>
      <c r="GV185" s="19"/>
      <c r="GY185" s="539"/>
      <c r="GZ185" s="19"/>
      <c r="HC185" s="539"/>
      <c r="HD185" s="19"/>
      <c r="HG185" s="539"/>
      <c r="HH185" s="19"/>
      <c r="HK185" s="539"/>
      <c r="HL185" s="19"/>
      <c r="HO185" s="539"/>
      <c r="HP185" s="19"/>
      <c r="HX185" s="19"/>
    </row>
    <row r="186" spans="1:232" ht="13.5" thickBot="1">
      <c r="B186" s="224"/>
      <c r="C186" s="30">
        <f>B148</f>
        <v>321.01</v>
      </c>
      <c r="D186" s="420" t="s">
        <v>43</v>
      </c>
      <c r="E186" s="11" t="s">
        <v>1977</v>
      </c>
      <c r="F186" s="9" t="s">
        <v>1975</v>
      </c>
      <c r="G186" s="11" t="s">
        <v>1976</v>
      </c>
      <c r="H186" s="11" t="s">
        <v>1985</v>
      </c>
      <c r="I186" s="11"/>
      <c r="J186" s="11" t="s">
        <v>1986</v>
      </c>
      <c r="K186" s="27"/>
      <c r="L186" s="11" t="s">
        <v>1983</v>
      </c>
      <c r="M186" s="401" t="s">
        <v>1984</v>
      </c>
      <c r="P186" s="416">
        <f>Q62</f>
        <v>2.0004000000000001E-2</v>
      </c>
      <c r="Q186" s="27" t="s">
        <v>622</v>
      </c>
      <c r="R186" s="412">
        <v>1.9</v>
      </c>
      <c r="S186" s="412">
        <v>30</v>
      </c>
      <c r="T186" s="236"/>
      <c r="U186" s="482"/>
      <c r="Y186" s="878" t="s">
        <v>1733</v>
      </c>
      <c r="AC186" s="12"/>
      <c r="AD186" s="531" t="s">
        <v>854</v>
      </c>
      <c r="AE186" s="20" t="e">
        <f>#REF!</f>
        <v>#REF!</v>
      </c>
      <c r="AF186" s="27" t="e">
        <f t="shared" si="1116"/>
        <v>#REF!</v>
      </c>
      <c r="AG186" s="890" t="e">
        <f t="shared" si="1117"/>
        <v>#REF!</v>
      </c>
      <c r="AH186" s="210" t="s">
        <v>856</v>
      </c>
      <c r="AI186" s="512"/>
      <c r="AJ186" s="512"/>
      <c r="AK186" s="512"/>
      <c r="AL186" s="512"/>
      <c r="AM186" s="512"/>
      <c r="AN186" s="512"/>
      <c r="AO186" s="512"/>
      <c r="AP186" s="512"/>
      <c r="AQ186" s="512"/>
      <c r="AR186" s="512"/>
      <c r="AS186" s="512"/>
      <c r="AT186" s="11"/>
      <c r="AU186" s="224" t="s">
        <v>1508</v>
      </c>
      <c r="AV186" s="30">
        <v>0.24</v>
      </c>
      <c r="AW186" s="814">
        <f>AV186/90</f>
        <v>2.6666666666666666E-3</v>
      </c>
      <c r="AX186" s="19">
        <f>AY186/12</f>
        <v>8.1166666666666665E-2</v>
      </c>
      <c r="AY186" s="234">
        <f>AW186*365.25</f>
        <v>0.97399999999999998</v>
      </c>
      <c r="AZ186" s="225">
        <f t="shared" si="1118"/>
        <v>0.13333333333333333</v>
      </c>
      <c r="BA186" s="234">
        <f t="shared" si="1119"/>
        <v>48.7</v>
      </c>
      <c r="BB186" s="420" t="s">
        <v>1442</v>
      </c>
      <c r="BC186" s="714">
        <f ca="1">TODAY()+365.25*BB185</f>
        <v>73626.482758620696</v>
      </c>
      <c r="BI186" s="11"/>
      <c r="BJ186" s="11"/>
      <c r="BK186" s="11"/>
      <c r="BL186" s="11"/>
      <c r="BM186" s="11"/>
      <c r="BN186" s="11"/>
      <c r="BO186" s="512"/>
      <c r="GN186" s="19"/>
      <c r="GQ186" s="539"/>
      <c r="GR186" s="19"/>
      <c r="GU186" s="539"/>
      <c r="GV186" s="19"/>
      <c r="GY186" s="539"/>
      <c r="GZ186" s="19"/>
      <c r="HC186" s="539"/>
      <c r="HD186" s="19"/>
      <c r="HG186" s="539"/>
      <c r="HH186" s="19"/>
      <c r="HK186" s="539"/>
      <c r="HL186" s="19"/>
      <c r="HO186" s="539"/>
      <c r="HP186" s="19"/>
      <c r="HX186" s="19"/>
    </row>
    <row r="187" spans="1:232">
      <c r="B187" s="224" t="s">
        <v>48</v>
      </c>
      <c r="C187" s="420">
        <f>2/3</f>
        <v>0.66666666666666663</v>
      </c>
      <c r="D187" s="19">
        <f>C187*C186</f>
        <v>214.00666666666666</v>
      </c>
      <c r="E187" s="241">
        <f>D187/I144</f>
        <v>5.1518215374739205</v>
      </c>
      <c r="F187" s="20">
        <f>E187*Q144</f>
        <v>7.2125501524634883</v>
      </c>
      <c r="G187" s="20">
        <f>F187/4</f>
        <v>1.8031375381158721</v>
      </c>
      <c r="H187" s="20">
        <f>J144</f>
        <v>1258.7409259999999</v>
      </c>
      <c r="I187" s="233">
        <f>H187/H190</f>
        <v>0.62730775934897898</v>
      </c>
      <c r="J187" s="20">
        <f>H187+E187*I144</f>
        <v>1472.7475926666666</v>
      </c>
      <c r="K187" s="27">
        <f>J187/J190</f>
        <v>0.63273595870876442</v>
      </c>
      <c r="L187" s="20">
        <f>F187+S144</f>
        <v>49.635210152463486</v>
      </c>
      <c r="M187" s="186">
        <f>L187/4</f>
        <v>12.408802538115872</v>
      </c>
      <c r="P187" s="415" t="s">
        <v>807</v>
      </c>
      <c r="Q187" s="9" t="s">
        <v>632</v>
      </c>
      <c r="R187" s="410">
        <f>R185+R186</f>
        <v>19.54</v>
      </c>
      <c r="S187" s="410">
        <f>S185+S186</f>
        <v>1259.5999999999999</v>
      </c>
      <c r="T187" s="236" t="s">
        <v>635</v>
      </c>
      <c r="U187" s="482"/>
      <c r="Y187" s="872"/>
      <c r="Z187" s="873" t="s">
        <v>1729</v>
      </c>
      <c r="AA187" s="862" t="s">
        <v>2017</v>
      </c>
      <c r="AB187" s="20"/>
      <c r="AC187" s="12"/>
      <c r="AD187" s="190" t="s">
        <v>255</v>
      </c>
      <c r="AE187" s="30">
        <v>12141.86</v>
      </c>
      <c r="AF187" s="27" t="e">
        <f t="shared" si="1116"/>
        <v>#REF!</v>
      </c>
      <c r="AG187" s="890" t="e">
        <f t="shared" si="1117"/>
        <v>#REF!</v>
      </c>
      <c r="AH187" s="211" t="s">
        <v>259</v>
      </c>
      <c r="AI187" s="512"/>
      <c r="AJ187" s="512"/>
      <c r="AK187" s="512"/>
      <c r="AL187" s="512"/>
      <c r="AM187" s="512"/>
      <c r="AN187" s="512"/>
      <c r="AO187" s="512"/>
      <c r="AP187" s="512"/>
      <c r="AQ187" s="512"/>
      <c r="AR187" s="512"/>
      <c r="AS187" s="512"/>
      <c r="AT187" s="13"/>
      <c r="AU187" s="224" t="s">
        <v>1509</v>
      </c>
      <c r="AV187" s="30">
        <v>0.56999999999999995</v>
      </c>
      <c r="AW187" s="814">
        <f>AV187/365</f>
        <v>1.5616438356164382E-3</v>
      </c>
      <c r="AX187" s="19">
        <f>AY187/12</f>
        <v>4.7532534246575338E-2</v>
      </c>
      <c r="AY187" s="234">
        <f>AW187*365.25</f>
        <v>0.57039041095890408</v>
      </c>
      <c r="AZ187" s="225">
        <f t="shared" si="1118"/>
        <v>7.8082191780821902E-2</v>
      </c>
      <c r="BA187" s="234">
        <f t="shared" si="1119"/>
        <v>28.519520547945199</v>
      </c>
      <c r="BC187" s="236"/>
      <c r="BI187" s="9"/>
      <c r="BJ187" s="9"/>
      <c r="BK187" s="11"/>
      <c r="BL187" s="11"/>
      <c r="BM187" s="11"/>
      <c r="BN187" s="240"/>
      <c r="BO187" s="11"/>
      <c r="GN187" s="19"/>
      <c r="GQ187" s="539"/>
      <c r="GR187" s="19"/>
      <c r="GU187" s="539"/>
      <c r="GV187" s="19"/>
      <c r="GY187" s="539"/>
      <c r="GZ187" s="19"/>
      <c r="HC187" s="539"/>
      <c r="HD187" s="19"/>
      <c r="HG187" s="539"/>
      <c r="HH187" s="19"/>
      <c r="HK187" s="539"/>
      <c r="HL187" s="19"/>
      <c r="HO187" s="539"/>
      <c r="HP187" s="19"/>
      <c r="HX187" s="19"/>
    </row>
    <row r="188" spans="1:232" ht="13.5" thickBot="1">
      <c r="B188" s="224" t="s">
        <v>494</v>
      </c>
      <c r="C188" s="420">
        <f>1/3</f>
        <v>0.33333333333333331</v>
      </c>
      <c r="D188" s="19">
        <f>C188*C186</f>
        <v>107.00333333333333</v>
      </c>
      <c r="E188" s="241">
        <f>D188/I84</f>
        <v>1.4967594535366253</v>
      </c>
      <c r="F188" s="20">
        <f>E188*Q84</f>
        <v>3.6520930666293658</v>
      </c>
      <c r="G188" s="20">
        <f>F188/4</f>
        <v>0.91302326665734146</v>
      </c>
      <c r="H188" s="20">
        <f>J84</f>
        <v>747.83544299999994</v>
      </c>
      <c r="I188" s="233">
        <f>H188/H190</f>
        <v>0.37269224065102102</v>
      </c>
      <c r="J188" s="20">
        <f>H188+E188*I84</f>
        <v>854.83877633333327</v>
      </c>
      <c r="K188" s="27">
        <f>J188/J190</f>
        <v>0.36726404129123569</v>
      </c>
      <c r="L188" s="20">
        <f>F188+S84</f>
        <v>29.176201066629364</v>
      </c>
      <c r="M188" s="186">
        <f>L188/4</f>
        <v>7.294050266657341</v>
      </c>
      <c r="P188" s="492">
        <v>209</v>
      </c>
      <c r="Q188" s="11" t="s">
        <v>633</v>
      </c>
      <c r="R188" s="414">
        <v>1</v>
      </c>
      <c r="S188" s="414">
        <f>1-R188</f>
        <v>0</v>
      </c>
      <c r="T188" s="422">
        <f>SUM($R$188:$S$188)</f>
        <v>1</v>
      </c>
      <c r="U188" s="482"/>
      <c r="Y188" s="868" t="s">
        <v>607</v>
      </c>
      <c r="Z188" s="233">
        <f>AVERAGE(Z2:Z140)</f>
        <v>7.1942446043165464E-2</v>
      </c>
      <c r="AA188" s="874">
        <f>SUM(AB2:AB140)</f>
        <v>2037739.6690159473</v>
      </c>
      <c r="AB188" s="233"/>
      <c r="AC188" s="12"/>
      <c r="AD188" s="190" t="s">
        <v>256</v>
      </c>
      <c r="AE188" s="30">
        <v>7133.86</v>
      </c>
      <c r="AF188" s="27" t="e">
        <f t="shared" si="1116"/>
        <v>#REF!</v>
      </c>
      <c r="AG188" s="890" t="e">
        <f t="shared" si="1117"/>
        <v>#REF!</v>
      </c>
      <c r="AH188" s="211" t="s">
        <v>258</v>
      </c>
      <c r="AI188" s="512"/>
      <c r="AJ188" s="512"/>
      <c r="AK188" s="512"/>
      <c r="AL188" s="512"/>
      <c r="AM188" s="512"/>
      <c r="AN188" s="512"/>
      <c r="AO188" s="512"/>
      <c r="AP188" s="512"/>
      <c r="AQ188" s="512"/>
      <c r="AR188" s="512"/>
      <c r="AS188" s="512"/>
      <c r="AT188" s="20"/>
      <c r="AU188" s="514" t="s">
        <v>1511</v>
      </c>
      <c r="AV188" s="769">
        <v>0.57999999999999996</v>
      </c>
      <c r="AW188" s="770">
        <f ca="1">AV188/AV181</f>
        <v>3.2222222222222218E-3</v>
      </c>
      <c r="AX188" s="771">
        <f ca="1">AY188/12</f>
        <v>9.807638888888888E-2</v>
      </c>
      <c r="AY188" s="1249">
        <f ca="1">AW188*365.25</f>
        <v>1.1769166666666666</v>
      </c>
      <c r="AZ188" s="917">
        <f t="shared" ca="1" si="1118"/>
        <v>0.16111111111111109</v>
      </c>
      <c r="BA188" s="633">
        <f t="shared" ca="1" si="1119"/>
        <v>58.845833333333324</v>
      </c>
      <c r="BB188" s="420" t="s">
        <v>143</v>
      </c>
      <c r="BC188" s="493">
        <v>1</v>
      </c>
      <c r="BI188" s="9"/>
      <c r="BJ188" s="9"/>
      <c r="BK188" s="11"/>
      <c r="BL188" s="11"/>
      <c r="BM188" s="11"/>
      <c r="BN188" s="11"/>
      <c r="BO188" s="11"/>
      <c r="GN188" s="19"/>
      <c r="GQ188" s="539"/>
      <c r="GR188" s="19"/>
      <c r="GU188" s="539"/>
      <c r="GV188" s="19"/>
      <c r="GY188" s="539"/>
      <c r="GZ188" s="19"/>
      <c r="HC188" s="539"/>
      <c r="HD188" s="19"/>
      <c r="HG188" s="539"/>
      <c r="HH188" s="19"/>
      <c r="HK188" s="539"/>
      <c r="HL188" s="19"/>
      <c r="HO188" s="539"/>
      <c r="HP188" s="19"/>
      <c r="HX188" s="19"/>
    </row>
    <row r="189" spans="1:232" ht="13.5" thickBot="1">
      <c r="B189" s="224"/>
      <c r="E189" s="11"/>
      <c r="F189" s="9"/>
      <c r="G189" s="11"/>
      <c r="H189" s="11"/>
      <c r="I189" s="11"/>
      <c r="K189" s="27"/>
      <c r="M189" s="401"/>
      <c r="P189" s="415" t="s">
        <v>621</v>
      </c>
      <c r="Q189" s="11" t="s">
        <v>1105</v>
      </c>
      <c r="R189" s="555">
        <f>R188*P190</f>
        <v>0.34840300000000002</v>
      </c>
      <c r="S189" s="555">
        <f>S188*P190</f>
        <v>0</v>
      </c>
      <c r="T189" s="557"/>
      <c r="U189" s="482"/>
      <c r="Y189" s="868" t="s">
        <v>593</v>
      </c>
      <c r="Z189" s="233">
        <f>AVERAGE(Z141:Z146)</f>
        <v>0</v>
      </c>
      <c r="AA189" s="874">
        <f>SUM(AB141:AB146)</f>
        <v>51549.057690366819</v>
      </c>
      <c r="AB189" s="233"/>
      <c r="AC189" s="30">
        <v>4658.49</v>
      </c>
      <c r="AD189" s="190" t="s">
        <v>257</v>
      </c>
      <c r="AE189" s="20">
        <f>AC189/2</f>
        <v>2329.2449999999999</v>
      </c>
      <c r="AF189" s="27" t="e">
        <f t="shared" si="1116"/>
        <v>#REF!</v>
      </c>
      <c r="AG189" s="890" t="e">
        <f t="shared" si="1117"/>
        <v>#REF!</v>
      </c>
      <c r="AH189" s="211" t="s">
        <v>260</v>
      </c>
      <c r="AT189" s="46"/>
      <c r="AU189" s="709"/>
      <c r="AV189" s="491"/>
      <c r="BB189" s="694" t="s">
        <v>1449</v>
      </c>
      <c r="BC189" s="234">
        <f ca="1">((BC188))*AV181</f>
        <v>180</v>
      </c>
      <c r="BI189" s="9"/>
      <c r="BJ189" s="9"/>
      <c r="BK189" s="11"/>
      <c r="BL189" s="11"/>
      <c r="BM189" s="11"/>
      <c r="BN189" s="11"/>
      <c r="BO189" s="11"/>
    </row>
    <row r="190" spans="1:232" ht="13.5" thickBot="1">
      <c r="B190" s="441"/>
      <c r="C190" s="238"/>
      <c r="D190" s="1054">
        <f>SUM(D187:D189)</f>
        <v>321.01</v>
      </c>
      <c r="E190" s="229"/>
      <c r="F190" s="537">
        <f>SUM(F187:F189)</f>
        <v>10.864643219092855</v>
      </c>
      <c r="G190" s="229"/>
      <c r="H190" s="537">
        <f>SUM(H187:H189)</f>
        <v>2006.5763689999999</v>
      </c>
      <c r="I190" s="229"/>
      <c r="J190" s="537">
        <f>SUM(J187:J189)</f>
        <v>2327.5863689999996</v>
      </c>
      <c r="K190" s="963"/>
      <c r="L190" s="537">
        <f>SUM(L187:L188)</f>
        <v>78.811411219092847</v>
      </c>
      <c r="M190" s="606"/>
      <c r="P190" s="416">
        <f>P188*P186/12</f>
        <v>0.34840300000000002</v>
      </c>
      <c r="Q190" s="11" t="s">
        <v>623</v>
      </c>
      <c r="R190" s="411">
        <f>(R188*P190)/R187</f>
        <v>1.7830245649948825E-2</v>
      </c>
      <c r="S190" s="411">
        <f>(S188*P190)/S187</f>
        <v>0</v>
      </c>
      <c r="T190" s="470"/>
      <c r="Y190" s="875" t="s">
        <v>8</v>
      </c>
      <c r="Z190" s="876">
        <f>AVERAGE(Z2:Z146)</f>
        <v>6.8965517241379309E-2</v>
      </c>
      <c r="AA190" s="877">
        <f>SUM(AB2:AB146)</f>
        <v>2089288.7267063141</v>
      </c>
      <c r="AB190" s="233"/>
      <c r="AC190" s="30">
        <f>395.87+57.12+0.07</f>
        <v>453.06</v>
      </c>
      <c r="AD190" s="190" t="s">
        <v>831</v>
      </c>
      <c r="AE190" s="20">
        <f>AC190/3</f>
        <v>151.02000000000001</v>
      </c>
      <c r="AF190" s="27" t="e">
        <f t="shared" si="1116"/>
        <v>#REF!</v>
      </c>
      <c r="AG190" s="890" t="e">
        <f t="shared" si="1117"/>
        <v>#REF!</v>
      </c>
      <c r="AH190" s="211" t="s">
        <v>842</v>
      </c>
      <c r="AU190" s="709"/>
      <c r="AV190" s="921"/>
      <c r="AW190" s="491"/>
      <c r="AX190" s="19"/>
      <c r="BB190" s="224"/>
      <c r="BC190" s="236"/>
      <c r="BI190" s="11"/>
      <c r="BJ190" s="11"/>
      <c r="BK190" s="11"/>
      <c r="BL190" s="11"/>
      <c r="BM190" s="11"/>
      <c r="BN190" s="240"/>
      <c r="BO190" s="11"/>
    </row>
    <row r="191" spans="1:232" ht="13.5" thickBot="1">
      <c r="I191" s="11"/>
      <c r="M191" s="27"/>
      <c r="P191" s="427" t="s">
        <v>646</v>
      </c>
      <c r="Q191" s="11" t="s">
        <v>624</v>
      </c>
      <c r="R191" s="411">
        <f>R190*12</f>
        <v>0.21396294779938591</v>
      </c>
      <c r="S191" s="411">
        <f>S190*12</f>
        <v>0</v>
      </c>
      <c r="T191" s="236"/>
      <c r="AD191" s="420" t="s">
        <v>8</v>
      </c>
      <c r="AE191" s="21" t="e">
        <f>SUM(AE2:AE190)</f>
        <v>#REF!</v>
      </c>
      <c r="AF191" s="68" t="e">
        <f t="shared" si="1116"/>
        <v>#REF!</v>
      </c>
      <c r="AG191" s="892" t="e">
        <f>SUM(AG2:AG190)</f>
        <v>#REF!</v>
      </c>
      <c r="AH191" s="211" t="s">
        <v>245</v>
      </c>
      <c r="AI191" s="20"/>
      <c r="AJ191" s="20"/>
      <c r="AK191" s="20"/>
      <c r="AL191" s="20"/>
      <c r="AM191" s="20"/>
      <c r="AN191" s="20"/>
      <c r="AO191" s="20"/>
      <c r="AP191" s="20"/>
      <c r="AQ191" s="20"/>
      <c r="AR191" s="20"/>
      <c r="AS191" s="20"/>
      <c r="AT191" s="420" t="s">
        <v>1647</v>
      </c>
      <c r="AU191" s="729"/>
      <c r="AV191" s="217" t="s">
        <v>1455</v>
      </c>
      <c r="AW191" s="217" t="s">
        <v>843</v>
      </c>
      <c r="AX191" s="428"/>
      <c r="AY191" s="428"/>
      <c r="AZ191" s="592" t="s">
        <v>1453</v>
      </c>
      <c r="BB191" s="224" t="s">
        <v>57</v>
      </c>
      <c r="BC191" s="493">
        <v>10</v>
      </c>
      <c r="BI191" s="20"/>
      <c r="BJ191" s="20"/>
      <c r="BK191" s="11"/>
      <c r="BL191" s="11"/>
      <c r="BM191" s="11"/>
      <c r="BN191" s="11"/>
      <c r="BO191" s="11"/>
    </row>
    <row r="192" spans="1:232" ht="13.5" thickBot="1">
      <c r="B192" s="216" t="s">
        <v>2150</v>
      </c>
      <c r="C192" s="428"/>
      <c r="D192" s="428"/>
      <c r="E192" s="447"/>
      <c r="F192" s="1053"/>
      <c r="G192" s="447"/>
      <c r="H192" s="447"/>
      <c r="I192" s="447"/>
      <c r="J192" s="447"/>
      <c r="K192" s="409"/>
      <c r="L192" s="447"/>
      <c r="M192" s="603"/>
      <c r="P192" s="416">
        <f>P188*I62</f>
        <v>1166.22</v>
      </c>
      <c r="Q192" s="11" t="s">
        <v>626</v>
      </c>
      <c r="R192" s="9">
        <f>IF(T188&lt;&gt; 1,"bad allocation",(1/R190)*P188)</f>
        <v>11721.655668866224</v>
      </c>
      <c r="S192" s="9" t="e">
        <f>IF(T188 &lt;&gt; 1,"bad allocation",(1/S190)*F62)</f>
        <v>#DIV/0!</v>
      </c>
      <c r="T192" s="236"/>
      <c r="V192" s="25" t="s">
        <v>1009</v>
      </c>
      <c r="W192" s="25"/>
      <c r="AT192" s="183">
        <f>1-AT193</f>
        <v>0.5</v>
      </c>
      <c r="AU192" s="224" t="s">
        <v>1414</v>
      </c>
      <c r="AV192" s="6">
        <f ca="1">TODAY()</f>
        <v>42772</v>
      </c>
      <c r="AW192" s="728">
        <v>42770</v>
      </c>
      <c r="AX192" s="7" t="s">
        <v>1415</v>
      </c>
      <c r="AY192" s="7" t="s">
        <v>1423</v>
      </c>
      <c r="AZ192" s="553">
        <f>AV195/AV194</f>
        <v>20.95</v>
      </c>
      <c r="BB192" s="694" t="s">
        <v>1385</v>
      </c>
      <c r="BC192" s="234">
        <f ca="1">((12*BC191)/365.25)*AV181</f>
        <v>59.137577002053384</v>
      </c>
      <c r="BI192" s="11"/>
      <c r="BJ192" s="11"/>
      <c r="BK192" s="11"/>
      <c r="BL192" s="11"/>
      <c r="BM192" s="11"/>
      <c r="BN192" s="233"/>
      <c r="BO192" s="11"/>
      <c r="BP192" s="932"/>
    </row>
    <row r="193" spans="2:68" ht="13.5" thickBot="1">
      <c r="B193" s="224"/>
      <c r="E193" s="11"/>
      <c r="F193" s="9"/>
      <c r="G193" s="11"/>
      <c r="H193" s="11"/>
      <c r="I193" s="11"/>
      <c r="K193" s="27"/>
      <c r="M193" s="401"/>
      <c r="P193" s="185"/>
      <c r="Q193" s="11" t="s">
        <v>647</v>
      </c>
      <c r="R193" s="20">
        <f>IF(T188 &lt;&gt; 1,"bad allocation",(R192-F62)*$I$62)</f>
        <v>63914.133390273528</v>
      </c>
      <c r="S193" s="20" t="e">
        <f>IF(T188 &lt;&gt; 1,"bad allocation",(S192-F62)*$I$62)</f>
        <v>#DIV/0!</v>
      </c>
      <c r="T193" s="470"/>
      <c r="V193" s="700" t="s">
        <v>1435</v>
      </c>
      <c r="W193" s="700"/>
      <c r="X193" s="66"/>
      <c r="Y193" s="869"/>
      <c r="Z193" s="66"/>
      <c r="AA193" s="66"/>
      <c r="AB193" s="66"/>
      <c r="AE193" s="19"/>
      <c r="AT193" s="183">
        <f>AV198/SUM(AV198,AV197)</f>
        <v>0.5</v>
      </c>
      <c r="AU193" s="224" t="s">
        <v>456</v>
      </c>
      <c r="AV193" s="19">
        <f>AV188</f>
        <v>0.57999999999999996</v>
      </c>
      <c r="AW193" s="20">
        <v>0.56999999999999995</v>
      </c>
      <c r="AX193" s="15">
        <f t="shared" ref="AX193:AX201" si="1120">AV193/AW193-1</f>
        <v>1.7543859649122862E-2</v>
      </c>
      <c r="AY193" s="19">
        <f t="shared" ref="AY193:AY201" ca="1" si="1121">(AV193-AW193)/($AV$156-$AW$156)</f>
        <v>5.0000000000000044E-3</v>
      </c>
      <c r="AZ193" s="236"/>
      <c r="BB193" s="224"/>
      <c r="BC193" s="236"/>
      <c r="BI193" s="11"/>
      <c r="BJ193" s="11"/>
      <c r="BK193" s="11"/>
      <c r="BL193" s="11"/>
      <c r="BM193" s="11"/>
      <c r="BN193" s="11"/>
      <c r="BO193" s="11"/>
      <c r="BP193" s="932"/>
    </row>
    <row r="194" spans="2:68" ht="13.5" thickBot="1">
      <c r="B194" s="224"/>
      <c r="C194" s="30">
        <f>B148</f>
        <v>321.01</v>
      </c>
      <c r="D194" s="420" t="s">
        <v>43</v>
      </c>
      <c r="E194" s="11" t="s">
        <v>2152</v>
      </c>
      <c r="F194" s="9" t="s">
        <v>1975</v>
      </c>
      <c r="G194" s="11" t="s">
        <v>1976</v>
      </c>
      <c r="H194" s="11" t="s">
        <v>1985</v>
      </c>
      <c r="I194" s="11"/>
      <c r="J194" s="11" t="s">
        <v>1986</v>
      </c>
      <c r="K194" s="27"/>
      <c r="L194" s="11" t="s">
        <v>1983</v>
      </c>
      <c r="M194" s="401" t="s">
        <v>1984</v>
      </c>
      <c r="P194" s="415" t="s">
        <v>638</v>
      </c>
      <c r="Q194" s="11" t="s">
        <v>627</v>
      </c>
      <c r="R194" s="9">
        <f>IF(T188&lt;&gt; 1,"bad allocation",R192/12)</f>
        <v>976.8046390721853</v>
      </c>
      <c r="S194" s="9" t="e">
        <f>IF(T188&lt;&gt; 1,"bad allocation",S192/12)</f>
        <v>#DIV/0!</v>
      </c>
      <c r="T194" s="236"/>
      <c r="V194" s="218"/>
      <c r="W194" s="400"/>
      <c r="X194" s="400" t="s">
        <v>594</v>
      </c>
      <c r="Y194" s="870" t="s">
        <v>595</v>
      </c>
      <c r="Z194" s="708" t="s">
        <v>1199</v>
      </c>
      <c r="AA194" s="631" t="s">
        <v>1607</v>
      </c>
      <c r="AB194" s="954"/>
      <c r="AD194" s="20"/>
      <c r="AE194" s="159"/>
      <c r="AH194" s="19"/>
      <c r="AU194" s="224" t="s">
        <v>1407</v>
      </c>
      <c r="AV194" s="715">
        <v>20</v>
      </c>
      <c r="AW194" s="12">
        <v>19</v>
      </c>
      <c r="AX194" s="15">
        <f t="shared" si="1120"/>
        <v>5.2631578947368363E-2</v>
      </c>
      <c r="AY194" s="10">
        <f t="shared" ca="1" si="1121"/>
        <v>0.5</v>
      </c>
      <c r="AZ194" s="632" t="s">
        <v>1454</v>
      </c>
      <c r="BB194" s="224" t="s">
        <v>1441</v>
      </c>
      <c r="BC194" s="493">
        <v>1000</v>
      </c>
      <c r="BI194" s="11"/>
      <c r="BJ194" s="11"/>
      <c r="BK194" s="11"/>
      <c r="BL194" s="11"/>
      <c r="BM194" s="177"/>
      <c r="BN194" s="11"/>
      <c r="BO194" s="11"/>
      <c r="BP194" s="932"/>
    </row>
    <row r="195" spans="2:68" ht="13.5" thickBot="1">
      <c r="B195" s="224" t="s">
        <v>1210</v>
      </c>
      <c r="C195" s="16">
        <v>0.5</v>
      </c>
      <c r="D195" s="19">
        <f>C195*C194</f>
        <v>160.505</v>
      </c>
      <c r="E195" s="241">
        <f>D195/I103</f>
        <v>1.5874295321926615</v>
      </c>
      <c r="F195" s="20">
        <f>E195*Q103</f>
        <v>6.6037068539214721</v>
      </c>
      <c r="G195" s="20">
        <f>F195/4</f>
        <v>1.650926713480368</v>
      </c>
      <c r="H195" s="20">
        <f>J103</f>
        <v>211.76478399999999</v>
      </c>
      <c r="I195" s="233" t="e">
        <f>H195/H199</f>
        <v>#REF!</v>
      </c>
      <c r="J195" s="20">
        <f>H195+E195*I103</f>
        <v>372.26978399999996</v>
      </c>
      <c r="K195" s="27" t="e">
        <f>J195/J199</f>
        <v>#REF!</v>
      </c>
      <c r="L195" s="20">
        <f>F195+S103</f>
        <v>15.316410853921472</v>
      </c>
      <c r="M195" s="186">
        <f>L195/4</f>
        <v>3.8291027134803679</v>
      </c>
      <c r="P195" s="495">
        <v>5</v>
      </c>
      <c r="Q195" s="11" t="s">
        <v>648</v>
      </c>
      <c r="R195" s="20">
        <f>IF(T188 &lt;&gt; 1,"bad allocation",(R194-F62)*$I$62)</f>
        <v>3957.864644022794</v>
      </c>
      <c r="S195" s="20" t="e">
        <f>IF(T188 &lt;&gt; 1,"bad allocation",(S194-F62)*$I$62)</f>
        <v>#DIV/0!</v>
      </c>
      <c r="T195" s="234"/>
      <c r="V195" s="185" t="s">
        <v>607</v>
      </c>
      <c r="X195" s="13">
        <f>COUNTIF(AC2:AC140,"=1")</f>
        <v>139</v>
      </c>
      <c r="Y195" s="27">
        <f>AVERAGE(AC2:AC140)</f>
        <v>1</v>
      </c>
      <c r="Z195" s="19">
        <f>SUMPRODUCT(AC2:AC140,S2:S140)</f>
        <v>2524.3396758360659</v>
      </c>
      <c r="AA195" s="234">
        <f>Z195/12</f>
        <v>210.36163965300548</v>
      </c>
      <c r="AB195" s="19"/>
      <c r="AD195" s="159"/>
      <c r="AE195" s="729" t="s">
        <v>1752</v>
      </c>
      <c r="AF195" s="896"/>
      <c r="AG195" s="755"/>
      <c r="AT195" s="420" t="s">
        <v>1645</v>
      </c>
      <c r="AU195" s="224" t="s">
        <v>1408</v>
      </c>
      <c r="AV195" s="715">
        <v>419</v>
      </c>
      <c r="AW195" s="12">
        <v>415</v>
      </c>
      <c r="AX195" s="15">
        <f t="shared" si="1120"/>
        <v>9.6385542168675453E-3</v>
      </c>
      <c r="AY195" s="10">
        <f t="shared" ca="1" si="1121"/>
        <v>2</v>
      </c>
      <c r="AZ195" s="553">
        <f>AV197/AV194</f>
        <v>0.05</v>
      </c>
      <c r="BB195" s="937" t="s">
        <v>1448</v>
      </c>
      <c r="BC195" s="232">
        <f ca="1">((BC194))*AV181/365.25</f>
        <v>492.81314168377821</v>
      </c>
      <c r="BI195" s="822"/>
      <c r="BJ195" s="822"/>
      <c r="BK195" s="20"/>
      <c r="BL195" s="512"/>
      <c r="BM195" s="177"/>
      <c r="BN195" s="13"/>
      <c r="BO195" s="13"/>
      <c r="BP195" s="932"/>
    </row>
    <row r="196" spans="2:68" ht="13.5" thickBot="1">
      <c r="B196" s="224" t="s">
        <v>1673</v>
      </c>
      <c r="C196" s="16">
        <v>0.25</v>
      </c>
      <c r="D196" s="19">
        <f>C196*C194</f>
        <v>80.252499999999998</v>
      </c>
      <c r="E196" s="241">
        <f>D196/Metals!C2</f>
        <v>6.5267160052049453E-2</v>
      </c>
      <c r="F196" s="20" t="s">
        <v>236</v>
      </c>
      <c r="G196" s="20" t="s">
        <v>236</v>
      </c>
      <c r="H196" s="20" t="e">
        <f>Metals!#REF!</f>
        <v>#REF!</v>
      </c>
      <c r="I196" s="233" t="e">
        <f>H196/H199</f>
        <v>#REF!</v>
      </c>
      <c r="J196" s="20" t="e">
        <f>H196+E196*Metals!C2</f>
        <v>#REF!</v>
      </c>
      <c r="K196" s="27" t="e">
        <f>J196/J199</f>
        <v>#REF!</v>
      </c>
      <c r="L196" s="20" t="s">
        <v>236</v>
      </c>
      <c r="M196" s="186" t="s">
        <v>236</v>
      </c>
      <c r="P196" s="415" t="s">
        <v>639</v>
      </c>
      <c r="Q196" s="11" t="s">
        <v>625</v>
      </c>
      <c r="R196" s="9">
        <f>1/R191</f>
        <v>4.6737064070439498</v>
      </c>
      <c r="S196" s="9" t="e">
        <f>1/S191</f>
        <v>#DIV/0!</v>
      </c>
      <c r="T196" s="234"/>
      <c r="V196" s="402" t="s">
        <v>593</v>
      </c>
      <c r="W196" s="27"/>
      <c r="X196" s="13">
        <f>COUNTIF(AC141:AC146,"=1")</f>
        <v>6</v>
      </c>
      <c r="Y196" s="27">
        <f>AVERAGE(AC141:AC146)</f>
        <v>1</v>
      </c>
      <c r="Z196" s="19">
        <f>SUMPRODUCT(AC141:AC146,S141:S146)</f>
        <v>61.859026</v>
      </c>
      <c r="AA196" s="234">
        <f>Z196/12</f>
        <v>5.1549188333333333</v>
      </c>
      <c r="AB196" s="19"/>
      <c r="AD196" s="210" t="s">
        <v>1758</v>
      </c>
      <c r="AE196" s="897">
        <f>AF197</f>
        <v>1800</v>
      </c>
      <c r="AF196" s="893" t="s">
        <v>1755</v>
      </c>
      <c r="AG196" s="757"/>
      <c r="AT196" s="16">
        <f>(AV196/1440)</f>
        <v>0.29722222222222222</v>
      </c>
      <c r="AU196" s="224" t="s">
        <v>1409</v>
      </c>
      <c r="AV196" s="715">
        <v>428</v>
      </c>
      <c r="AW196" s="12">
        <v>424</v>
      </c>
      <c r="AX196" s="15">
        <f t="shared" si="1120"/>
        <v>9.4339622641510523E-3</v>
      </c>
      <c r="AY196" s="10">
        <f t="shared" ca="1" si="1121"/>
        <v>2</v>
      </c>
      <c r="AZ196" s="236"/>
      <c r="BB196" s="420" t="s">
        <v>1513</v>
      </c>
      <c r="BC196" s="591"/>
      <c r="BI196" s="822"/>
      <c r="BJ196" s="822"/>
      <c r="BK196" s="20"/>
      <c r="BL196" s="512"/>
      <c r="BM196" s="177"/>
      <c r="BN196" s="13"/>
      <c r="BO196" s="13"/>
    </row>
    <row r="197" spans="2:68" ht="13.5" thickBot="1">
      <c r="B197" s="224" t="s">
        <v>1674</v>
      </c>
      <c r="C197" s="16">
        <v>0.25</v>
      </c>
      <c r="D197" s="19">
        <f>C197*C194</f>
        <v>80.252499999999998</v>
      </c>
      <c r="E197" s="241">
        <f>D197/Metals!C3</f>
        <v>4.5494614512471649</v>
      </c>
      <c r="F197" s="20" t="s">
        <v>236</v>
      </c>
      <c r="G197" s="20" t="s">
        <v>236</v>
      </c>
      <c r="H197" s="20" t="e">
        <f>Metals!#REF!</f>
        <v>#REF!</v>
      </c>
      <c r="I197" s="233" t="e">
        <f>H197/H199</f>
        <v>#REF!</v>
      </c>
      <c r="J197" s="20" t="e">
        <f>H197+E197*Metals!C3</f>
        <v>#REF!</v>
      </c>
      <c r="K197" s="27" t="e">
        <f>J197/J199</f>
        <v>#REF!</v>
      </c>
      <c r="L197" s="20" t="s">
        <v>236</v>
      </c>
      <c r="M197" s="186" t="s">
        <v>236</v>
      </c>
      <c r="P197" s="419">
        <f>P195/(P186/12)-P188</f>
        <v>2790.4001199760046</v>
      </c>
      <c r="Q197" s="11" t="s">
        <v>630</v>
      </c>
      <c r="R197" s="9">
        <f>R191*10</f>
        <v>2.1396294779938589</v>
      </c>
      <c r="S197" s="9">
        <f>S191*10</f>
        <v>0</v>
      </c>
      <c r="T197" s="236"/>
      <c r="V197" s="801" t="s">
        <v>8</v>
      </c>
      <c r="W197" s="1056"/>
      <c r="X197" s="802">
        <f>COUNTIF(AC2:AC146,"=1")</f>
        <v>145</v>
      </c>
      <c r="Y197" s="884">
        <f>AVERAGE(AC2:AC146)</f>
        <v>1</v>
      </c>
      <c r="Z197" s="803">
        <f>SUMPRODUCT(AC2:AC146,S2:S146)</f>
        <v>2586.198701836066</v>
      </c>
      <c r="AA197" s="804">
        <f>Z197/12</f>
        <v>215.51655848633882</v>
      </c>
      <c r="AB197" s="19"/>
      <c r="AC197" s="20"/>
      <c r="AD197" s="210" t="s">
        <v>1759</v>
      </c>
      <c r="AE197" s="898">
        <v>600</v>
      </c>
      <c r="AF197" s="895">
        <v>1800</v>
      </c>
      <c r="AG197" s="899" t="s">
        <v>1753</v>
      </c>
      <c r="AU197" s="224" t="s">
        <v>1411</v>
      </c>
      <c r="AV197" s="715">
        <v>1</v>
      </c>
      <c r="AW197" s="12">
        <v>1</v>
      </c>
      <c r="AX197" s="15">
        <f t="shared" si="1120"/>
        <v>0</v>
      </c>
      <c r="AY197" s="10">
        <f t="shared" ca="1" si="1121"/>
        <v>0</v>
      </c>
      <c r="AZ197" s="758" t="s">
        <v>1505</v>
      </c>
      <c r="BA197" s="428" t="s">
        <v>1514</v>
      </c>
      <c r="BB197" s="776">
        <v>0.05</v>
      </c>
      <c r="BC197" s="234">
        <f>AV188</f>
        <v>0.57999999999999996</v>
      </c>
      <c r="BI197" s="1034"/>
      <c r="BJ197" s="1034"/>
      <c r="BK197" s="1033"/>
      <c r="BL197" s="1033"/>
      <c r="BM197" s="8"/>
      <c r="BN197" s="66"/>
      <c r="BO197" s="13"/>
    </row>
    <row r="198" spans="2:68">
      <c r="B198" s="224"/>
      <c r="D198" s="19"/>
      <c r="E198" s="241"/>
      <c r="F198" s="20"/>
      <c r="G198" s="20"/>
      <c r="H198" s="20"/>
      <c r="I198" s="233"/>
      <c r="J198" s="20"/>
      <c r="K198" s="27"/>
      <c r="L198" s="20"/>
      <c r="M198" s="186"/>
      <c r="P198" s="418" t="s">
        <v>640</v>
      </c>
      <c r="Q198" s="11" t="s">
        <v>631</v>
      </c>
      <c r="R198" s="9">
        <f>R197*2</f>
        <v>4.2792589559877179</v>
      </c>
      <c r="S198" s="9">
        <f>S197*2</f>
        <v>0</v>
      </c>
      <c r="T198" s="236"/>
      <c r="AC198" s="20"/>
      <c r="AD198" s="210" t="s">
        <v>1760</v>
      </c>
      <c r="AE198" s="897">
        <f>AE197</f>
        <v>600</v>
      </c>
      <c r="AF198" s="176" t="s">
        <v>1754</v>
      </c>
      <c r="AG198" s="899"/>
      <c r="AT198" s="420" t="s">
        <v>1646</v>
      </c>
      <c r="AU198" s="224" t="s">
        <v>1412</v>
      </c>
      <c r="AV198" s="715">
        <v>1</v>
      </c>
      <c r="AW198" s="12">
        <v>1</v>
      </c>
      <c r="AX198" s="15">
        <f t="shared" si="1120"/>
        <v>0</v>
      </c>
      <c r="AY198" s="10">
        <f t="shared" ca="1" si="1121"/>
        <v>0</v>
      </c>
      <c r="AZ198" s="759">
        <f>AV188/AV194</f>
        <v>2.8999999999999998E-2</v>
      </c>
      <c r="BA198" s="12">
        <v>2</v>
      </c>
      <c r="BB198" s="759">
        <f>$AZ$198*(1+$BB$197)^BA198</f>
        <v>3.1972500000000001E-2</v>
      </c>
      <c r="BC198" s="234">
        <f>BB198*$AV$194</f>
        <v>0.63945000000000007</v>
      </c>
      <c r="BO198" s="66"/>
    </row>
    <row r="199" spans="2:68" ht="13.5" thickBot="1">
      <c r="B199" s="441"/>
      <c r="C199" s="238"/>
      <c r="D199" s="1054">
        <f>SUM(D195:D197)</f>
        <v>321.01</v>
      </c>
      <c r="E199" s="229"/>
      <c r="F199" s="537">
        <f>SUM(F195:F197)</f>
        <v>6.6037068539214721</v>
      </c>
      <c r="G199" s="229"/>
      <c r="H199" s="537" t="e">
        <f>SUM(H195:H197)</f>
        <v>#REF!</v>
      </c>
      <c r="I199" s="229"/>
      <c r="J199" s="537" t="e">
        <f>SUM(J195:J197)</f>
        <v>#REF!</v>
      </c>
      <c r="K199" s="963"/>
      <c r="L199" s="537">
        <f>SUM(L195:L196)</f>
        <v>15.316410853921472</v>
      </c>
      <c r="M199" s="606"/>
      <c r="P199" s="416">
        <f>P197*I62</f>
        <v>15570.432669466105</v>
      </c>
      <c r="Q199" s="11" t="s">
        <v>628</v>
      </c>
      <c r="R199" s="9">
        <f>R197*3</f>
        <v>6.4188884339815768</v>
      </c>
      <c r="S199" s="9">
        <f>S197*3</f>
        <v>0</v>
      </c>
      <c r="T199" s="236"/>
      <c r="AD199" s="420"/>
      <c r="AE199" s="224"/>
      <c r="AF199" s="10"/>
      <c r="AG199" s="591"/>
      <c r="AT199" s="16">
        <f>AV196/525960</f>
        <v>8.1375009506426345E-4</v>
      </c>
      <c r="AU199" s="224" t="s">
        <v>1413</v>
      </c>
      <c r="AV199" s="715">
        <v>3</v>
      </c>
      <c r="AW199" s="12">
        <v>3</v>
      </c>
      <c r="AX199" s="15">
        <f t="shared" si="1120"/>
        <v>0</v>
      </c>
      <c r="AY199" s="10">
        <f t="shared" ca="1" si="1121"/>
        <v>0</v>
      </c>
      <c r="AZ199" s="236"/>
      <c r="BA199" s="12">
        <v>5</v>
      </c>
      <c r="BB199" s="759">
        <f>$AZ$198*(1+$BB$197)^BA199</f>
        <v>3.7012165312500005E-2</v>
      </c>
      <c r="BC199" s="234">
        <f>BB199*$AV$194</f>
        <v>0.74024330625000012</v>
      </c>
    </row>
    <row r="200" spans="2:68" ht="13.5" thickBot="1">
      <c r="B200" s="595"/>
      <c r="C200" s="595"/>
      <c r="P200" s="402"/>
      <c r="Q200" s="11" t="s">
        <v>629</v>
      </c>
      <c r="R200" s="9">
        <f>R197*4</f>
        <v>8.5585179119754358</v>
      </c>
      <c r="S200" s="9">
        <f>S197*4</f>
        <v>0</v>
      </c>
      <c r="T200" s="236" t="s">
        <v>655</v>
      </c>
      <c r="Y200" s="871"/>
      <c r="Z200" s="826"/>
      <c r="AA200" s="826"/>
      <c r="AB200" s="826"/>
      <c r="AD200" s="420"/>
      <c r="AE200" s="900" t="s">
        <v>1756</v>
      </c>
      <c r="AF200" s="891"/>
      <c r="AG200" s="591"/>
      <c r="AU200" s="224" t="s">
        <v>6</v>
      </c>
      <c r="AV200" s="715">
        <v>0</v>
      </c>
      <c r="AW200" s="12">
        <v>0</v>
      </c>
      <c r="AX200" s="15" t="e">
        <f t="shared" si="1120"/>
        <v>#DIV/0!</v>
      </c>
      <c r="AY200" s="10">
        <f t="shared" ca="1" si="1121"/>
        <v>0</v>
      </c>
      <c r="AZ200" s="632" t="s">
        <v>1678</v>
      </c>
      <c r="BA200" s="12">
        <v>10</v>
      </c>
      <c r="BB200" s="759">
        <f>$AZ$198*(1+$BB$197)^BA200</f>
        <v>4.7237944176545803E-2</v>
      </c>
      <c r="BC200" s="234">
        <f>BB200*$AV$194</f>
        <v>0.94475888353091608</v>
      </c>
    </row>
    <row r="201" spans="2:68" ht="13.5" thickBot="1">
      <c r="B201" s="216" t="s">
        <v>2340</v>
      </c>
      <c r="C201" s="1237" t="s">
        <v>141</v>
      </c>
      <c r="D201" s="217" t="s">
        <v>2361</v>
      </c>
      <c r="E201" s="217" t="s">
        <v>8</v>
      </c>
      <c r="F201" s="217" t="s">
        <v>2351</v>
      </c>
      <c r="G201" s="217" t="s">
        <v>1979</v>
      </c>
      <c r="H201" s="592" t="s">
        <v>2421</v>
      </c>
      <c r="P201" s="427" t="s">
        <v>641</v>
      </c>
      <c r="Q201" s="11" t="s">
        <v>651</v>
      </c>
      <c r="R201" s="20">
        <f>R197*R185</f>
        <v>37.743063991811674</v>
      </c>
      <c r="S201" s="20">
        <f>S197*S185</f>
        <v>0</v>
      </c>
      <c r="T201" s="234">
        <f>SUM(R201:S201)</f>
        <v>37.743063991811674</v>
      </c>
      <c r="Y201" s="871"/>
      <c r="Z201" s="826"/>
      <c r="AA201" s="826"/>
      <c r="AB201" s="826"/>
      <c r="AD201" s="420"/>
      <c r="AE201" s="709" t="e">
        <f>IF(AG191&gt;AE196,"too concentrated",IF(AND(AG191&gt;=AE197,AG191&lt;=AF197),"moderate concentration","diversified"))</f>
        <v>#REF!</v>
      </c>
      <c r="AF201" s="10"/>
      <c r="AG201" s="591"/>
      <c r="AH201" s="15" t="s">
        <v>2229</v>
      </c>
      <c r="AT201" s="420" t="s">
        <v>1903</v>
      </c>
      <c r="AU201" s="441" t="s">
        <v>1410</v>
      </c>
      <c r="AV201" s="1422">
        <v>2</v>
      </c>
      <c r="AW201" s="407">
        <v>2</v>
      </c>
      <c r="AX201" s="408">
        <f t="shared" si="1120"/>
        <v>0</v>
      </c>
      <c r="AY201" s="739">
        <f t="shared" ca="1" si="1121"/>
        <v>0</v>
      </c>
      <c r="AZ201" s="777">
        <f>AV188/AV195</f>
        <v>1.3842482100238662E-3</v>
      </c>
      <c r="BA201" s="407">
        <v>20</v>
      </c>
      <c r="BB201" s="777">
        <f>$AZ$198*(1+$BB$197)^BA201</f>
        <v>7.69456334491882E-2</v>
      </c>
      <c r="BC201" s="234">
        <f>BB201*$AV$194</f>
        <v>1.538912668983764</v>
      </c>
    </row>
    <row r="202" spans="2:68" ht="13.5" thickBot="1">
      <c r="B202" s="709" t="s">
        <v>2341</v>
      </c>
      <c r="C202" s="1236">
        <f t="shared" ref="C202:C211" si="1122">COUNTIF($C$2:$C$146,B202)</f>
        <v>13</v>
      </c>
      <c r="D202" s="15">
        <f t="shared" ref="D202:D211" si="1123">C202/$C$213</f>
        <v>8.9655172413793102E-2</v>
      </c>
      <c r="E202" s="19">
        <f t="shared" ref="E202:E211" si="1124">SUMIF($C$2:$C$146,B202,$J$2:$J$146)</f>
        <v>3061.9650360000001</v>
      </c>
      <c r="F202" s="19">
        <f t="shared" ref="F202:F211" si="1125">SUMIF($C$2:$C$146,B202,$S$2:$S$146)</f>
        <v>16.623267039599998</v>
      </c>
      <c r="G202" s="183">
        <f>F202/E202</f>
        <v>5.4289539051418471E-3</v>
      </c>
      <c r="H202" s="591">
        <f t="shared" ref="H202:H211" si="1126">F202/SUMIF($C$2:$C$146,B202,$K$2:$K$146)</f>
        <v>6.1415935594660593E-3</v>
      </c>
      <c r="P202" s="419">
        <f>IF(INT(($B$11-$B$12)/I62)&lt;0,0,INT(($B$11-$B$12)/I62))</f>
        <v>57</v>
      </c>
      <c r="Q202" s="11" t="s">
        <v>652</v>
      </c>
      <c r="R202" s="20">
        <f>R198*R185</f>
        <v>75.486127983623348</v>
      </c>
      <c r="S202" s="20">
        <f>S198*S185</f>
        <v>0</v>
      </c>
      <c r="T202" s="234">
        <f t="shared" ref="T202:T204" si="1127">SUM(R202:S202)</f>
        <v>75.486127983623348</v>
      </c>
      <c r="Y202" s="871" t="s">
        <v>2309</v>
      </c>
      <c r="Z202" s="25"/>
      <c r="AA202" s="25"/>
      <c r="AB202" s="978"/>
      <c r="AC202" s="20"/>
      <c r="AD202" s="420"/>
      <c r="AE202" s="224"/>
      <c r="AF202" s="10"/>
      <c r="AG202" s="591"/>
      <c r="AH202" s="15" t="s">
        <v>2230</v>
      </c>
      <c r="AT202" s="16">
        <f ca="1">AV200/AW181</f>
        <v>0</v>
      </c>
      <c r="AU202" s="709"/>
      <c r="AV202" s="707"/>
      <c r="BC202" s="591"/>
    </row>
    <row r="203" spans="2:68">
      <c r="B203" s="709" t="s">
        <v>2346</v>
      </c>
      <c r="C203" s="1236">
        <f t="shared" si="1122"/>
        <v>7</v>
      </c>
      <c r="D203" s="15">
        <f t="shared" si="1123"/>
        <v>4.8275862068965517E-2</v>
      </c>
      <c r="E203" s="19">
        <f t="shared" si="1124"/>
        <v>1961.838812</v>
      </c>
      <c r="F203" s="19">
        <f t="shared" si="1125"/>
        <v>37.400369999999995</v>
      </c>
      <c r="G203" s="183">
        <f t="shared" ref="G203:G213" si="1128">F203/E203</f>
        <v>1.9063936227192959E-2</v>
      </c>
      <c r="H203" s="591">
        <f t="shared" si="1126"/>
        <v>3.7093237989447372E-2</v>
      </c>
      <c r="P203" s="427" t="s">
        <v>644</v>
      </c>
      <c r="Q203" s="11" t="s">
        <v>653</v>
      </c>
      <c r="R203" s="20">
        <f>R199*R185</f>
        <v>113.22919197543501</v>
      </c>
      <c r="S203" s="20">
        <f>S199*S185</f>
        <v>0</v>
      </c>
      <c r="T203" s="234">
        <f t="shared" si="1127"/>
        <v>113.22919197543501</v>
      </c>
      <c r="Y203" s="471" t="s">
        <v>1780</v>
      </c>
      <c r="Z203" s="400"/>
      <c r="AA203" s="400"/>
      <c r="AB203" s="400"/>
      <c r="AC203" s="235"/>
      <c r="AE203" s="709" t="s">
        <v>2388</v>
      </c>
      <c r="AF203" s="10"/>
      <c r="AG203" s="553" t="s">
        <v>221</v>
      </c>
      <c r="AU203" s="729"/>
      <c r="AV203" s="772" t="s">
        <v>427</v>
      </c>
      <c r="AW203" s="217" t="s">
        <v>1241</v>
      </c>
      <c r="AX203" s="217" t="s">
        <v>1417</v>
      </c>
      <c r="AY203" s="217" t="s">
        <v>1418</v>
      </c>
      <c r="AZ203" s="217" t="s">
        <v>1419</v>
      </c>
      <c r="BA203" s="592" t="s">
        <v>1917</v>
      </c>
      <c r="BB203" s="945"/>
      <c r="BC203" s="591"/>
    </row>
    <row r="204" spans="2:68" ht="13.5" thickBot="1">
      <c r="B204" s="709" t="s">
        <v>2345</v>
      </c>
      <c r="C204" s="1236">
        <f t="shared" si="1122"/>
        <v>13</v>
      </c>
      <c r="D204" s="15">
        <f t="shared" si="1123"/>
        <v>8.9655172413793102E-2</v>
      </c>
      <c r="E204" s="19">
        <f t="shared" si="1124"/>
        <v>4477.4716722000012</v>
      </c>
      <c r="F204" s="19">
        <f t="shared" si="1125"/>
        <v>49.947809585000002</v>
      </c>
      <c r="G204" s="183">
        <f t="shared" si="1128"/>
        <v>1.1155360266178568E-2</v>
      </c>
      <c r="H204" s="591">
        <f t="shared" si="1126"/>
        <v>1.0974670269753625E-2</v>
      </c>
      <c r="P204" s="416">
        <f>(P188+P202)*(P186/12)</f>
        <v>0.44342200000000004</v>
      </c>
      <c r="Q204" s="11" t="s">
        <v>654</v>
      </c>
      <c r="R204" s="20">
        <f>R200*R185</f>
        <v>150.9722559672467</v>
      </c>
      <c r="S204" s="20">
        <f>S200*S185</f>
        <v>0</v>
      </c>
      <c r="T204" s="234">
        <f t="shared" si="1127"/>
        <v>150.9722559672467</v>
      </c>
      <c r="U204" s="410"/>
      <c r="X204" s="20" t="s">
        <v>2310</v>
      </c>
      <c r="Y204" s="185" t="s">
        <v>1782</v>
      </c>
      <c r="Z204" s="20" t="s">
        <v>2736</v>
      </c>
      <c r="AA204" s="20" t="s">
        <v>8</v>
      </c>
      <c r="AB204" s="159" t="s">
        <v>1798</v>
      </c>
      <c r="AC204" s="186" t="s">
        <v>1266</v>
      </c>
      <c r="AE204" s="643">
        <f>10000/COUNTA(AG2:AG190)</f>
        <v>52.910052910052912</v>
      </c>
      <c r="AF204" s="10"/>
      <c r="AG204" s="553">
        <v>10000</v>
      </c>
      <c r="AT204" s="7" t="s">
        <v>1906</v>
      </c>
      <c r="AU204" s="224" t="s">
        <v>1407</v>
      </c>
      <c r="AV204" s="10">
        <f ca="1">AV194/AV181</f>
        <v>0.1111111111111111</v>
      </c>
      <c r="AW204" s="12">
        <f t="shared" ref="AW204:AW211" ca="1" si="1129">AV204*365.25</f>
        <v>40.583333333333329</v>
      </c>
      <c r="AX204" s="12">
        <f t="shared" ref="AX204:AX211" ca="1" si="1130">AW204/12</f>
        <v>3.3819444444444442</v>
      </c>
      <c r="AY204" s="715">
        <v>2000</v>
      </c>
      <c r="AZ204" s="46">
        <f t="shared" ref="AZ204:AZ211" ca="1" si="1131">TODAY()+365.25*(((AY204-AV194)/AV204)/365.25)</f>
        <v>60592</v>
      </c>
      <c r="BA204" s="730">
        <f t="shared" ref="BA204:BA211" si="1132">AV194/AY204</f>
        <v>0.01</v>
      </c>
      <c r="BB204" s="12"/>
      <c r="BC204" s="234"/>
    </row>
    <row r="205" spans="2:68" ht="13.5" thickBot="1">
      <c r="B205" s="709" t="s">
        <v>2342</v>
      </c>
      <c r="C205" s="1236">
        <f t="shared" si="1122"/>
        <v>55</v>
      </c>
      <c r="D205" s="15">
        <f t="shared" si="1123"/>
        <v>0.37931034482758619</v>
      </c>
      <c r="E205" s="19">
        <f t="shared" si="1124"/>
        <v>40452.106281</v>
      </c>
      <c r="F205" s="19">
        <f t="shared" si="1125"/>
        <v>1801.7629854314664</v>
      </c>
      <c r="G205" s="183">
        <f t="shared" si="1128"/>
        <v>4.4540646979307937E-2</v>
      </c>
      <c r="H205" s="591">
        <f t="shared" si="1126"/>
        <v>6.1102125712337509E-2</v>
      </c>
      <c r="P205" s="415" t="s">
        <v>683</v>
      </c>
      <c r="R205" s="20"/>
      <c r="S205" s="20"/>
      <c r="T205" s="234"/>
      <c r="X205" s="715">
        <v>16147950</v>
      </c>
      <c r="Y205" s="564">
        <v>1037.9000000000001</v>
      </c>
      <c r="Z205" s="933">
        <f>0.06087801+0.04383235</f>
        <v>0.10471036</v>
      </c>
      <c r="AA205" s="20">
        <f>Y205*Z205</f>
        <v>108.67888264400001</v>
      </c>
      <c r="AB205" s="30">
        <f>25+20</f>
        <v>45</v>
      </c>
      <c r="AC205" s="847">
        <f>AA205/AB205-1</f>
        <v>1.415086280977778</v>
      </c>
      <c r="AE205" s="224"/>
      <c r="AG205" s="553"/>
      <c r="AT205" s="45">
        <f>AV188/AV201</f>
        <v>0.28999999999999998</v>
      </c>
      <c r="AU205" s="224" t="s">
        <v>1408</v>
      </c>
      <c r="AV205" s="10">
        <f ca="1">AV195/AV181</f>
        <v>2.3277777777777779</v>
      </c>
      <c r="AW205" s="12">
        <f t="shared" ca="1" si="1129"/>
        <v>850.22083333333342</v>
      </c>
      <c r="AX205" s="12">
        <f t="shared" ca="1" si="1130"/>
        <v>70.851736111111123</v>
      </c>
      <c r="AY205" s="715">
        <v>1000000</v>
      </c>
      <c r="AZ205" s="46">
        <f t="shared" ca="1" si="1131"/>
        <v>472186.27207637229</v>
      </c>
      <c r="BA205" s="730">
        <f t="shared" si="1132"/>
        <v>4.1899999999999999E-4</v>
      </c>
      <c r="BB205" s="807"/>
      <c r="BC205" s="591"/>
    </row>
    <row r="206" spans="2:68" ht="13.5" thickBot="1">
      <c r="B206" s="709" t="s">
        <v>2350</v>
      </c>
      <c r="C206" s="1236">
        <f t="shared" si="1122"/>
        <v>2</v>
      </c>
      <c r="D206" s="15">
        <f t="shared" si="1123"/>
        <v>1.3793103448275862E-2</v>
      </c>
      <c r="E206" s="19">
        <f t="shared" si="1124"/>
        <v>281.14668600000005</v>
      </c>
      <c r="F206" s="19">
        <f t="shared" si="1125"/>
        <v>9.8329599999999999</v>
      </c>
      <c r="G206" s="183">
        <f t="shared" si="1128"/>
        <v>3.4974483035521177E-2</v>
      </c>
      <c r="H206" s="591">
        <f t="shared" si="1126"/>
        <v>3.3799532517530588E-2</v>
      </c>
      <c r="O206" s="420"/>
      <c r="P206" s="457">
        <f>(R188*P204)/R187</f>
        <v>2.2693039918116685E-2</v>
      </c>
      <c r="Q206" s="420" t="s">
        <v>661</v>
      </c>
      <c r="R206" s="30">
        <f>Metals!G120</f>
        <v>109.47</v>
      </c>
      <c r="S206" s="30">
        <f>Metals!F120</f>
        <v>3016.4975951065512</v>
      </c>
      <c r="T206" s="236" t="s">
        <v>660</v>
      </c>
      <c r="V206" s="420"/>
      <c r="W206" s="420"/>
      <c r="Y206" s="574"/>
      <c r="AB206" s="159"/>
      <c r="AC206" s="186"/>
      <c r="AE206" s="216" t="s">
        <v>1762</v>
      </c>
      <c r="AF206" s="904" t="s">
        <v>1757</v>
      </c>
      <c r="AG206" s="903"/>
      <c r="AU206" s="224" t="s">
        <v>1409</v>
      </c>
      <c r="AV206" s="10">
        <f ca="1">AV196/AV181</f>
        <v>2.3777777777777778</v>
      </c>
      <c r="AW206" s="12">
        <f t="shared" ca="1" si="1129"/>
        <v>868.48333333333335</v>
      </c>
      <c r="AX206" s="12">
        <f t="shared" ca="1" si="1130"/>
        <v>72.373611111111117</v>
      </c>
      <c r="AY206" s="715">
        <v>1000000</v>
      </c>
      <c r="AZ206" s="46">
        <f t="shared" ca="1" si="1131"/>
        <v>463152.74766355142</v>
      </c>
      <c r="BA206" s="730">
        <f t="shared" si="1132"/>
        <v>4.28E-4</v>
      </c>
      <c r="BB206" s="807"/>
      <c r="BC206" s="591"/>
    </row>
    <row r="207" spans="2:68">
      <c r="B207" s="709" t="s">
        <v>2344</v>
      </c>
      <c r="C207" s="1236">
        <f t="shared" si="1122"/>
        <v>13</v>
      </c>
      <c r="D207" s="15">
        <f t="shared" si="1123"/>
        <v>8.9655172413793102E-2</v>
      </c>
      <c r="E207" s="19">
        <f t="shared" si="1124"/>
        <v>7094.8840659999987</v>
      </c>
      <c r="F207" s="19">
        <f t="shared" si="1125"/>
        <v>381.63338298799999</v>
      </c>
      <c r="G207" s="183">
        <f t="shared" si="1128"/>
        <v>5.3789939262976545E-2</v>
      </c>
      <c r="H207" s="591">
        <f t="shared" si="1126"/>
        <v>5.9684865046433146E-2</v>
      </c>
      <c r="O207" s="420"/>
      <c r="P207" s="185"/>
      <c r="Q207" s="11" t="s">
        <v>656</v>
      </c>
      <c r="R207" s="19">
        <f>$R$206*R197</f>
        <v>234.22523895598775</v>
      </c>
      <c r="S207" s="19">
        <f>$S$206*S197</f>
        <v>0</v>
      </c>
      <c r="T207" s="234">
        <f>SUM(R207:S207)</f>
        <v>234.22523895598775</v>
      </c>
      <c r="V207" s="420"/>
      <c r="W207" s="420"/>
      <c r="X207" s="20" t="s">
        <v>2311</v>
      </c>
      <c r="Y207" s="953" t="s">
        <v>1783</v>
      </c>
      <c r="Z207" s="25" t="s">
        <v>1784</v>
      </c>
      <c r="AA207" s="159" t="s">
        <v>1799</v>
      </c>
      <c r="AB207" s="13" t="s">
        <v>1859</v>
      </c>
      <c r="AC207" s="186" t="s">
        <v>1861</v>
      </c>
      <c r="AE207" s="224">
        <v>1</v>
      </c>
      <c r="AF207" s="420">
        <f>10000/AE207</f>
        <v>10000</v>
      </c>
      <c r="AG207" s="905" t="str">
        <f t="shared" ref="AG207:AG233" si="1133">IF(AF207&gt;$AE$196,"too concentrated",IF(AND(AF207&gt;=$AE$197,AF207&lt;=$AF$197),"moderate concentration","diversified"))</f>
        <v>too concentrated</v>
      </c>
      <c r="AT207" s="19"/>
      <c r="AU207" s="224" t="s">
        <v>1411</v>
      </c>
      <c r="AV207" s="10">
        <f ca="1">AV197/AV181</f>
        <v>5.5555555555555558E-3</v>
      </c>
      <c r="AW207" s="12">
        <f t="shared" ca="1" si="1129"/>
        <v>2.0291666666666668</v>
      </c>
      <c r="AX207" s="12">
        <f t="shared" ca="1" si="1130"/>
        <v>0.16909722222222223</v>
      </c>
      <c r="AY207" s="715">
        <v>2000</v>
      </c>
      <c r="AZ207" s="46">
        <f t="shared" ca="1" si="1131"/>
        <v>402592</v>
      </c>
      <c r="BA207" s="730">
        <f t="shared" si="1132"/>
        <v>5.0000000000000001E-4</v>
      </c>
      <c r="BB207" s="10"/>
      <c r="BC207" s="641"/>
    </row>
    <row r="208" spans="2:68">
      <c r="B208" s="709" t="s">
        <v>2348</v>
      </c>
      <c r="C208" s="1236">
        <f t="shared" si="1122"/>
        <v>15</v>
      </c>
      <c r="D208" s="15">
        <f t="shared" si="1123"/>
        <v>0.10344827586206896</v>
      </c>
      <c r="E208" s="19">
        <f t="shared" si="1124"/>
        <v>4495.542931</v>
      </c>
      <c r="F208" s="19">
        <f t="shared" si="1125"/>
        <v>148.56007</v>
      </c>
      <c r="G208" s="183">
        <f t="shared" si="1128"/>
        <v>3.3046079701646608E-2</v>
      </c>
      <c r="H208" s="591">
        <f t="shared" si="1126"/>
        <v>4.0397137721652529E-2</v>
      </c>
      <c r="O208" s="420"/>
      <c r="P208" s="677"/>
      <c r="Q208" s="11" t="s">
        <v>657</v>
      </c>
      <c r="R208" s="19">
        <f>$R$206*R198</f>
        <v>468.4504779119755</v>
      </c>
      <c r="S208" s="19">
        <f>$S$206*S198</f>
        <v>0</v>
      </c>
      <c r="T208" s="234">
        <f>SUM(R208:S208)</f>
        <v>468.4504779119755</v>
      </c>
      <c r="V208" s="420"/>
      <c r="W208" s="420"/>
      <c r="X208" s="994">
        <f>Z205/X205</f>
        <v>6.4844367241662253E-9</v>
      </c>
      <c r="Y208" s="185">
        <v>0.01</v>
      </c>
      <c r="Z208" s="159">
        <f t="shared" ref="Z208:Z220" si="1134">Y208/$Y$205</f>
        <v>9.6348395799209935E-6</v>
      </c>
      <c r="AA208" s="20" t="str">
        <f>IF(AC205&lt;0,Y205*(1+(1/(1-ABS(AC205)))-1),"na")</f>
        <v>na</v>
      </c>
      <c r="AB208" s="20">
        <f>AA224</f>
        <v>1090.2399999999998</v>
      </c>
      <c r="AC208" s="186">
        <f>AA205-AB205</f>
        <v>63.678882644000012</v>
      </c>
      <c r="AE208" s="224">
        <v>2</v>
      </c>
      <c r="AF208" s="420">
        <f t="shared" ref="AF208:AF233" si="1135">10000/AE208</f>
        <v>5000</v>
      </c>
      <c r="AG208" s="905" t="str">
        <f t="shared" si="1133"/>
        <v>too concentrated</v>
      </c>
      <c r="AU208" s="224" t="s">
        <v>1412</v>
      </c>
      <c r="AV208" s="10">
        <f ca="1">AV198/AV181</f>
        <v>5.5555555555555558E-3</v>
      </c>
      <c r="AW208" s="12">
        <f t="shared" ca="1" si="1129"/>
        <v>2.0291666666666668</v>
      </c>
      <c r="AX208" s="12">
        <f t="shared" ca="1" si="1130"/>
        <v>0.16909722222222223</v>
      </c>
      <c r="AY208" s="715">
        <v>100</v>
      </c>
      <c r="AZ208" s="46">
        <f t="shared" ca="1" si="1131"/>
        <v>60592</v>
      </c>
      <c r="BA208" s="730">
        <f t="shared" si="1132"/>
        <v>0.01</v>
      </c>
      <c r="BB208" s="807"/>
      <c r="BC208" s="591"/>
    </row>
    <row r="209" spans="1:59">
      <c r="B209" s="709" t="s">
        <v>2347</v>
      </c>
      <c r="C209" s="1236">
        <f t="shared" si="1122"/>
        <v>10</v>
      </c>
      <c r="D209" s="15">
        <f t="shared" si="1123"/>
        <v>6.8965517241379309E-2</v>
      </c>
      <c r="E209" s="19">
        <f t="shared" si="1124"/>
        <v>1233.6126120000001</v>
      </c>
      <c r="F209" s="19">
        <f t="shared" si="1125"/>
        <v>34.983396775999999</v>
      </c>
      <c r="G209" s="183">
        <f t="shared" si="1128"/>
        <v>2.8358494745998913E-2</v>
      </c>
      <c r="H209" s="591">
        <f t="shared" si="1126"/>
        <v>3.5146476426619513E-2</v>
      </c>
      <c r="O209" s="420"/>
      <c r="P209" s="433"/>
      <c r="Q209" s="11" t="s">
        <v>658</v>
      </c>
      <c r="R209" s="19">
        <f>$R$206*R199</f>
        <v>702.67571686796316</v>
      </c>
      <c r="S209" s="19">
        <f>$S$206*S199</f>
        <v>0</v>
      </c>
      <c r="T209" s="234">
        <f>SUM(R209:S209)</f>
        <v>702.67571686796316</v>
      </c>
      <c r="V209" s="420"/>
      <c r="W209" s="420"/>
      <c r="Y209" s="185">
        <v>0.05</v>
      </c>
      <c r="Z209" s="159">
        <f t="shared" si="1134"/>
        <v>4.8174197899604971E-5</v>
      </c>
      <c r="AA209" s="825"/>
      <c r="AB209" s="958"/>
      <c r="AC209" s="934"/>
      <c r="AE209" s="224">
        <v>3</v>
      </c>
      <c r="AF209" s="420">
        <f t="shared" si="1135"/>
        <v>3333.3333333333335</v>
      </c>
      <c r="AG209" s="905" t="str">
        <f t="shared" si="1133"/>
        <v>too concentrated</v>
      </c>
      <c r="AU209" s="224" t="s">
        <v>1413</v>
      </c>
      <c r="AV209" s="10">
        <f ca="1">AV199/AV181</f>
        <v>1.6666666666666666E-2</v>
      </c>
      <c r="AW209" s="12">
        <f t="shared" ca="1" si="1129"/>
        <v>6.0875000000000004</v>
      </c>
      <c r="AX209" s="12">
        <f t="shared" ca="1" si="1130"/>
        <v>0.5072916666666667</v>
      </c>
      <c r="AY209" s="715">
        <v>500</v>
      </c>
      <c r="AZ209" s="46">
        <f t="shared" ca="1" si="1131"/>
        <v>72592</v>
      </c>
      <c r="BA209" s="730">
        <f t="shared" si="1132"/>
        <v>6.0000000000000001E-3</v>
      </c>
      <c r="BB209" s="807"/>
      <c r="BC209" s="591"/>
    </row>
    <row r="210" spans="1:59" ht="13.5" thickBot="1">
      <c r="B210" s="709" t="s">
        <v>2349</v>
      </c>
      <c r="C210" s="1236">
        <f t="shared" si="1122"/>
        <v>4</v>
      </c>
      <c r="D210" s="15">
        <f t="shared" si="1123"/>
        <v>2.7586206896551724E-2</v>
      </c>
      <c r="E210" s="19">
        <f t="shared" si="1124"/>
        <v>771.8229429999999</v>
      </c>
      <c r="F210" s="19">
        <f t="shared" si="1125"/>
        <v>35.980670500000002</v>
      </c>
      <c r="G210" s="183">
        <f t="shared" si="1128"/>
        <v>4.6617777854784513E-2</v>
      </c>
      <c r="H210" s="591">
        <f t="shared" si="1126"/>
        <v>5.1536425031511401E-2</v>
      </c>
      <c r="O210" s="420"/>
      <c r="P210" s="434"/>
      <c r="Q210" s="229" t="s">
        <v>659</v>
      </c>
      <c r="R210" s="432">
        <f>$R$206*R200</f>
        <v>936.90095582395099</v>
      </c>
      <c r="S210" s="432">
        <f>$S$206*S200</f>
        <v>0</v>
      </c>
      <c r="T210" s="232">
        <f>SUM(R210:S210)</f>
        <v>936.90095582395099</v>
      </c>
      <c r="V210" s="420"/>
      <c r="W210" s="420"/>
      <c r="X210" s="20" t="s">
        <v>2409</v>
      </c>
      <c r="Y210" s="185">
        <v>0.1</v>
      </c>
      <c r="Z210" s="159">
        <f t="shared" si="1134"/>
        <v>9.6348395799209942E-5</v>
      </c>
      <c r="AA210" s="13" t="s">
        <v>1890</v>
      </c>
      <c r="AC210" s="934"/>
      <c r="AE210" s="224">
        <v>4</v>
      </c>
      <c r="AF210" s="420">
        <f t="shared" si="1135"/>
        <v>2500</v>
      </c>
      <c r="AG210" s="905" t="str">
        <f t="shared" si="1133"/>
        <v>too concentrated</v>
      </c>
      <c r="AU210" s="224" t="s">
        <v>6</v>
      </c>
      <c r="AV210" s="10">
        <f ca="1">AV200/AV181</f>
        <v>0</v>
      </c>
      <c r="AW210" s="12">
        <f t="shared" ca="1" si="1129"/>
        <v>0</v>
      </c>
      <c r="AX210" s="12">
        <f t="shared" ca="1" si="1130"/>
        <v>0</v>
      </c>
      <c r="AY210" s="715">
        <v>200</v>
      </c>
      <c r="AZ210" s="46" t="e">
        <f t="shared" ca="1" si="1131"/>
        <v>#DIV/0!</v>
      </c>
      <c r="BA210" s="730">
        <f t="shared" si="1132"/>
        <v>0</v>
      </c>
      <c r="BB210" s="46"/>
      <c r="BC210" s="591"/>
    </row>
    <row r="211" spans="1:59" ht="13.5" thickBot="1">
      <c r="B211" s="709" t="s">
        <v>2343</v>
      </c>
      <c r="C211" s="1236">
        <f t="shared" si="1122"/>
        <v>13</v>
      </c>
      <c r="D211" s="15">
        <f t="shared" si="1123"/>
        <v>8.9655172413793102E-2</v>
      </c>
      <c r="E211" s="19">
        <f t="shared" si="1124"/>
        <v>2540.2227300000004</v>
      </c>
      <c r="F211" s="19">
        <f t="shared" si="1125"/>
        <v>69.473789516000011</v>
      </c>
      <c r="G211" s="183">
        <f t="shared" si="1128"/>
        <v>2.7349487387666988E-2</v>
      </c>
      <c r="H211" s="591">
        <f t="shared" si="1126"/>
        <v>2.5908264877141037E-2</v>
      </c>
      <c r="O211" s="420"/>
      <c r="P211" s="421" t="s">
        <v>637</v>
      </c>
      <c r="Q211" s="420"/>
      <c r="R211" s="420"/>
      <c r="S211" s="15"/>
      <c r="T211" s="420"/>
      <c r="V211" s="420"/>
      <c r="W211" s="420"/>
      <c r="X211" s="159">
        <f>X205/Metals!B9</f>
        <v>2.1907407407407409E-3</v>
      </c>
      <c r="Y211" s="185">
        <v>0.25</v>
      </c>
      <c r="Z211" s="159">
        <f t="shared" si="1134"/>
        <v>2.4087098949802485E-4</v>
      </c>
      <c r="AA211" s="20" t="e">
        <f>AA208-Y205</f>
        <v>#VALUE!</v>
      </c>
      <c r="AB211" s="952" t="s">
        <v>1828</v>
      </c>
      <c r="AC211" s="1232" t="s">
        <v>664</v>
      </c>
      <c r="AE211" s="224">
        <v>5</v>
      </c>
      <c r="AF211" s="420">
        <f t="shared" si="1135"/>
        <v>2000</v>
      </c>
      <c r="AG211" s="905" t="str">
        <f t="shared" si="1133"/>
        <v>too concentrated</v>
      </c>
      <c r="AU211" s="441" t="s">
        <v>1410</v>
      </c>
      <c r="AV211" s="739">
        <f ca="1">AV201/AV181</f>
        <v>1.1111111111111112E-2</v>
      </c>
      <c r="AW211" s="407">
        <f t="shared" ca="1" si="1129"/>
        <v>4.0583333333333336</v>
      </c>
      <c r="AX211" s="407">
        <f t="shared" ca="1" si="1130"/>
        <v>0.33819444444444446</v>
      </c>
      <c r="AY211" s="716">
        <v>1000</v>
      </c>
      <c r="AZ211" s="731">
        <f t="shared" ca="1" si="1131"/>
        <v>132592</v>
      </c>
      <c r="BA211" s="732">
        <f t="shared" si="1132"/>
        <v>2E-3</v>
      </c>
      <c r="BC211" s="591"/>
    </row>
    <row r="212" spans="1:59" ht="13.5" thickBot="1">
      <c r="B212" s="224"/>
      <c r="D212" s="15"/>
      <c r="G212" s="183"/>
      <c r="H212" s="591"/>
      <c r="O212" s="420"/>
      <c r="P212" s="420"/>
      <c r="R212" s="420"/>
      <c r="S212" s="420"/>
      <c r="T212" s="420"/>
      <c r="U212" s="420"/>
      <c r="V212" s="420"/>
      <c r="W212" s="420"/>
      <c r="Y212" s="185">
        <v>0.5</v>
      </c>
      <c r="Z212" s="159">
        <f t="shared" si="1134"/>
        <v>4.8174197899604969E-4</v>
      </c>
      <c r="AA212" s="20"/>
      <c r="AB212" s="574"/>
      <c r="AC212" s="1012"/>
      <c r="AE212" s="224">
        <v>6</v>
      </c>
      <c r="AF212" s="420">
        <f t="shared" si="1135"/>
        <v>1666.6666666666667</v>
      </c>
      <c r="AG212" s="905" t="str">
        <f t="shared" si="1133"/>
        <v>moderate concentration</v>
      </c>
      <c r="AU212" s="710"/>
      <c r="AV212" s="711"/>
      <c r="AW212" s="712"/>
      <c r="AX212" s="238"/>
      <c r="AY212" s="238"/>
      <c r="AZ212" s="238"/>
      <c r="BA212" s="238"/>
      <c r="BB212" s="238"/>
      <c r="BC212" s="628"/>
    </row>
    <row r="213" spans="1:59">
      <c r="B213" s="445" t="s">
        <v>148</v>
      </c>
      <c r="C213" s="24">
        <f>SUM(C202:C212)</f>
        <v>145</v>
      </c>
      <c r="D213" s="18">
        <f>SUM(D202:D212)</f>
        <v>1</v>
      </c>
      <c r="E213" s="21">
        <f>SUM(E202:E212)</f>
        <v>66370.61376919999</v>
      </c>
      <c r="F213" s="21">
        <f>SUM(F202:F212)</f>
        <v>2586.1987018360664</v>
      </c>
      <c r="G213" s="1264">
        <f t="shared" si="1128"/>
        <v>3.8966020576959318E-2</v>
      </c>
      <c r="H213" s="724">
        <f>U172</f>
        <v>4.9268932682511396E-2</v>
      </c>
      <c r="O213" s="420"/>
      <c r="P213" s="216" t="s">
        <v>1110</v>
      </c>
      <c r="Q213" s="572" t="s">
        <v>1125</v>
      </c>
      <c r="R213" s="231" t="s">
        <v>1107</v>
      </c>
      <c r="S213" s="217" t="s">
        <v>5</v>
      </c>
      <c r="T213" s="566" t="s">
        <v>2</v>
      </c>
      <c r="U213" s="217" t="s">
        <v>1111</v>
      </c>
      <c r="V213" s="592" t="s">
        <v>1112</v>
      </c>
      <c r="W213" s="7"/>
      <c r="X213" s="20" t="s">
        <v>2410</v>
      </c>
      <c r="Y213" s="936">
        <v>1</v>
      </c>
      <c r="Z213" s="159">
        <f t="shared" si="1134"/>
        <v>9.6348395799209939E-4</v>
      </c>
      <c r="AA213" s="159" t="s">
        <v>1862</v>
      </c>
      <c r="AB213" s="956" t="s">
        <v>1831</v>
      </c>
      <c r="AC213" s="957" t="s">
        <v>1830</v>
      </c>
      <c r="AE213" s="224">
        <v>7</v>
      </c>
      <c r="AF213" s="420">
        <f t="shared" si="1135"/>
        <v>1428.5714285714287</v>
      </c>
      <c r="AG213" s="905" t="str">
        <f t="shared" si="1133"/>
        <v>moderate concentration</v>
      </c>
    </row>
    <row r="214" spans="1:59">
      <c r="B214" s="224"/>
      <c r="C214" s="16"/>
      <c r="D214" s="15"/>
      <c r="G214" s="11"/>
      <c r="H214" s="591"/>
      <c r="O214" s="420"/>
      <c r="P214" s="569"/>
      <c r="Q214" s="676">
        <v>0</v>
      </c>
      <c r="R214" s="1252" t="s">
        <v>1113</v>
      </c>
      <c r="S214" s="74">
        <v>1</v>
      </c>
      <c r="T214" s="74">
        <f t="shared" ref="T214:T227" si="1136">1-S214</f>
        <v>0</v>
      </c>
      <c r="U214" s="19">
        <f t="shared" ref="U214:U230" si="1137">S214*$P$190</f>
        <v>0.34840300000000002</v>
      </c>
      <c r="V214" s="234">
        <f t="shared" ref="V214:V230" si="1138">T214*$P$190</f>
        <v>0</v>
      </c>
      <c r="W214" s="19"/>
      <c r="X214" s="9">
        <f>Z233/X211</f>
        <v>54.775678275570577</v>
      </c>
      <c r="Y214" s="936">
        <v>2</v>
      </c>
      <c r="Z214" s="159">
        <f t="shared" si="1134"/>
        <v>1.9269679159841988E-3</v>
      </c>
      <c r="AA214" s="20">
        <f>AB208+AC208</f>
        <v>1153.9188826439997</v>
      </c>
      <c r="AB214" s="955">
        <f>Y205/AB221-1</f>
        <v>1.7872814673577357</v>
      </c>
      <c r="AC214" s="847">
        <f>AC221/Y205-1</f>
        <v>0</v>
      </c>
      <c r="AE214" s="224">
        <v>8</v>
      </c>
      <c r="AF214" s="420">
        <f t="shared" si="1135"/>
        <v>1250</v>
      </c>
      <c r="AG214" s="905" t="str">
        <f t="shared" si="1133"/>
        <v>moderate concentration</v>
      </c>
    </row>
    <row r="215" spans="1:59" ht="13.5" thickBot="1">
      <c r="B215" s="445" t="s">
        <v>2362</v>
      </c>
      <c r="H215" s="591"/>
      <c r="O215" s="420"/>
      <c r="P215" s="224"/>
      <c r="Q215" s="676">
        <v>0</v>
      </c>
      <c r="R215" s="568" t="s">
        <v>1114</v>
      </c>
      <c r="S215" s="74">
        <v>0</v>
      </c>
      <c r="T215" s="74">
        <f t="shared" si="1136"/>
        <v>1</v>
      </c>
      <c r="U215" s="19">
        <f t="shared" si="1137"/>
        <v>0</v>
      </c>
      <c r="V215" s="234">
        <f t="shared" si="1138"/>
        <v>0.34840300000000002</v>
      </c>
      <c r="W215" s="19"/>
      <c r="Y215" s="936">
        <v>5</v>
      </c>
      <c r="Z215" s="159">
        <f t="shared" si="1134"/>
        <v>4.8174197899604971E-3</v>
      </c>
      <c r="AA215" s="20"/>
      <c r="AB215" s="574"/>
      <c r="AC215" s="934"/>
      <c r="AE215" s="224">
        <v>9</v>
      </c>
      <c r="AF215" s="420">
        <f t="shared" si="1135"/>
        <v>1111.1111111111111</v>
      </c>
      <c r="AG215" s="905" t="str">
        <f t="shared" si="1133"/>
        <v>moderate concentration</v>
      </c>
      <c r="AT215" s="420" t="s">
        <v>514</v>
      </c>
    </row>
    <row r="216" spans="1:59">
      <c r="B216" s="709" t="s">
        <v>2365</v>
      </c>
      <c r="C216" s="420">
        <f>COUNTIF(AK:AK,"=1")</f>
        <v>16</v>
      </c>
      <c r="D216" s="15">
        <f t="shared" ref="D216:D224" si="1139">C216/$C$213</f>
        <v>0.1103448275862069</v>
      </c>
      <c r="E216" s="19">
        <f>SUMIF($AK$2:$AK$146,1,$J$2:$J$146)</f>
        <v>6301.711553000001</v>
      </c>
      <c r="F216" s="19">
        <f>SUMIF($AK$2:$AK$146,1,$S$2:$S$146)</f>
        <v>192.924621524</v>
      </c>
      <c r="G216" s="15">
        <f>F216/E216</f>
        <v>3.0614638563098949E-2</v>
      </c>
      <c r="H216" s="591">
        <f>F216/SUMIF($AK$2:$AK$146,1,$K$2:$K$146)</f>
        <v>4.1330952809460558E-2</v>
      </c>
      <c r="I216" s="15"/>
      <c r="O216" s="420"/>
      <c r="P216" s="224"/>
      <c r="Q216" s="676">
        <v>0</v>
      </c>
      <c r="R216" s="562" t="s">
        <v>1106</v>
      </c>
      <c r="S216" s="558">
        <v>0.5</v>
      </c>
      <c r="T216" s="558">
        <f t="shared" si="1136"/>
        <v>0.5</v>
      </c>
      <c r="U216" s="19">
        <f t="shared" si="1137"/>
        <v>0.17420150000000001</v>
      </c>
      <c r="V216" s="234">
        <f t="shared" si="1138"/>
        <v>0.17420150000000001</v>
      </c>
      <c r="W216" s="19"/>
      <c r="Y216" s="936">
        <v>10</v>
      </c>
      <c r="Z216" s="159">
        <f t="shared" si="1134"/>
        <v>9.6348395799209941E-3</v>
      </c>
      <c r="AA216" s="20"/>
      <c r="AB216" s="574" t="str">
        <f>IF(AND(AC214&gt;0,AB214&gt;0),"Between",IF(AC214=0,"At high","At low"))</f>
        <v>At high</v>
      </c>
      <c r="AC216" s="1065" t="s">
        <v>2011</v>
      </c>
      <c r="AE216" s="224">
        <v>10</v>
      </c>
      <c r="AF216" s="420">
        <f t="shared" si="1135"/>
        <v>1000</v>
      </c>
      <c r="AG216" s="905" t="str">
        <f t="shared" si="1133"/>
        <v>moderate concentration</v>
      </c>
      <c r="AT216" s="16">
        <f ca="1">AV217/365.25</f>
        <v>1.7987679671457906</v>
      </c>
      <c r="AU216" s="630" t="s">
        <v>1279</v>
      </c>
      <c r="AV216" s="644"/>
      <c r="AX216" s="638" t="s">
        <v>1278</v>
      </c>
      <c r="AY216" s="639"/>
      <c r="AZ216" s="176"/>
      <c r="BA216" s="1031"/>
      <c r="BB216" s="512"/>
      <c r="BC216" s="27"/>
      <c r="BD216" s="11"/>
      <c r="BE216" s="11"/>
      <c r="BF216" s="512"/>
      <c r="BG216" s="512"/>
    </row>
    <row r="217" spans="1:59">
      <c r="A217" s="210" t="s">
        <v>2396</v>
      </c>
      <c r="B217" s="709" t="s">
        <v>2360</v>
      </c>
      <c r="C217" s="420">
        <f>COUNTIF(AJ:AJ,"=1")</f>
        <v>9</v>
      </c>
      <c r="D217" s="15">
        <f t="shared" si="1139"/>
        <v>6.2068965517241378E-2</v>
      </c>
      <c r="E217" s="19">
        <f>SUMIF($AJ$2:$AJ$146,1,$J$2:$J$146)</f>
        <v>19030.716671000002</v>
      </c>
      <c r="F217" s="19">
        <f>SUMIF($AJ$2:$AJ$146,1,$S$2:$S$146)</f>
        <v>789.62673039999993</v>
      </c>
      <c r="G217" s="15">
        <f t="shared" ref="G217:G222" si="1140">F217/E217</f>
        <v>4.1492222497499232E-2</v>
      </c>
      <c r="H217" s="591">
        <f>F217/SUMIF($AJ$2:$AJ$146,1,$K$2:$K$146)</f>
        <v>7.4877080044454383E-2</v>
      </c>
      <c r="I217" s="15"/>
      <c r="O217" s="420"/>
      <c r="P217" s="224"/>
      <c r="Q217" s="676">
        <v>0</v>
      </c>
      <c r="R217" s="562" t="s">
        <v>1116</v>
      </c>
      <c r="S217" s="558">
        <f>IF(R185&lt;S185,S185/SUM(R185:S185),1-(R185/SUM(R185:S185)))</f>
        <v>0.98585677175202835</v>
      </c>
      <c r="T217" s="558">
        <f t="shared" si="1136"/>
        <v>1.4143228247971651E-2</v>
      </c>
      <c r="U217" s="19">
        <f t="shared" si="1137"/>
        <v>0.34347545684872194</v>
      </c>
      <c r="V217" s="234">
        <f t="shared" si="1138"/>
        <v>4.9275431512780677E-3</v>
      </c>
      <c r="W217" s="19"/>
      <c r="X217" s="159"/>
      <c r="Y217" s="936">
        <v>20</v>
      </c>
      <c r="Z217" s="159">
        <f t="shared" si="1134"/>
        <v>1.9269679159841988E-2</v>
      </c>
      <c r="AA217" s="20"/>
      <c r="AB217" s="574"/>
      <c r="AC217" s="234">
        <f>(2*(AB205))/Z205</f>
        <v>859.51380551074408</v>
      </c>
      <c r="AE217" s="224">
        <v>11</v>
      </c>
      <c r="AF217" s="420">
        <f t="shared" si="1135"/>
        <v>909.09090909090912</v>
      </c>
      <c r="AG217" s="905" t="str">
        <f t="shared" si="1133"/>
        <v>moderate concentration</v>
      </c>
      <c r="AU217" s="219">
        <v>42115</v>
      </c>
      <c r="AV217" s="220">
        <f ca="1">DATEDIF(AU217,A4,"D")</f>
        <v>657</v>
      </c>
      <c r="AX217" s="643" t="s">
        <v>143</v>
      </c>
      <c r="AY217" s="493">
        <v>100</v>
      </c>
      <c r="AZ217" s="176"/>
      <c r="BA217" s="512"/>
      <c r="BB217" s="512"/>
      <c r="BC217" s="512"/>
      <c r="BD217" s="11"/>
      <c r="BE217" s="11"/>
      <c r="BF217" s="512"/>
      <c r="BG217" s="512"/>
    </row>
    <row r="218" spans="1:59">
      <c r="A218" s="176"/>
      <c r="B218" s="709" t="s">
        <v>2366</v>
      </c>
      <c r="C218" s="420">
        <f>COUNTIF(AL:AL,"=1")</f>
        <v>15</v>
      </c>
      <c r="D218" s="15">
        <f t="shared" si="1139"/>
        <v>0.10344827586206896</v>
      </c>
      <c r="E218" s="19">
        <f>SUMIF($AL$2:$AL$146,1,$J$2:$J$146)</f>
        <v>3579.743297</v>
      </c>
      <c r="F218" s="19">
        <f>SUMIF($AL$2:$AL$146,1,$S$2:$S$146)</f>
        <v>95.647017379999994</v>
      </c>
      <c r="G218" s="15">
        <f t="shared" si="1140"/>
        <v>2.671895983719192E-2</v>
      </c>
      <c r="H218" s="591">
        <f>F218/SUMIF($AL$2:$AL$146,1,$K$2:$K$146)</f>
        <v>3.3497241121115649E-2</v>
      </c>
      <c r="I218" s="15"/>
      <c r="O218" s="420"/>
      <c r="P218" s="224"/>
      <c r="Q218" s="676">
        <v>0</v>
      </c>
      <c r="R218" s="562" t="s">
        <v>1117</v>
      </c>
      <c r="S218" s="558">
        <f>IF(R186&lt;S186,S186/SUM(R186:S186),1-(R186/SUM(R186:S186)))</f>
        <v>0.94043887147335425</v>
      </c>
      <c r="T218" s="558">
        <f t="shared" si="1136"/>
        <v>5.9561128526645746E-2</v>
      </c>
      <c r="U218" s="19">
        <f t="shared" si="1137"/>
        <v>0.32765172413793103</v>
      </c>
      <c r="V218" s="234">
        <f t="shared" si="1138"/>
        <v>2.0751275862068957E-2</v>
      </c>
      <c r="W218" s="19"/>
      <c r="Y218" s="936">
        <v>50</v>
      </c>
      <c r="Z218" s="159">
        <f t="shared" si="1134"/>
        <v>4.8174197899604969E-2</v>
      </c>
      <c r="AA218" s="20"/>
      <c r="AB218" s="574"/>
      <c r="AC218" s="934"/>
      <c r="AE218" s="224">
        <v>12</v>
      </c>
      <c r="AF218" s="420">
        <f t="shared" si="1135"/>
        <v>833.33333333333337</v>
      </c>
      <c r="AG218" s="905" t="str">
        <f t="shared" si="1133"/>
        <v>moderate concentration</v>
      </c>
      <c r="AT218" s="15"/>
      <c r="AU218" s="219" t="s">
        <v>456</v>
      </c>
      <c r="AV218" s="493">
        <v>0</v>
      </c>
      <c r="AX218" s="678" t="e">
        <f ca="1">(AY217-AV218)/AV219</f>
        <v>#DIV/0!</v>
      </c>
      <c r="AY218" s="641" t="s">
        <v>845</v>
      </c>
      <c r="AZ218" s="176"/>
      <c r="BA218" s="512"/>
      <c r="BB218" s="11"/>
      <c r="BC218" s="512"/>
      <c r="BD218" s="11"/>
      <c r="BE218" s="11"/>
      <c r="BF218" s="512"/>
      <c r="BG218" s="512"/>
    </row>
    <row r="219" spans="1:59">
      <c r="A219" s="491"/>
      <c r="B219" s="709" t="s">
        <v>2369</v>
      </c>
      <c r="C219" s="420">
        <f>COUNTIF(AM:AM,"=1")</f>
        <v>4</v>
      </c>
      <c r="D219" s="15">
        <f t="shared" si="1139"/>
        <v>2.7586206896551724E-2</v>
      </c>
      <c r="E219" s="19">
        <f>SUMIF($AM$2:$AM$146,1,$J$2:$J$146)</f>
        <v>3570.9552790000002</v>
      </c>
      <c r="F219" s="19">
        <f>SUMIF($AM$2:$AM$146,1,$S$2:$S$146)</f>
        <v>177.18582800000001</v>
      </c>
      <c r="G219" s="15">
        <f t="shared" si="1140"/>
        <v>4.9618607391134453E-2</v>
      </c>
      <c r="H219" s="591">
        <f>F219/SUMIF($AM$2:$AM$146,1,$K$2:$K$146)</f>
        <v>6.7878708056069548E-2</v>
      </c>
      <c r="I219" s="15"/>
      <c r="O219" s="420"/>
      <c r="P219" s="224"/>
      <c r="Q219" s="676">
        <v>0</v>
      </c>
      <c r="R219" s="562" t="s">
        <v>1118</v>
      </c>
      <c r="S219" s="558">
        <f>IF(R187&lt;S187,S187/SUM(R187:S187),1-(R187/SUM(R187:S187)))</f>
        <v>0.98472411151242245</v>
      </c>
      <c r="T219" s="558">
        <f t="shared" si="1136"/>
        <v>1.5275888487577549E-2</v>
      </c>
      <c r="U219" s="19">
        <f t="shared" si="1137"/>
        <v>0.34308083462326255</v>
      </c>
      <c r="V219" s="234">
        <f t="shared" si="1138"/>
        <v>5.3221653767374809E-3</v>
      </c>
      <c r="W219" s="19"/>
      <c r="Y219" s="936">
        <v>100</v>
      </c>
      <c r="Z219" s="159">
        <f t="shared" si="1134"/>
        <v>9.6348395799209938E-2</v>
      </c>
      <c r="AA219" s="20"/>
      <c r="AB219" s="185" t="str">
        <f>IF(Y205&lt;AB221,"Y","")</f>
        <v/>
      </c>
      <c r="AC219" s="935" t="str">
        <f>IF(Y205&gt;AC221,"Y","")</f>
        <v/>
      </c>
      <c r="AE219" s="224">
        <v>13</v>
      </c>
      <c r="AF219" s="420">
        <f t="shared" si="1135"/>
        <v>769.23076923076928</v>
      </c>
      <c r="AG219" s="905" t="str">
        <f t="shared" si="1133"/>
        <v>moderate concentration</v>
      </c>
      <c r="AT219" s="504"/>
      <c r="AU219" s="221" t="s">
        <v>434</v>
      </c>
      <c r="AV219" s="494">
        <f ca="1">AV218/AV217</f>
        <v>0</v>
      </c>
      <c r="AX219" s="640" t="e">
        <f ca="1">AX218/365.25</f>
        <v>#DIV/0!</v>
      </c>
      <c r="AY219" s="591" t="s">
        <v>514</v>
      </c>
      <c r="AZ219" s="176"/>
      <c r="BA219" s="512"/>
      <c r="BB219" s="822"/>
      <c r="BC219" s="822"/>
      <c r="BD219" s="233"/>
      <c r="BE219" s="9"/>
      <c r="BF219" s="9"/>
      <c r="BG219" s="9"/>
    </row>
    <row r="220" spans="1:59" ht="13.5" thickBot="1">
      <c r="A220" s="176"/>
      <c r="B220" s="709" t="s">
        <v>2370</v>
      </c>
      <c r="C220" s="420">
        <f>COUNTIF(AN:AN,"=1")</f>
        <v>4</v>
      </c>
      <c r="D220" s="15">
        <f t="shared" si="1139"/>
        <v>2.7586206896551724E-2</v>
      </c>
      <c r="E220" s="19">
        <f>SUMIF($AN$2:$AN$146,1,$J$2:$J$146)</f>
        <v>1295.9740899999999</v>
      </c>
      <c r="F220" s="19">
        <f>SUMIF($AN$2:$AN$146,1,$S$2:$S$146)</f>
        <v>53.173012</v>
      </c>
      <c r="G220" s="15">
        <f t="shared" si="1140"/>
        <v>4.1029378912968859E-2</v>
      </c>
      <c r="H220" s="591">
        <f>F220/SUMIF($AN$2:$AN$146,1,$K$2:$K$146)</f>
        <v>5.413884906736173E-2</v>
      </c>
      <c r="I220" s="15"/>
      <c r="O220" s="420"/>
      <c r="P220" s="224"/>
      <c r="Q220" s="676">
        <v>1</v>
      </c>
      <c r="R220" s="562" t="s">
        <v>1119</v>
      </c>
      <c r="S220" s="558">
        <f>IF(R206/R185-1&gt;S206/S185-1,(R206/R185-1)/SUM(R206/R185-1,S206/S185-1),1-((S206/S185-1)/SUM(R206/R185-1,S206/S185-1)))</f>
        <v>0.78176436110396985</v>
      </c>
      <c r="T220" s="558">
        <f>1-S220</f>
        <v>0.21823563889603015</v>
      </c>
      <c r="U220" s="19">
        <f t="shared" si="1137"/>
        <v>0.27236904870170642</v>
      </c>
      <c r="V220" s="234">
        <f t="shared" si="1138"/>
        <v>7.6033951298293601E-2</v>
      </c>
      <c r="W220" s="19"/>
      <c r="X220" s="9"/>
      <c r="Y220" s="564">
        <f>B148</f>
        <v>321.01</v>
      </c>
      <c r="Z220" s="159">
        <f t="shared" si="1134"/>
        <v>0.30928798535504382</v>
      </c>
      <c r="AA220" s="20" t="s">
        <v>1785</v>
      </c>
      <c r="AB220" s="185" t="s">
        <v>518</v>
      </c>
      <c r="AC220" s="935" t="s">
        <v>545</v>
      </c>
      <c r="AE220" s="224">
        <v>14</v>
      </c>
      <c r="AF220" s="420">
        <f t="shared" si="1135"/>
        <v>714.28571428571433</v>
      </c>
      <c r="AG220" s="905" t="str">
        <f t="shared" si="1133"/>
        <v>moderate concentration</v>
      </c>
      <c r="AU220" s="225" t="s">
        <v>1282</v>
      </c>
      <c r="AV220" s="186">
        <f ca="1">AV219*365.25</f>
        <v>0</v>
      </c>
      <c r="AX220" s="642" t="e">
        <f ca="1">TODAY()+365.25*AX219</f>
        <v>#DIV/0!</v>
      </c>
      <c r="AY220" s="628"/>
      <c r="AZ220" s="176"/>
      <c r="BA220" s="512"/>
      <c r="BB220" s="822"/>
      <c r="BC220" s="822"/>
      <c r="BD220" s="11"/>
      <c r="BE220" s="9"/>
      <c r="BF220" s="9"/>
      <c r="BG220" s="9"/>
    </row>
    <row r="221" spans="1:59" ht="13.5" thickBot="1">
      <c r="A221" s="176"/>
      <c r="B221" s="709" t="s">
        <v>2372</v>
      </c>
      <c r="C221" s="420">
        <f>COUNTIF(AO:AO,"=1")</f>
        <v>9</v>
      </c>
      <c r="D221" s="15">
        <f t="shared" si="1139"/>
        <v>6.2068965517241378E-2</v>
      </c>
      <c r="E221" s="19">
        <f>SUMIF($AO$2:$AO$146,1,$J$2:$J$146)</f>
        <v>3347.6320209999999</v>
      </c>
      <c r="F221" s="19">
        <f>SUMIF($AO$2:$AO$146,1,$S$2:$S$146)</f>
        <v>81.38631199999999</v>
      </c>
      <c r="G221" s="15">
        <f t="shared" si="1140"/>
        <v>2.4311606380108763E-2</v>
      </c>
      <c r="H221" s="591">
        <f>F221/SUMIF($AO$2:$AO$146,1,$K$2:$K$146)</f>
        <v>3.4502391833343214E-2</v>
      </c>
      <c r="I221" s="15"/>
      <c r="O221" s="420"/>
      <c r="P221" s="224"/>
      <c r="Q221" s="676">
        <v>0</v>
      </c>
      <c r="R221" s="562" t="s">
        <v>1122</v>
      </c>
      <c r="S221" s="558" t="e">
        <f>AF154/SUM(AF153:AF154)</f>
        <v>#REF!</v>
      </c>
      <c r="T221" s="558" t="e">
        <f>1-S221</f>
        <v>#REF!</v>
      </c>
      <c r="U221" s="19" t="e">
        <f t="shared" si="1137"/>
        <v>#REF!</v>
      </c>
      <c r="V221" s="234" t="e">
        <f t="shared" si="1138"/>
        <v>#REF!</v>
      </c>
      <c r="W221" s="19"/>
      <c r="Y221" s="185">
        <f>Z221*Y205</f>
        <v>64.349800000000002</v>
      </c>
      <c r="Z221" s="933">
        <v>6.2E-2</v>
      </c>
      <c r="AA221" s="159" t="s">
        <v>1800</v>
      </c>
      <c r="AB221" s="1066">
        <v>372.37</v>
      </c>
      <c r="AC221" s="947">
        <v>1037.9000000000001</v>
      </c>
      <c r="AD221" s="159"/>
      <c r="AE221" s="224">
        <v>15</v>
      </c>
      <c r="AF221" s="420">
        <f t="shared" si="1135"/>
        <v>666.66666666666663</v>
      </c>
      <c r="AG221" s="905" t="str">
        <f t="shared" si="1133"/>
        <v>moderate concentration</v>
      </c>
      <c r="AU221" s="222" t="s">
        <v>1283</v>
      </c>
      <c r="AV221" s="223">
        <f ca="1">AV220/12</f>
        <v>0</v>
      </c>
      <c r="AZ221" s="176"/>
      <c r="BA221" s="512"/>
      <c r="BB221" s="822"/>
      <c r="BC221" s="822"/>
      <c r="BD221" s="11"/>
      <c r="BE221" s="9"/>
      <c r="BF221" s="9"/>
      <c r="BG221" s="9"/>
    </row>
    <row r="222" spans="1:59">
      <c r="A222" s="176"/>
      <c r="B222" s="709" t="s">
        <v>2373</v>
      </c>
      <c r="C222" s="420">
        <f>COUNTIF(AP:AP,"=1")</f>
        <v>8</v>
      </c>
      <c r="D222" s="15">
        <f t="shared" si="1139"/>
        <v>5.5172413793103448E-2</v>
      </c>
      <c r="E222" s="19">
        <f>SUMIF($AP$2:$AP$146,1,$J$2:$J$146)</f>
        <v>4895.5992379999989</v>
      </c>
      <c r="F222" s="19">
        <f>SUMIF($AP$2:$AP$146,1,$S$2:$S$146)</f>
        <v>218.40625600000001</v>
      </c>
      <c r="G222" s="15">
        <f t="shared" si="1140"/>
        <v>4.4612772692812497E-2</v>
      </c>
      <c r="H222" s="591">
        <f>F222/SUMIF($AP$2:$AP$146,1,$K$2:$K$146)</f>
        <v>5.697782415644452E-2</v>
      </c>
      <c r="I222" s="15"/>
      <c r="P222" s="224"/>
      <c r="Q222" s="676">
        <v>0</v>
      </c>
      <c r="R222" s="562" t="s">
        <v>1121</v>
      </c>
      <c r="S222" s="558" t="e">
        <f>Metals!#REF!/SUM(Metals!#REF!)</f>
        <v>#REF!</v>
      </c>
      <c r="T222" s="558" t="e">
        <f>1-S222</f>
        <v>#REF!</v>
      </c>
      <c r="U222" s="19" t="e">
        <f t="shared" si="1137"/>
        <v>#REF!</v>
      </c>
      <c r="V222" s="234" t="e">
        <f t="shared" si="1138"/>
        <v>#REF!</v>
      </c>
      <c r="W222" s="19"/>
      <c r="X222" s="20" t="s">
        <v>2299</v>
      </c>
      <c r="Y222" s="970" t="s">
        <v>1859</v>
      </c>
      <c r="Z222" s="1016" t="s">
        <v>1902</v>
      </c>
      <c r="AA222" s="1045"/>
      <c r="AB222" s="969"/>
      <c r="AC222" s="1063"/>
      <c r="AE222" s="224">
        <v>16</v>
      </c>
      <c r="AF222" s="420">
        <f t="shared" si="1135"/>
        <v>625</v>
      </c>
      <c r="AG222" s="905" t="str">
        <f t="shared" si="1133"/>
        <v>moderate concentration</v>
      </c>
      <c r="AV222" s="707"/>
      <c r="AY222" s="20"/>
      <c r="AZ222" s="176"/>
      <c r="BA222" s="512"/>
      <c r="BB222" s="822"/>
      <c r="BC222" s="822"/>
      <c r="BD222" s="512"/>
      <c r="BE222" s="9"/>
      <c r="BF222" s="9"/>
      <c r="BG222" s="9"/>
    </row>
    <row r="223" spans="1:59" ht="13.5" thickBot="1">
      <c r="A223" s="176"/>
      <c r="B223" s="709" t="s">
        <v>2378</v>
      </c>
      <c r="C223" s="420">
        <f>COUNTIF(AS:AS,"=1")</f>
        <v>13</v>
      </c>
      <c r="D223" s="15">
        <f t="shared" si="1139"/>
        <v>8.9655172413793102E-2</v>
      </c>
      <c r="E223" s="19">
        <f>SUMIF($AS$2:$AS$146,1,$J$2:$J$146)</f>
        <v>3153.9628290000001</v>
      </c>
      <c r="F223" s="19">
        <f>SUMIF($AS$2:$AS$146,1,$S$2:$S$146)</f>
        <v>33.0341670396</v>
      </c>
      <c r="G223" s="15">
        <f t="shared" ref="G223" si="1141">F223/E223</f>
        <v>1.0473860609851848E-2</v>
      </c>
      <c r="H223" s="591">
        <f>F223/SUMIF($AS$2:$AS$146,1,$K$2:$K$146)</f>
        <v>1.1675614735502752E-2</v>
      </c>
      <c r="I223" s="15"/>
      <c r="P223" s="224"/>
      <c r="Q223" s="676">
        <v>1</v>
      </c>
      <c r="R223" s="562" t="s">
        <v>1123</v>
      </c>
      <c r="S223" s="558" t="e">
        <f>Metals!#REF!/SUM(Metals!#REF!)</f>
        <v>#REF!</v>
      </c>
      <c r="T223" s="558" t="e">
        <f>1-S223</f>
        <v>#REF!</v>
      </c>
      <c r="U223" s="19" t="e">
        <f t="shared" si="1137"/>
        <v>#REF!</v>
      </c>
      <c r="V223" s="234" t="e">
        <f t="shared" si="1138"/>
        <v>#REF!</v>
      </c>
      <c r="W223" s="19"/>
      <c r="X223" s="20">
        <f>AA214+AA248</f>
        <v>1145.1688826439997</v>
      </c>
      <c r="Y223" s="445" t="s">
        <v>1863</v>
      </c>
      <c r="Z223" s="7" t="s">
        <v>1864</v>
      </c>
      <c r="AA223" s="21" t="s">
        <v>1859</v>
      </c>
      <c r="AB223" s="1062" t="s">
        <v>2010</v>
      </c>
      <c r="AC223" s="1064" t="s">
        <v>1941</v>
      </c>
      <c r="AE223" s="224">
        <v>17</v>
      </c>
      <c r="AF223" s="420">
        <f t="shared" si="1135"/>
        <v>588.23529411764707</v>
      </c>
      <c r="AG223" s="905" t="str">
        <f t="shared" si="1133"/>
        <v>diversified</v>
      </c>
      <c r="AT223" s="420" t="s">
        <v>514</v>
      </c>
      <c r="AU223" s="215"/>
      <c r="AV223" s="177"/>
      <c r="AZ223" s="176"/>
      <c r="BA223" s="177"/>
      <c r="BB223" s="512"/>
      <c r="BC223" s="512"/>
      <c r="BD223" s="512"/>
      <c r="BE223" s="512"/>
      <c r="BF223" s="512"/>
      <c r="BG223" s="512"/>
    </row>
    <row r="224" spans="1:59" ht="13.5" thickBot="1">
      <c r="A224" s="176" t="s">
        <v>2377</v>
      </c>
      <c r="B224" s="709" t="s">
        <v>2385</v>
      </c>
      <c r="C224" s="420">
        <f>COUNTIF(AR:AR,"=1")</f>
        <v>7</v>
      </c>
      <c r="D224" s="15">
        <f t="shared" si="1139"/>
        <v>4.8275862068965517E-2</v>
      </c>
      <c r="E224" s="19">
        <f>SUMIF($AR$2:$AR$146,1,$J$2:$J$146)</f>
        <v>844.62873500000001</v>
      </c>
      <c r="F224" s="19">
        <f>SUMIF($AR$2:$AR$146,1,$S$2:$S$146)</f>
        <v>64.864597696000004</v>
      </c>
      <c r="G224" s="15">
        <f t="shared" ref="G224" si="1142">F224/E224</f>
        <v>7.6796579382301028E-2</v>
      </c>
      <c r="H224" s="591">
        <f>F224/SUMIF($AR$2:$AR$146,1,$K$2:$K$146)</f>
        <v>6.6323719525562375E-2</v>
      </c>
      <c r="I224" s="15"/>
      <c r="P224" s="559">
        <f ca="1">DATEDIF("3/29/1979",A4,"Y")</f>
        <v>37</v>
      </c>
      <c r="Q224" s="676">
        <v>1</v>
      </c>
      <c r="R224" s="562" t="s">
        <v>1521</v>
      </c>
      <c r="S224" s="558">
        <f ca="1">1-T224</f>
        <v>0.63</v>
      </c>
      <c r="T224" s="558">
        <f ca="1">P224/100</f>
        <v>0.37</v>
      </c>
      <c r="U224" s="19">
        <f t="shared" ca="1" si="1137"/>
        <v>0.21949389000000002</v>
      </c>
      <c r="V224" s="234">
        <f t="shared" ca="1" si="1138"/>
        <v>0.12890910999999999</v>
      </c>
      <c r="W224" s="19"/>
      <c r="Y224" s="191">
        <v>678.61</v>
      </c>
      <c r="Z224" s="537">
        <v>1768.85</v>
      </c>
      <c r="AA224" s="432">
        <f>Z224-Y224</f>
        <v>1090.2399999999998</v>
      </c>
      <c r="AB224" s="606">
        <f>(Z224/Y224)-1</f>
        <v>1.606578152399758</v>
      </c>
      <c r="AC224" s="971">
        <f>((Z224+AA205)/(Y224+AB205))-1</f>
        <v>1.5946696185016789</v>
      </c>
      <c r="AE224" s="224">
        <v>18</v>
      </c>
      <c r="AF224" s="420">
        <f t="shared" si="1135"/>
        <v>555.55555555555554</v>
      </c>
      <c r="AG224" s="905" t="str">
        <f t="shared" si="1133"/>
        <v>diversified</v>
      </c>
      <c r="AT224" s="16">
        <f ca="1">AV225/365.25</f>
        <v>2.5927446954140998</v>
      </c>
      <c r="AU224" s="471" t="s">
        <v>838</v>
      </c>
      <c r="AV224" s="496" t="s">
        <v>2008</v>
      </c>
      <c r="AW224" s="420"/>
      <c r="AX224" s="638" t="s">
        <v>1278</v>
      </c>
      <c r="AY224" s="639"/>
      <c r="AZ224" s="176"/>
      <c r="BA224" s="11"/>
      <c r="BB224" s="11"/>
      <c r="BC224" s="27"/>
      <c r="BD224" s="11"/>
      <c r="BE224" s="512"/>
      <c r="BF224" s="512"/>
      <c r="BG224" s="512"/>
    </row>
    <row r="225" spans="1:59">
      <c r="B225" s="709"/>
      <c r="D225" s="15"/>
      <c r="E225" s="19"/>
      <c r="F225" s="19"/>
      <c r="G225" s="27"/>
      <c r="H225" s="591"/>
      <c r="P225" s="224"/>
      <c r="Q225" s="676">
        <v>0</v>
      </c>
      <c r="R225" s="562" t="s">
        <v>1120</v>
      </c>
      <c r="S225" s="558">
        <f ca="1">RAND()</f>
        <v>0.71381172580672669</v>
      </c>
      <c r="T225" s="558">
        <f ca="1">1-S225</f>
        <v>0.28618827419327331</v>
      </c>
      <c r="U225" s="19">
        <f t="shared" ca="1" si="1137"/>
        <v>0.24869414670624101</v>
      </c>
      <c r="V225" s="234">
        <f t="shared" ca="1" si="1138"/>
        <v>9.9708853293759003E-2</v>
      </c>
      <c r="W225" s="19"/>
      <c r="Y225" s="915"/>
      <c r="Z225" s="765"/>
      <c r="AA225" s="765"/>
      <c r="AB225" s="765"/>
      <c r="AC225" s="962"/>
      <c r="AE225" s="224">
        <v>19</v>
      </c>
      <c r="AF225" s="420">
        <f t="shared" si="1135"/>
        <v>526.31578947368416</v>
      </c>
      <c r="AG225" s="905" t="str">
        <f t="shared" si="1133"/>
        <v>diversified</v>
      </c>
      <c r="AU225" s="219">
        <v>41825</v>
      </c>
      <c r="AV225" s="220">
        <f ca="1">DATEDIF(AU225,A4,"D")</f>
        <v>947</v>
      </c>
      <c r="AW225" s="420"/>
      <c r="AX225" s="643" t="s">
        <v>143</v>
      </c>
      <c r="AY225" s="493">
        <v>200</v>
      </c>
      <c r="AZ225" s="176"/>
      <c r="BA225" s="11"/>
      <c r="BB225" s="11"/>
      <c r="BC225" s="27"/>
      <c r="BD225" s="11"/>
      <c r="BE225" s="512"/>
      <c r="BF225" s="512"/>
      <c r="BG225" s="512"/>
    </row>
    <row r="226" spans="1:59">
      <c r="B226" s="445" t="s">
        <v>2375</v>
      </c>
      <c r="D226" s="15"/>
      <c r="E226" s="19"/>
      <c r="F226" s="19"/>
      <c r="G226" s="27"/>
      <c r="H226" s="591"/>
      <c r="P226" s="559">
        <v>3</v>
      </c>
      <c r="Q226" s="676">
        <v>0</v>
      </c>
      <c r="R226" s="561" t="s">
        <v>1115</v>
      </c>
      <c r="S226" s="558">
        <f>P226/(P226+1)</f>
        <v>0.75</v>
      </c>
      <c r="T226" s="558">
        <f>1-S226</f>
        <v>0.25</v>
      </c>
      <c r="U226" s="19">
        <f t="shared" si="1137"/>
        <v>0.26130225000000001</v>
      </c>
      <c r="V226" s="234">
        <f t="shared" si="1138"/>
        <v>8.7100750000000005E-2</v>
      </c>
      <c r="W226" s="19"/>
      <c r="Y226" s="225" t="s">
        <v>2018</v>
      </c>
      <c r="Z226" s="19" t="s">
        <v>1710</v>
      </c>
      <c r="AA226" s="9" t="s">
        <v>2019</v>
      </c>
      <c r="AC226" s="236"/>
      <c r="AE226" s="224">
        <v>20</v>
      </c>
      <c r="AF226" s="420">
        <f t="shared" si="1135"/>
        <v>500</v>
      </c>
      <c r="AG226" s="905" t="str">
        <f t="shared" si="1133"/>
        <v>diversified</v>
      </c>
      <c r="AI226" s="11"/>
      <c r="AJ226" s="11"/>
      <c r="AK226" s="11"/>
      <c r="AL226" s="11"/>
      <c r="AM226" s="11"/>
      <c r="AN226" s="11"/>
      <c r="AO226" s="11"/>
      <c r="AP226" s="11"/>
      <c r="AQ226" s="11"/>
      <c r="AR226" s="11"/>
      <c r="AS226" s="11"/>
      <c r="AU226" s="219" t="s">
        <v>456</v>
      </c>
      <c r="AV226" s="493">
        <f>116.74+6.45-2.63</f>
        <v>120.56</v>
      </c>
      <c r="AW226" s="11"/>
      <c r="AX226" s="640">
        <f ca="1">(AY225-AV226)/AV227</f>
        <v>624.00199071001987</v>
      </c>
      <c r="AY226" s="641" t="s">
        <v>845</v>
      </c>
      <c r="AZ226" s="176"/>
      <c r="BA226" s="11"/>
      <c r="BB226" s="512"/>
      <c r="BC226" s="512"/>
      <c r="BD226" s="11"/>
      <c r="BE226" s="1030"/>
      <c r="BF226" s="512"/>
      <c r="BG226" s="512"/>
    </row>
    <row r="227" spans="1:59" ht="13.5" thickBot="1">
      <c r="B227" s="709" t="s">
        <v>1907</v>
      </c>
      <c r="C227" s="420">
        <f>COUNTIF(AQ:AQ,"=mega")</f>
        <v>27</v>
      </c>
      <c r="D227" s="15">
        <f t="shared" ref="D227:D232" si="1143">C227/$C$213</f>
        <v>0.18620689655172415</v>
      </c>
      <c r="E227" s="19">
        <f t="shared" ref="E227:E232" si="1144">SUMIF($AQ$2:$AQ$146,B227,$J$2:$J$146)</f>
        <v>6697.4148769999993</v>
      </c>
      <c r="F227" s="19">
        <f t="shared" ref="F227:F232" si="1145">SUMIF($AQ$2:$AQ$146,B227,$S$2:$S$146)</f>
        <v>197.11567699999998</v>
      </c>
      <c r="G227" s="15">
        <f>F227/E227</f>
        <v>2.9431606167467234E-2</v>
      </c>
      <c r="H227" s="591">
        <f t="shared" ref="H227:H232" ca="1" si="1146">F227/SUMIF($AQ$2:$AQ$146,B227,$K$2:$KK$145)</f>
        <v>3.4856390537357562E-2</v>
      </c>
      <c r="P227" s="564">
        <v>1</v>
      </c>
      <c r="Q227" s="676">
        <v>0</v>
      </c>
      <c r="R227" s="556" t="s">
        <v>1108</v>
      </c>
      <c r="S227" s="558">
        <f>1-P227/P190</f>
        <v>-1.8702393492593345</v>
      </c>
      <c r="T227" s="558">
        <f t="shared" si="1136"/>
        <v>2.8702393492593345</v>
      </c>
      <c r="U227" s="19">
        <f t="shared" si="1137"/>
        <v>-0.65159699999999998</v>
      </c>
      <c r="V227" s="234">
        <f t="shared" si="1138"/>
        <v>1</v>
      </c>
      <c r="W227" s="19"/>
      <c r="Y227" s="1068">
        <v>2</v>
      </c>
      <c r="Z227" s="963">
        <f>Z233/Y227</f>
        <v>5.9999654999999999E-2</v>
      </c>
      <c r="AA227" s="537">
        <f>(Y227-Z205)*Y205</f>
        <v>1967.1211173560002</v>
      </c>
      <c r="AB227" s="1057"/>
      <c r="AC227" s="646"/>
      <c r="AE227" s="224">
        <v>21</v>
      </c>
      <c r="AF227" s="420">
        <f t="shared" si="1135"/>
        <v>476.1904761904762</v>
      </c>
      <c r="AG227" s="905" t="str">
        <f t="shared" si="1133"/>
        <v>diversified</v>
      </c>
      <c r="AI227" s="11"/>
      <c r="AJ227" s="11"/>
      <c r="AK227" s="11"/>
      <c r="AL227" s="11"/>
      <c r="AM227" s="11"/>
      <c r="AN227" s="11"/>
      <c r="AO227" s="11"/>
      <c r="AP227" s="11"/>
      <c r="AQ227" s="11"/>
      <c r="AR227" s="11"/>
      <c r="AS227" s="11"/>
      <c r="AU227" s="221" t="s">
        <v>434</v>
      </c>
      <c r="AV227" s="494">
        <f ca="1">AV226/AV225</f>
        <v>0.12730728616684267</v>
      </c>
      <c r="AW227" s="420"/>
      <c r="AX227" s="640">
        <f ca="1">AX226/365.25</f>
        <v>1.7084243414374261</v>
      </c>
      <c r="AY227" s="591" t="s">
        <v>514</v>
      </c>
      <c r="AZ227" s="176"/>
      <c r="BA227" s="512"/>
      <c r="BB227" s="512"/>
      <c r="BC227" s="512"/>
      <c r="BD227" s="512"/>
      <c r="BE227" s="512"/>
      <c r="BF227" s="512"/>
      <c r="BG227" s="512"/>
    </row>
    <row r="228" spans="1:59" ht="13.5" thickBot="1">
      <c r="B228" s="709" t="s">
        <v>1908</v>
      </c>
      <c r="C228" s="420">
        <f>COUNTIF(AQ:AQ,"=big")</f>
        <v>25</v>
      </c>
      <c r="D228" s="15">
        <f t="shared" si="1143"/>
        <v>0.17241379310344829</v>
      </c>
      <c r="E228" s="19">
        <f t="shared" si="1144"/>
        <v>4613.7270259999996</v>
      </c>
      <c r="F228" s="19">
        <f t="shared" si="1145"/>
        <v>141.36980282760001</v>
      </c>
      <c r="G228" s="15">
        <f t="shared" ref="G228:G231" si="1147">F228/E228</f>
        <v>3.0641128534681546E-2</v>
      </c>
      <c r="H228" s="591">
        <f t="shared" ca="1" si="1146"/>
        <v>3.1532532471081572E-2</v>
      </c>
      <c r="P228" s="567">
        <v>1</v>
      </c>
      <c r="Q228" s="676">
        <v>0</v>
      </c>
      <c r="R228" s="565" t="s">
        <v>1109</v>
      </c>
      <c r="S228" s="558">
        <f>P228*((1/12)*R187)/P190</f>
        <v>4.6737064070439498</v>
      </c>
      <c r="T228" s="558">
        <f t="shared" ref="T228" si="1148">1-S228</f>
        <v>-3.6737064070439498</v>
      </c>
      <c r="U228" s="19">
        <f t="shared" si="1137"/>
        <v>1.6283333333333334</v>
      </c>
      <c r="V228" s="234">
        <f t="shared" si="1138"/>
        <v>-1.2799303333333334</v>
      </c>
      <c r="W228" s="19"/>
      <c r="Y228" s="915"/>
      <c r="Z228" s="765"/>
      <c r="AA228" s="765"/>
      <c r="AB228" s="765"/>
      <c r="AC228" s="235"/>
      <c r="AD228" s="420"/>
      <c r="AE228" s="224">
        <v>22</v>
      </c>
      <c r="AF228" s="420">
        <f t="shared" si="1135"/>
        <v>454.54545454545456</v>
      </c>
      <c r="AG228" s="905" t="str">
        <f t="shared" si="1133"/>
        <v>diversified</v>
      </c>
      <c r="AI228" s="11"/>
      <c r="AJ228" s="11"/>
      <c r="AK228" s="11"/>
      <c r="AL228" s="11"/>
      <c r="AM228" s="11"/>
      <c r="AN228" s="11"/>
      <c r="AO228" s="11"/>
      <c r="AP228" s="11"/>
      <c r="AQ228" s="11"/>
      <c r="AR228" s="11"/>
      <c r="AS228" s="11"/>
      <c r="AU228" s="225" t="s">
        <v>839</v>
      </c>
      <c r="AV228" s="186">
        <f ca="1">AV227*365.25</f>
        <v>46.498986272439282</v>
      </c>
      <c r="AW228" s="420"/>
      <c r="AX228" s="642">
        <f ca="1">TODAY()+365.25*AX227</f>
        <v>43396.001990710021</v>
      </c>
      <c r="AY228" s="628"/>
      <c r="AZ228" s="176"/>
      <c r="BA228" s="512"/>
      <c r="BB228" s="13"/>
      <c r="BC228" s="13"/>
      <c r="BD228" s="512"/>
      <c r="BE228" s="9"/>
      <c r="BF228" s="9"/>
      <c r="BG228" s="9"/>
    </row>
    <row r="229" spans="1:59" ht="13.5" thickBot="1">
      <c r="B229" s="709" t="s">
        <v>1909</v>
      </c>
      <c r="C229" s="420">
        <f>COUNTIF(AQ:AQ,"=mid")</f>
        <v>46</v>
      </c>
      <c r="D229" s="15">
        <f t="shared" si="1143"/>
        <v>0.31724137931034485</v>
      </c>
      <c r="E229" s="19">
        <f t="shared" si="1144"/>
        <v>37642.640977000003</v>
      </c>
      <c r="F229" s="19">
        <f t="shared" si="1145"/>
        <v>1330.9414217176666</v>
      </c>
      <c r="G229" s="15">
        <f t="shared" si="1147"/>
        <v>3.5357280657616022E-2</v>
      </c>
      <c r="H229" s="591">
        <f t="shared" ca="1" si="1146"/>
        <v>5.0845032027578493E-2</v>
      </c>
      <c r="P229" s="575"/>
      <c r="Q229" s="186" t="s">
        <v>1126</v>
      </c>
      <c r="R229" s="565" t="s">
        <v>1124</v>
      </c>
      <c r="S229" s="558" t="e">
        <f>SUMPRODUCT(S214:S228,Q214:Q228)/SUM(Q214:Q228)</f>
        <v>#REF!</v>
      </c>
      <c r="T229" s="558" t="e">
        <f>1-S229</f>
        <v>#REF!</v>
      </c>
      <c r="U229" s="19" t="e">
        <f t="shared" si="1137"/>
        <v>#REF!</v>
      </c>
      <c r="V229" s="234" t="e">
        <f t="shared" si="1138"/>
        <v>#REF!</v>
      </c>
      <c r="W229" s="19"/>
      <c r="Y229" s="868"/>
      <c r="Z229" s="13" t="s">
        <v>2738</v>
      </c>
      <c r="AA229" s="13" t="s">
        <v>8</v>
      </c>
      <c r="AB229" s="13" t="s">
        <v>2757</v>
      </c>
      <c r="AC229" s="934"/>
      <c r="AD229" s="420"/>
      <c r="AE229" s="224">
        <v>23</v>
      </c>
      <c r="AF229" s="420">
        <f t="shared" si="1135"/>
        <v>434.78260869565219</v>
      </c>
      <c r="AG229" s="905" t="str">
        <f t="shared" si="1133"/>
        <v>diversified</v>
      </c>
      <c r="AH229" s="420"/>
      <c r="AI229" s="11"/>
      <c r="AJ229" s="11"/>
      <c r="AK229" s="11"/>
      <c r="AL229" s="11"/>
      <c r="AM229" s="11"/>
      <c r="AN229" s="11"/>
      <c r="AO229" s="11"/>
      <c r="AP229" s="11"/>
      <c r="AQ229" s="11"/>
      <c r="AR229" s="11"/>
      <c r="AS229" s="11"/>
      <c r="AU229" s="222" t="s">
        <v>840</v>
      </c>
      <c r="AV229" s="223">
        <f ca="1">AV228/12</f>
        <v>3.8749155227032737</v>
      </c>
      <c r="AW229" s="420"/>
      <c r="AX229" s="513"/>
      <c r="AY229" s="15"/>
      <c r="AZ229" s="176"/>
      <c r="BA229" s="512"/>
      <c r="BB229" s="13"/>
      <c r="BC229" s="13"/>
      <c r="BD229" s="512"/>
      <c r="BE229" s="9"/>
      <c r="BF229" s="9"/>
      <c r="BG229" s="9"/>
    </row>
    <row r="230" spans="1:59" ht="13.5" thickBot="1">
      <c r="B230" s="709" t="s">
        <v>1910</v>
      </c>
      <c r="C230" s="420">
        <f>COUNTIF(AQ:AQ,"=small")</f>
        <v>30</v>
      </c>
      <c r="D230" s="15">
        <f t="shared" si="1143"/>
        <v>0.20689655172413793</v>
      </c>
      <c r="E230" s="19">
        <f t="shared" si="1144"/>
        <v>14562.684987000004</v>
      </c>
      <c r="F230" s="19">
        <f t="shared" si="1145"/>
        <v>720.18699763480004</v>
      </c>
      <c r="G230" s="15">
        <f t="shared" si="1147"/>
        <v>4.9454272908993457E-2</v>
      </c>
      <c r="H230" s="591">
        <f t="shared" ca="1" si="1146"/>
        <v>5.8747709649155169E-2</v>
      </c>
      <c r="P230" s="237"/>
      <c r="Q230" s="223" t="s">
        <v>1126</v>
      </c>
      <c r="R230" s="563" t="s">
        <v>1130</v>
      </c>
      <c r="S230" s="560" t="e">
        <f>AVERAGE(S214:S228)</f>
        <v>#REF!</v>
      </c>
      <c r="T230" s="560" t="e">
        <f>1-S230</f>
        <v>#REF!</v>
      </c>
      <c r="U230" s="432" t="e">
        <f t="shared" si="1137"/>
        <v>#REF!</v>
      </c>
      <c r="V230" s="232" t="e">
        <f t="shared" si="1138"/>
        <v>#REF!</v>
      </c>
      <c r="W230" s="19"/>
      <c r="Y230" s="868"/>
      <c r="Z230" s="933">
        <v>1.5288950000000001E-2</v>
      </c>
      <c r="AA230" s="20">
        <f>Y205*Z230</f>
        <v>15.868401205000001</v>
      </c>
      <c r="AB230" s="233">
        <f>Z205/Z233</f>
        <v>0.87259135073360006</v>
      </c>
      <c r="AC230" s="934"/>
      <c r="AD230" s="420"/>
      <c r="AE230" s="224">
        <v>24</v>
      </c>
      <c r="AF230" s="420">
        <f t="shared" si="1135"/>
        <v>416.66666666666669</v>
      </c>
      <c r="AG230" s="905" t="str">
        <f t="shared" si="1133"/>
        <v>diversified</v>
      </c>
      <c r="AH230" s="420"/>
      <c r="AI230" s="11"/>
      <c r="AJ230" s="11"/>
      <c r="AK230" s="11"/>
      <c r="AL230" s="11"/>
      <c r="AM230" s="11"/>
      <c r="AN230" s="11"/>
      <c r="AO230" s="11"/>
      <c r="AP230" s="11"/>
      <c r="AQ230" s="11"/>
      <c r="AR230" s="11"/>
      <c r="AS230" s="11"/>
      <c r="AT230" s="420" t="s">
        <v>514</v>
      </c>
      <c r="AU230" s="19"/>
      <c r="AV230" s="20"/>
      <c r="AW230" s="420"/>
      <c r="AX230" s="513"/>
      <c r="AY230" s="15"/>
      <c r="AZ230" s="176"/>
      <c r="BA230" s="512"/>
      <c r="BB230" s="13"/>
      <c r="BC230" s="13"/>
      <c r="BD230" s="512"/>
      <c r="BE230" s="9"/>
      <c r="BF230" s="9"/>
      <c r="BG230" s="9"/>
    </row>
    <row r="231" spans="1:59">
      <c r="B231" s="709" t="s">
        <v>1911</v>
      </c>
      <c r="C231" s="420">
        <f>COUNTIF(AQ:AQ,"=micro")</f>
        <v>14</v>
      </c>
      <c r="D231" s="15">
        <f t="shared" si="1143"/>
        <v>9.6551724137931033E-2</v>
      </c>
      <c r="E231" s="19">
        <f t="shared" si="1144"/>
        <v>2006.5636699999998</v>
      </c>
      <c r="F231" s="19">
        <f t="shared" si="1145"/>
        <v>132.93413065599998</v>
      </c>
      <c r="G231" s="15">
        <f t="shared" si="1147"/>
        <v>6.6249644924549045E-2</v>
      </c>
      <c r="H231" s="591">
        <f t="shared" ca="1" si="1146"/>
        <v>4.8995872229163677E-2</v>
      </c>
      <c r="Q231" s="12"/>
      <c r="R231" s="554"/>
      <c r="U231" s="19"/>
      <c r="V231" s="19"/>
      <c r="W231" s="19"/>
      <c r="Y231" s="868"/>
      <c r="AC231" s="934"/>
      <c r="AD231" s="420"/>
      <c r="AE231" s="224">
        <v>25</v>
      </c>
      <c r="AF231" s="420">
        <f t="shared" si="1135"/>
        <v>400</v>
      </c>
      <c r="AG231" s="905" t="str">
        <f t="shared" si="1133"/>
        <v>diversified</v>
      </c>
      <c r="AH231" s="420"/>
      <c r="AI231" s="11"/>
      <c r="AJ231" s="11"/>
      <c r="AK231" s="11"/>
      <c r="AL231" s="11"/>
      <c r="AM231" s="11"/>
      <c r="AN231" s="11"/>
      <c r="AO231" s="11"/>
      <c r="AP231" s="11"/>
      <c r="AQ231" s="11"/>
      <c r="AR231" s="11"/>
      <c r="AS231" s="11"/>
      <c r="AT231" s="16">
        <f ca="1">AV232/365.25</f>
        <v>1.514031485284052</v>
      </c>
      <c r="AU231" s="471" t="s">
        <v>1632</v>
      </c>
      <c r="AV231" s="496"/>
      <c r="AW231" s="420"/>
      <c r="AX231" s="638" t="s">
        <v>1278</v>
      </c>
      <c r="AY231" s="639"/>
      <c r="AZ231" s="176"/>
      <c r="BA231" s="512"/>
      <c r="BB231" s="13"/>
      <c r="BC231" s="13"/>
      <c r="BD231" s="512"/>
      <c r="BE231" s="9"/>
      <c r="BF231" s="9"/>
      <c r="BG231" s="9"/>
    </row>
    <row r="232" spans="1:59" ht="13.5" thickBot="1">
      <c r="A232" s="19"/>
      <c r="B232" s="710" t="s">
        <v>1912</v>
      </c>
      <c r="C232" s="238">
        <f>COUNTIF(AQ:AQ,"=nano")</f>
        <v>3</v>
      </c>
      <c r="D232" s="408">
        <f t="shared" si="1143"/>
        <v>2.0689655172413793E-2</v>
      </c>
      <c r="E232" s="432">
        <f t="shared" si="1144"/>
        <v>847.58223220000002</v>
      </c>
      <c r="F232" s="432">
        <f t="shared" si="1145"/>
        <v>63.650672</v>
      </c>
      <c r="G232" s="408">
        <f>F232/E232</f>
        <v>7.509675118458671E-2</v>
      </c>
      <c r="H232" s="628">
        <f t="shared" ca="1" si="1146"/>
        <v>5.2843622717951698E-2</v>
      </c>
      <c r="Q232" s="420"/>
      <c r="R232" s="554"/>
      <c r="S232" s="573"/>
      <c r="T232" s="74"/>
      <c r="U232" s="19"/>
      <c r="V232" s="19"/>
      <c r="W232" s="19"/>
      <c r="Y232" s="868"/>
      <c r="Z232" s="13" t="s">
        <v>2739</v>
      </c>
      <c r="AA232" s="13" t="s">
        <v>8</v>
      </c>
      <c r="AB232" s="13" t="s">
        <v>2758</v>
      </c>
      <c r="AC232" s="934"/>
      <c r="AD232" s="420"/>
      <c r="AE232" s="224">
        <v>26</v>
      </c>
      <c r="AF232" s="420">
        <f t="shared" si="1135"/>
        <v>384.61538461538464</v>
      </c>
      <c r="AG232" s="905" t="str">
        <f t="shared" si="1133"/>
        <v>diversified</v>
      </c>
      <c r="AH232" s="420"/>
      <c r="AI232" s="11"/>
      <c r="AJ232" s="11"/>
      <c r="AK232" s="11"/>
      <c r="AL232" s="11"/>
      <c r="AM232" s="11"/>
      <c r="AN232" s="11"/>
      <c r="AO232" s="11"/>
      <c r="AP232" s="11"/>
      <c r="AQ232" s="11"/>
      <c r="AR232" s="11"/>
      <c r="AS232" s="11"/>
      <c r="AU232" s="219">
        <v>42219</v>
      </c>
      <c r="AV232" s="220">
        <f ca="1">DATEDIF(AU232,A4,"D")</f>
        <v>553</v>
      </c>
      <c r="AW232" s="420"/>
      <c r="AX232" s="643" t="s">
        <v>143</v>
      </c>
      <c r="AY232" s="493">
        <v>100</v>
      </c>
      <c r="AZ232" s="176"/>
      <c r="BA232" s="11"/>
      <c r="BB232" s="11"/>
      <c r="BC232" s="27"/>
      <c r="BD232" s="11"/>
      <c r="BE232" s="11"/>
      <c r="BF232" s="11"/>
      <c r="BG232" s="11"/>
    </row>
    <row r="233" spans="1:59">
      <c r="A233" s="19"/>
      <c r="B233" s="176"/>
      <c r="D233" s="15"/>
      <c r="E233" s="19"/>
      <c r="F233" s="19"/>
      <c r="G233" s="15"/>
      <c r="H233" s="15"/>
      <c r="Q233" s="12"/>
      <c r="R233" s="554"/>
      <c r="S233" s="573"/>
      <c r="T233" s="74"/>
      <c r="U233" s="19"/>
      <c r="V233" s="19"/>
      <c r="W233" s="19"/>
      <c r="Y233" s="868"/>
      <c r="Z233" s="159">
        <f>Z205+Z230</f>
        <v>0.11999931</v>
      </c>
      <c r="AA233" s="20">
        <f>Y205*Z233</f>
        <v>124.54728384900001</v>
      </c>
      <c r="AB233" s="233">
        <f>Z230/Z233</f>
        <v>0.12740864926639997</v>
      </c>
      <c r="AC233" s="934"/>
      <c r="AD233" s="420"/>
      <c r="AE233" s="224">
        <v>27</v>
      </c>
      <c r="AF233" s="420">
        <f t="shared" si="1135"/>
        <v>370.37037037037038</v>
      </c>
      <c r="AG233" s="905" t="str">
        <f t="shared" si="1133"/>
        <v>diversified</v>
      </c>
      <c r="AH233" s="420"/>
      <c r="AI233" s="11"/>
      <c r="AJ233" s="11"/>
      <c r="AK233" s="11"/>
      <c r="AL233" s="11"/>
      <c r="AM233" s="11"/>
      <c r="AN233" s="11"/>
      <c r="AO233" s="11"/>
      <c r="AP233" s="11"/>
      <c r="AQ233" s="11"/>
      <c r="AR233" s="11"/>
      <c r="AS233" s="11"/>
      <c r="AU233" s="219" t="s">
        <v>456</v>
      </c>
      <c r="AV233" s="493">
        <v>48.8</v>
      </c>
      <c r="AW233" s="19"/>
      <c r="AX233" s="640">
        <f ca="1">(AY232-AV233)/AV234</f>
        <v>580.19672131147547</v>
      </c>
      <c r="AY233" s="641" t="s">
        <v>845</v>
      </c>
      <c r="AZ233" s="176"/>
      <c r="BA233" s="8"/>
      <c r="BB233" s="11"/>
      <c r="BC233" s="27"/>
      <c r="BD233" s="11"/>
      <c r="BE233" s="512"/>
      <c r="BF233" s="512"/>
      <c r="BG233" s="512"/>
    </row>
    <row r="234" spans="1:59" ht="13.5" thickBot="1">
      <c r="Q234" s="420"/>
      <c r="R234" s="554"/>
      <c r="S234" s="573"/>
      <c r="T234" s="74"/>
      <c r="U234" s="19"/>
      <c r="V234" s="19"/>
      <c r="W234" s="19"/>
      <c r="Y234" s="1391"/>
      <c r="Z234" s="1057"/>
      <c r="AA234" s="1057"/>
      <c r="AB234" s="1057"/>
      <c r="AC234" s="1392"/>
      <c r="AE234" s="441" t="s">
        <v>847</v>
      </c>
      <c r="AF234" s="238"/>
      <c r="AG234" s="901"/>
      <c r="AH234" s="420"/>
      <c r="AI234" s="11"/>
      <c r="AJ234" s="11"/>
      <c r="AK234" s="11"/>
      <c r="AL234" s="11"/>
      <c r="AM234" s="11"/>
      <c r="AN234" s="11"/>
      <c r="AO234" s="11"/>
      <c r="AP234" s="11"/>
      <c r="AQ234" s="11"/>
      <c r="AR234" s="11"/>
      <c r="AS234" s="11"/>
      <c r="AU234" s="221" t="s">
        <v>434</v>
      </c>
      <c r="AV234" s="494">
        <f ca="1">AV233/AV232</f>
        <v>8.8245931283905968E-2</v>
      </c>
      <c r="AW234" s="420"/>
      <c r="AX234" s="640">
        <f ca="1">AX233/365.25</f>
        <v>1.5884920501340876</v>
      </c>
      <c r="AY234" s="591" t="s">
        <v>514</v>
      </c>
      <c r="AZ234" s="176"/>
      <c r="BA234" s="11"/>
      <c r="BB234" s="512"/>
      <c r="BC234" s="11"/>
      <c r="BD234" s="512"/>
      <c r="BE234" s="512"/>
      <c r="BF234" s="512"/>
      <c r="BG234" s="512"/>
    </row>
    <row r="235" spans="1:59" ht="13.5" thickBot="1">
      <c r="B235" s="773" t="s">
        <v>2386</v>
      </c>
      <c r="C235" s="428"/>
      <c r="D235" s="428"/>
      <c r="E235" s="428"/>
      <c r="F235" s="428"/>
      <c r="G235" s="235"/>
      <c r="I235" s="183"/>
      <c r="Q235" s="12"/>
      <c r="R235" s="554"/>
      <c r="S235" s="573"/>
      <c r="T235" s="74"/>
      <c r="U235" s="19"/>
      <c r="V235" s="19"/>
      <c r="W235" s="19"/>
      <c r="AH235" s="420"/>
      <c r="AI235" s="11"/>
      <c r="AJ235" s="11"/>
      <c r="AK235" s="11"/>
      <c r="AL235" s="11"/>
      <c r="AM235" s="11"/>
      <c r="AN235" s="11"/>
      <c r="AO235" s="11"/>
      <c r="AP235" s="11"/>
      <c r="AQ235" s="11"/>
      <c r="AR235" s="11"/>
      <c r="AS235" s="11"/>
      <c r="AU235" s="225" t="s">
        <v>1895</v>
      </c>
      <c r="AV235" s="186">
        <f ca="1">AV234*365.25</f>
        <v>32.231826401446654</v>
      </c>
      <c r="AW235" s="420"/>
      <c r="AX235" s="642">
        <f ca="1">TODAY()+365.25*AX234</f>
        <v>43352.196721311477</v>
      </c>
      <c r="AY235" s="628"/>
      <c r="AZ235" s="176"/>
      <c r="BA235" s="482"/>
      <c r="BB235" s="512"/>
      <c r="BC235" s="822"/>
      <c r="BD235" s="512"/>
      <c r="BE235" s="482"/>
      <c r="BF235" s="822"/>
      <c r="BG235" s="822"/>
    </row>
    <row r="236" spans="1:59" ht="13.5" thickBot="1">
      <c r="B236" s="221">
        <v>40991</v>
      </c>
      <c r="C236" s="420" t="s">
        <v>98</v>
      </c>
      <c r="D236" s="420">
        <v>1</v>
      </c>
      <c r="E236" s="26">
        <f>I11</f>
        <v>23.29</v>
      </c>
      <c r="F236" s="26">
        <f>D236*E236</f>
        <v>23.29</v>
      </c>
      <c r="G236" s="236"/>
      <c r="Q236" s="420"/>
      <c r="S236" s="573"/>
      <c r="T236" s="74"/>
      <c r="U236" s="19"/>
      <c r="V236" s="19"/>
      <c r="W236" s="19"/>
      <c r="AH236" s="420"/>
      <c r="AI236" s="11"/>
      <c r="AJ236" s="11"/>
      <c r="AK236" s="11"/>
      <c r="AL236" s="11"/>
      <c r="AM236" s="11"/>
      <c r="AN236" s="11"/>
      <c r="AO236" s="11"/>
      <c r="AP236" s="11"/>
      <c r="AQ236" s="11"/>
      <c r="AR236" s="11"/>
      <c r="AS236" s="11"/>
      <c r="AU236" s="222" t="s">
        <v>1896</v>
      </c>
      <c r="AV236" s="223">
        <f ca="1">AV235/12</f>
        <v>2.6859855334538878</v>
      </c>
      <c r="AW236" s="420"/>
      <c r="AX236" s="513"/>
      <c r="AY236" s="15"/>
      <c r="AZ236" s="176"/>
      <c r="BA236" s="482"/>
      <c r="BB236" s="512"/>
      <c r="BC236" s="822"/>
      <c r="BD236" s="512"/>
      <c r="BE236" s="482"/>
      <c r="BF236" s="822"/>
      <c r="BG236" s="822"/>
    </row>
    <row r="237" spans="1:59">
      <c r="B237" s="224"/>
      <c r="C237" s="420" t="s">
        <v>97</v>
      </c>
      <c r="D237" s="420">
        <v>12</v>
      </c>
      <c r="E237" s="26">
        <f>I24</f>
        <v>17.87</v>
      </c>
      <c r="F237" s="26">
        <f t="shared" ref="F237:F241" si="1149">D237*E237</f>
        <v>214.44</v>
      </c>
      <c r="G237" s="236"/>
      <c r="Q237" s="420"/>
      <c r="S237" s="573"/>
      <c r="T237" s="74"/>
      <c r="U237" s="19"/>
      <c r="V237" s="19"/>
      <c r="W237" s="19"/>
      <c r="Y237" s="471" t="s">
        <v>2214</v>
      </c>
      <c r="Z237" s="400"/>
      <c r="AA237" s="400"/>
      <c r="AB237" s="400"/>
      <c r="AC237" s="235"/>
      <c r="AH237" s="420"/>
      <c r="AI237" s="11"/>
      <c r="AJ237" s="11"/>
      <c r="AK237" s="11"/>
      <c r="AL237" s="11"/>
      <c r="AM237" s="11"/>
      <c r="AN237" s="11"/>
      <c r="AO237" s="11"/>
      <c r="AP237" s="11"/>
      <c r="AQ237" s="11"/>
      <c r="AR237" s="11"/>
      <c r="AS237" s="11"/>
      <c r="AU237" s="19"/>
      <c r="AV237" s="20"/>
      <c r="AW237" s="420"/>
      <c r="AX237" s="513"/>
      <c r="AY237" s="15"/>
      <c r="AZ237" s="176"/>
      <c r="BA237" s="177"/>
      <c r="BB237" s="512"/>
      <c r="BC237" s="512"/>
      <c r="BD237" s="1033"/>
      <c r="BE237" s="1033"/>
      <c r="BF237" s="1033"/>
      <c r="BG237" s="1033"/>
    </row>
    <row r="238" spans="1:59" ht="13.5" thickBot="1">
      <c r="B238" s="224"/>
      <c r="C238" s="420" t="s">
        <v>1</v>
      </c>
      <c r="D238" s="420">
        <v>1</v>
      </c>
      <c r="E238" s="26">
        <f>I48</f>
        <v>12.56</v>
      </c>
      <c r="F238" s="26">
        <f t="shared" si="1149"/>
        <v>12.56</v>
      </c>
      <c r="G238" s="236"/>
      <c r="Q238" s="420"/>
      <c r="S238" s="573"/>
      <c r="T238" s="74"/>
      <c r="U238" s="19"/>
      <c r="V238" s="19"/>
      <c r="W238" s="19"/>
      <c r="X238" s="20" t="s">
        <v>2310</v>
      </c>
      <c r="Y238" s="185" t="s">
        <v>2215</v>
      </c>
      <c r="Z238" s="20" t="s">
        <v>2737</v>
      </c>
      <c r="AA238" s="20" t="s">
        <v>8</v>
      </c>
      <c r="AB238" s="159" t="s">
        <v>1798</v>
      </c>
      <c r="AC238" s="186" t="s">
        <v>1266</v>
      </c>
      <c r="AH238" s="420"/>
      <c r="AI238" s="11"/>
      <c r="AJ238" s="11"/>
      <c r="AK238" s="11"/>
      <c r="AL238" s="11"/>
      <c r="AM238" s="11"/>
      <c r="AN238" s="11"/>
      <c r="AO238" s="11"/>
      <c r="AP238" s="11"/>
      <c r="AQ238" s="11"/>
      <c r="AR238" s="11"/>
      <c r="AS238" s="11"/>
      <c r="AT238" s="420" t="s">
        <v>514</v>
      </c>
      <c r="AU238" s="56"/>
      <c r="AV238" s="11"/>
      <c r="AW238" s="420"/>
      <c r="AX238" s="513"/>
      <c r="AY238" s="15"/>
      <c r="AZ238" s="176"/>
      <c r="BA238" s="177"/>
      <c r="BB238" s="512"/>
      <c r="BC238" s="512"/>
      <c r="BD238" s="1033"/>
      <c r="BE238" s="1033"/>
      <c r="BF238" s="1033"/>
      <c r="BG238" s="1033"/>
    </row>
    <row r="239" spans="1:59" ht="13.5" thickBot="1">
      <c r="B239" s="224"/>
      <c r="C239" s="420" t="s">
        <v>100</v>
      </c>
      <c r="D239" s="420">
        <v>9</v>
      </c>
      <c r="E239" s="26">
        <f>I94</f>
        <v>1.1499999999999999</v>
      </c>
      <c r="F239" s="26">
        <f t="shared" si="1149"/>
        <v>10.35</v>
      </c>
      <c r="G239" s="236"/>
      <c r="Q239" s="420"/>
      <c r="S239" s="573"/>
      <c r="T239" s="74"/>
      <c r="U239" s="19"/>
      <c r="V239" s="19"/>
      <c r="W239" s="19"/>
      <c r="X239" s="715">
        <v>88620557</v>
      </c>
      <c r="Y239" s="564">
        <v>11.45</v>
      </c>
      <c r="Z239" s="933">
        <v>5</v>
      </c>
      <c r="AA239" s="20">
        <f>Y239*Z239</f>
        <v>57.25</v>
      </c>
      <c r="AB239" s="30">
        <v>66</v>
      </c>
      <c r="AC239" s="847">
        <f>AA239/AB239-1</f>
        <v>-0.13257575757575757</v>
      </c>
      <c r="AH239" s="420"/>
      <c r="AT239" s="16">
        <f ca="1">AV240/365.25</f>
        <v>2.5817932922655715</v>
      </c>
      <c r="AU239" s="471" t="s">
        <v>834</v>
      </c>
      <c r="AV239" s="496"/>
      <c r="AX239" s="513"/>
      <c r="AY239" s="15"/>
      <c r="AZ239" s="176"/>
      <c r="BA239" s="176"/>
      <c r="BB239" s="26"/>
      <c r="BC239" s="26"/>
      <c r="BD239" s="26"/>
      <c r="BE239" s="26"/>
      <c r="BF239" s="26"/>
      <c r="BG239" s="26"/>
    </row>
    <row r="240" spans="1:59">
      <c r="B240" s="224"/>
      <c r="C240" s="420" t="s">
        <v>87</v>
      </c>
      <c r="D240" s="420">
        <v>8</v>
      </c>
      <c r="E240" s="26">
        <f>I123</f>
        <v>1.82</v>
      </c>
      <c r="F240" s="26">
        <f t="shared" si="1149"/>
        <v>14.56</v>
      </c>
      <c r="G240" s="236"/>
      <c r="O240" s="8"/>
      <c r="P240" s="8"/>
      <c r="Q240" s="7"/>
      <c r="S240" s="573"/>
      <c r="T240" s="74"/>
      <c r="U240" s="19"/>
      <c r="V240" s="19"/>
      <c r="W240" s="19"/>
      <c r="Y240" s="574"/>
      <c r="AB240" s="159"/>
      <c r="AC240" s="186"/>
      <c r="AE240" s="420" t="s">
        <v>2640</v>
      </c>
      <c r="AH240" s="420"/>
      <c r="AU240" s="219">
        <v>41829</v>
      </c>
      <c r="AV240" s="220">
        <f ca="1">DATEDIF(AU240,A4,"D")</f>
        <v>943</v>
      </c>
      <c r="AX240" s="376" t="s">
        <v>1260</v>
      </c>
      <c r="AY240" s="428"/>
      <c r="AZ240" s="429"/>
      <c r="BA240" s="428"/>
      <c r="BB240" s="621"/>
      <c r="BC240" s="621"/>
      <c r="BD240" s="622"/>
      <c r="BE240" s="26"/>
      <c r="BF240" s="638" t="s">
        <v>1278</v>
      </c>
      <c r="BG240" s="639"/>
    </row>
    <row r="241" spans="1:60">
      <c r="B241" s="224"/>
      <c r="C241" s="420" t="s">
        <v>253</v>
      </c>
      <c r="D241" s="420">
        <v>1</v>
      </c>
      <c r="E241" s="26">
        <f>I138</f>
        <v>7.15</v>
      </c>
      <c r="F241" s="26">
        <f t="shared" si="1149"/>
        <v>7.15</v>
      </c>
      <c r="G241" s="236"/>
      <c r="O241" s="65"/>
      <c r="P241" s="65"/>
      <c r="S241" s="573"/>
      <c r="T241" s="74"/>
      <c r="U241" s="19"/>
      <c r="V241" s="19"/>
      <c r="W241" s="19"/>
      <c r="X241" s="9" t="s">
        <v>2311</v>
      </c>
      <c r="Y241" s="953" t="s">
        <v>1783</v>
      </c>
      <c r="Z241" s="25" t="s">
        <v>2214</v>
      </c>
      <c r="AA241" s="159" t="s">
        <v>2216</v>
      </c>
      <c r="AB241" s="13" t="s">
        <v>1859</v>
      </c>
      <c r="AC241" s="186" t="s">
        <v>1861</v>
      </c>
      <c r="AH241" s="420"/>
      <c r="AU241" s="219" t="s">
        <v>456</v>
      </c>
      <c r="AV241" s="493">
        <f>8.85+3.6+5.1+5.1+0.9</f>
        <v>23.549999999999997</v>
      </c>
      <c r="AW241" s="491"/>
      <c r="AX241" s="629">
        <v>0.3</v>
      </c>
      <c r="BB241" s="26"/>
      <c r="BC241" s="26"/>
      <c r="BD241" s="623"/>
      <c r="BE241" s="26"/>
      <c r="BF241" s="643" t="s">
        <v>143</v>
      </c>
      <c r="BG241" s="493">
        <v>100</v>
      </c>
    </row>
    <row r="242" spans="1:60">
      <c r="B242" s="224"/>
      <c r="F242" s="21">
        <f>SUM(F236:F241)</f>
        <v>282.34999999999997</v>
      </c>
      <c r="G242" s="591" t="e">
        <f>F242/F246</f>
        <v>#REF!</v>
      </c>
      <c r="O242" s="65"/>
      <c r="P242" s="65"/>
      <c r="S242" s="573"/>
      <c r="T242" s="74"/>
      <c r="U242" s="19"/>
      <c r="V242" s="19"/>
      <c r="W242" s="19"/>
      <c r="X242" s="994">
        <f>Z239/X239</f>
        <v>5.6420317917884444E-8</v>
      </c>
      <c r="Y242" s="185">
        <v>0.01</v>
      </c>
      <c r="Z242" s="159">
        <f t="shared" ref="Z242:Z254" si="1150">Y242/$Y$239</f>
        <v>8.7336244541484718E-4</v>
      </c>
      <c r="AA242" s="20">
        <f>IF(AC239&lt;0,Y239*(1+(1/(1-ABS(AC239)))-1),"na")</f>
        <v>13.2</v>
      </c>
      <c r="AB242" s="20">
        <f>AA258</f>
        <v>0</v>
      </c>
      <c r="AC242" s="186">
        <f>AA239-AB239</f>
        <v>-8.75</v>
      </c>
      <c r="AI242" s="11"/>
      <c r="AJ242" s="11"/>
      <c r="AK242" s="11"/>
      <c r="AL242" s="11"/>
      <c r="AM242" s="11"/>
      <c r="AN242" s="11"/>
      <c r="AO242" s="11"/>
      <c r="AP242" s="11"/>
      <c r="AQ242" s="11"/>
      <c r="AR242" s="11"/>
      <c r="AS242" s="11"/>
      <c r="AU242" s="221" t="s">
        <v>434</v>
      </c>
      <c r="AV242" s="494">
        <f ca="1">AV241/AV240</f>
        <v>2.4973488865323433E-2</v>
      </c>
      <c r="AX242" s="224"/>
      <c r="AY242" s="420" t="s">
        <v>1258</v>
      </c>
      <c r="AZ242" s="420" t="s">
        <v>1259</v>
      </c>
      <c r="BA242" s="420" t="s">
        <v>1261</v>
      </c>
      <c r="BB242" s="26" t="s">
        <v>1262</v>
      </c>
      <c r="BC242" s="26" t="s">
        <v>1263</v>
      </c>
      <c r="BD242" s="623" t="s">
        <v>1264</v>
      </c>
      <c r="BE242" s="26"/>
      <c r="BF242" s="640">
        <f ca="1">(BG241-AV241)/AV242</f>
        <v>3061.2462845010618</v>
      </c>
      <c r="BG242" s="641" t="s">
        <v>845</v>
      </c>
    </row>
    <row r="243" spans="1:60">
      <c r="B243" s="224"/>
      <c r="F243" s="26"/>
      <c r="G243" s="591"/>
      <c r="O243" s="65"/>
      <c r="P243" s="65"/>
      <c r="S243" s="573"/>
      <c r="T243" s="74"/>
      <c r="U243" s="19"/>
      <c r="V243" s="19"/>
      <c r="W243" s="19"/>
      <c r="X243" s="9"/>
      <c r="Y243" s="185">
        <v>0.05</v>
      </c>
      <c r="Z243" s="159">
        <f t="shared" si="1150"/>
        <v>4.3668122270742364E-3</v>
      </c>
      <c r="AA243" s="825"/>
      <c r="AB243" s="958"/>
      <c r="AC243" s="934"/>
      <c r="AI243" s="11"/>
      <c r="AJ243" s="11"/>
      <c r="AK243" s="11"/>
      <c r="AL243" s="11"/>
      <c r="AM243" s="11"/>
      <c r="AN243" s="11"/>
      <c r="AO243" s="11"/>
      <c r="AP243" s="11"/>
      <c r="AQ243" s="11"/>
      <c r="AR243" s="11"/>
      <c r="AS243" s="11"/>
      <c r="AU243" s="225" t="s">
        <v>835</v>
      </c>
      <c r="AV243" s="186">
        <f ca="1">AV242*365.25</f>
        <v>9.1215668080593844</v>
      </c>
      <c r="AW243" s="210" t="s">
        <v>1910</v>
      </c>
      <c r="AX243" s="224" t="s">
        <v>1426</v>
      </c>
      <c r="AY243" s="420">
        <v>7</v>
      </c>
      <c r="AZ243" s="980" t="e">
        <f>AY243*Metals!#REF!</f>
        <v>#REF!</v>
      </c>
      <c r="BA243" s="980" t="e">
        <f>AZ243/14.5833333</f>
        <v>#REF!</v>
      </c>
      <c r="BB243" s="619" t="e">
        <f>BA243*AX241</f>
        <v>#REF!</v>
      </c>
      <c r="BC243" s="620" t="e">
        <f>1/BB243</f>
        <v>#REF!</v>
      </c>
      <c r="BD243" s="982">
        <f>1/AX241</f>
        <v>3.3333333333333335</v>
      </c>
      <c r="BE243" s="734"/>
      <c r="BF243" s="640">
        <f ca="1">BF242/365.25</f>
        <v>8.381235549626453</v>
      </c>
      <c r="BG243" s="591" t="s">
        <v>514</v>
      </c>
    </row>
    <row r="244" spans="1:60" ht="13.5" thickBot="1">
      <c r="B244" s="221">
        <v>42118</v>
      </c>
      <c r="C244" s="420" t="s">
        <v>2387</v>
      </c>
      <c r="F244" s="21" t="e">
        <f>#REF!</f>
        <v>#REF!</v>
      </c>
      <c r="G244" s="591" t="e">
        <f>F244/F246</f>
        <v>#REF!</v>
      </c>
      <c r="H244" s="894"/>
      <c r="J244" s="421"/>
      <c r="K244" s="20"/>
      <c r="O244" s="65"/>
      <c r="P244" s="65"/>
      <c r="S244" s="573"/>
      <c r="T244" s="74"/>
      <c r="U244" s="19"/>
      <c r="V244" s="19"/>
      <c r="W244" s="19"/>
      <c r="X244" s="20" t="s">
        <v>2411</v>
      </c>
      <c r="Y244" s="185">
        <v>0.1</v>
      </c>
      <c r="Z244" s="159">
        <f t="shared" si="1150"/>
        <v>8.7336244541484729E-3</v>
      </c>
      <c r="AA244" s="13" t="s">
        <v>1890</v>
      </c>
      <c r="AC244" s="934"/>
      <c r="AI244" s="11"/>
      <c r="AJ244" s="11"/>
      <c r="AK244" s="11"/>
      <c r="AL244" s="11"/>
      <c r="AM244" s="11"/>
      <c r="AN244" s="11"/>
      <c r="AO244" s="11"/>
      <c r="AP244" s="11"/>
      <c r="AQ244" s="11"/>
      <c r="AR244" s="11"/>
      <c r="AS244" s="11"/>
      <c r="AU244" s="225" t="s">
        <v>836</v>
      </c>
      <c r="AV244" s="186">
        <f ca="1">AV243/12</f>
        <v>0.76013056733828199</v>
      </c>
      <c r="AW244" s="210" t="s">
        <v>1962</v>
      </c>
      <c r="AX244" s="224" t="s">
        <v>1256</v>
      </c>
      <c r="AY244" s="420">
        <v>13.1</v>
      </c>
      <c r="AZ244" s="980" t="e">
        <f>AY244*Metals!#REF!</f>
        <v>#REF!</v>
      </c>
      <c r="BA244" s="980" t="e">
        <f>AZ244/14.5833333</f>
        <v>#REF!</v>
      </c>
      <c r="BB244" s="619" t="e">
        <f>BA244*AX241</f>
        <v>#REF!</v>
      </c>
      <c r="BC244" s="620" t="e">
        <f>1/BB244</f>
        <v>#REF!</v>
      </c>
      <c r="BD244" s="236"/>
      <c r="BF244" s="642">
        <f ca="1">TODAY()+365.25*BF243</f>
        <v>45833.24628450106</v>
      </c>
      <c r="BG244" s="628"/>
    </row>
    <row r="245" spans="1:60">
      <c r="B245" s="224"/>
      <c r="F245" s="21"/>
      <c r="G245" s="236"/>
      <c r="H245" s="894"/>
      <c r="J245" s="421"/>
      <c r="K245" s="20"/>
      <c r="O245" s="65"/>
      <c r="P245" s="65"/>
      <c r="S245" s="573"/>
      <c r="T245" s="74"/>
      <c r="U245" s="19"/>
      <c r="V245" s="19"/>
      <c r="W245" s="19"/>
      <c r="X245" s="159">
        <f>X239/Metals!B9</f>
        <v>1.2022867589200922E-2</v>
      </c>
      <c r="Y245" s="185">
        <v>0.25</v>
      </c>
      <c r="Z245" s="159">
        <f t="shared" si="1150"/>
        <v>2.1834061135371181E-2</v>
      </c>
      <c r="AA245" s="20">
        <f>AA242-Y239</f>
        <v>1.75</v>
      </c>
      <c r="AB245" s="952" t="s">
        <v>2212</v>
      </c>
      <c r="AC245" s="1232" t="s">
        <v>664</v>
      </c>
      <c r="AD245" s="20"/>
      <c r="AH245" s="420"/>
      <c r="AI245" s="11"/>
      <c r="AJ245" s="11"/>
      <c r="AK245" s="11"/>
      <c r="AL245" s="11"/>
      <c r="AM245" s="11"/>
      <c r="AN245" s="11"/>
      <c r="AO245" s="11"/>
      <c r="AP245" s="11"/>
      <c r="AQ245" s="11"/>
      <c r="AR245" s="11"/>
      <c r="AS245" s="11"/>
      <c r="AU245" s="224" t="s">
        <v>837</v>
      </c>
      <c r="AV245" s="234">
        <v>23.34</v>
      </c>
      <c r="AW245" s="210" t="s">
        <v>1963</v>
      </c>
      <c r="AX245" s="224" t="s">
        <v>1257</v>
      </c>
      <c r="AY245" s="420">
        <v>15</v>
      </c>
      <c r="AZ245" s="980" t="e">
        <f>AY245*Metals!#REF!</f>
        <v>#REF!</v>
      </c>
      <c r="BA245" s="980" t="e">
        <f>AZ245/14.5833333</f>
        <v>#REF!</v>
      </c>
      <c r="BB245" s="619" t="e">
        <f>BA245*AX241</f>
        <v>#REF!</v>
      </c>
      <c r="BC245" s="620" t="e">
        <f>1/BB245</f>
        <v>#REF!</v>
      </c>
      <c r="BD245" s="625"/>
      <c r="BE245" s="734"/>
      <c r="BF245" s="734"/>
      <c r="BG245" s="26"/>
      <c r="BH245" s="512"/>
    </row>
    <row r="246" spans="1:60" ht="13.5" thickBot="1">
      <c r="B246" s="441"/>
      <c r="C246" s="238"/>
      <c r="D246" s="238"/>
      <c r="E246" s="238"/>
      <c r="F246" s="1244" t="e">
        <f>SUM(F242:F244)</f>
        <v>#REF!</v>
      </c>
      <c r="G246" s="646"/>
      <c r="H246" s="894"/>
      <c r="J246" s="421"/>
      <c r="K246" s="20"/>
      <c r="O246" s="65"/>
      <c r="P246" s="65"/>
      <c r="S246" s="573"/>
      <c r="T246" s="74"/>
      <c r="U246" s="19"/>
      <c r="V246" s="19"/>
      <c r="W246" s="19"/>
      <c r="Y246" s="185">
        <v>0.5</v>
      </c>
      <c r="Z246" s="159">
        <f t="shared" si="1150"/>
        <v>4.3668122270742363E-2</v>
      </c>
      <c r="AA246" s="20"/>
      <c r="AB246" s="574"/>
      <c r="AC246" s="1012"/>
      <c r="AD246" s="20"/>
      <c r="AE246" s="19"/>
      <c r="AF246" s="15"/>
      <c r="AH246" s="420"/>
      <c r="AI246" s="11"/>
      <c r="AJ246" s="11"/>
      <c r="AK246" s="11"/>
      <c r="AL246" s="11"/>
      <c r="AM246" s="11"/>
      <c r="AN246" s="11"/>
      <c r="AO246" s="11"/>
      <c r="AP246" s="11"/>
      <c r="AQ246" s="11"/>
      <c r="AR246" s="11"/>
      <c r="AS246" s="11"/>
      <c r="AU246" s="441" t="s">
        <v>2436</v>
      </c>
      <c r="AV246" s="628">
        <f>AV241/AV245</f>
        <v>1.0089974293059125</v>
      </c>
      <c r="AW246" s="1049" t="s">
        <v>1964</v>
      </c>
      <c r="AX246" s="441" t="s">
        <v>1427</v>
      </c>
      <c r="AY246" s="238">
        <v>25</v>
      </c>
      <c r="AZ246" s="981" t="e">
        <f>AY246*Metals!#REF!</f>
        <v>#REF!</v>
      </c>
      <c r="BA246" s="981" t="e">
        <f>AZ246/14.5833333</f>
        <v>#REF!</v>
      </c>
      <c r="BB246" s="624" t="e">
        <f>BA246*AX241</f>
        <v>#REF!</v>
      </c>
      <c r="BC246" s="626" t="e">
        <f>1/BB246</f>
        <v>#REF!</v>
      </c>
      <c r="BD246" s="627"/>
      <c r="BE246" s="734"/>
      <c r="BF246" s="734"/>
      <c r="BG246" s="26"/>
      <c r="BH246" s="512"/>
    </row>
    <row r="247" spans="1:60" ht="13.5" thickBot="1">
      <c r="B247" s="805"/>
      <c r="C247" s="805"/>
      <c r="D247" s="176"/>
      <c r="E247" s="805"/>
      <c r="H247" s="894"/>
      <c r="J247" s="421"/>
      <c r="K247" s="20"/>
      <c r="S247" s="573"/>
      <c r="T247" s="74"/>
      <c r="U247" s="19"/>
      <c r="V247" s="19"/>
      <c r="W247" s="19"/>
      <c r="X247" s="20" t="s">
        <v>2412</v>
      </c>
      <c r="Y247" s="936">
        <v>1</v>
      </c>
      <c r="Z247" s="159">
        <f t="shared" si="1150"/>
        <v>8.7336244541484725E-2</v>
      </c>
      <c r="AA247" s="159" t="s">
        <v>1862</v>
      </c>
      <c r="AB247" s="956" t="s">
        <v>1831</v>
      </c>
      <c r="AC247" s="957" t="s">
        <v>1830</v>
      </c>
      <c r="AD247" s="20"/>
      <c r="AE247" s="19"/>
      <c r="AF247" s="15"/>
      <c r="AH247" s="420"/>
      <c r="AI247" s="11"/>
      <c r="AJ247" s="11"/>
      <c r="AK247" s="11"/>
      <c r="AL247" s="11"/>
      <c r="AM247" s="11"/>
      <c r="AN247" s="11"/>
      <c r="AO247" s="11"/>
      <c r="AP247" s="11"/>
      <c r="AQ247" s="11"/>
      <c r="AR247" s="11"/>
      <c r="AS247" s="11"/>
      <c r="AU247" s="10"/>
      <c r="AV247" s="19"/>
      <c r="BC247" s="420"/>
      <c r="BD247" s="26"/>
      <c r="BE247" s="26"/>
      <c r="BF247" s="26"/>
      <c r="BG247" s="26"/>
      <c r="BH247" s="512"/>
    </row>
    <row r="248" spans="1:60" ht="13.5" thickBot="1">
      <c r="B248" s="805"/>
      <c r="C248" s="805"/>
      <c r="D248" s="176"/>
      <c r="E248" s="805"/>
      <c r="F248" s="805"/>
      <c r="G248" s="805"/>
      <c r="H248" s="26"/>
      <c r="S248" s="573"/>
      <c r="T248" s="74"/>
      <c r="U248" s="19"/>
      <c r="V248" s="19"/>
      <c r="W248" s="19"/>
      <c r="X248" s="9">
        <f>Z239/X245</f>
        <v>415.87416337272629</v>
      </c>
      <c r="Y248" s="936">
        <v>2</v>
      </c>
      <c r="Z248" s="159">
        <f t="shared" si="1150"/>
        <v>0.17467248908296945</v>
      </c>
      <c r="AA248" s="20">
        <f>AB242+AC242</f>
        <v>-8.75</v>
      </c>
      <c r="AB248" s="955">
        <f>Y239/AB255-1</f>
        <v>0.59916201117318413</v>
      </c>
      <c r="AC248" s="847">
        <f>AC255/Y239-1</f>
        <v>0.23056768558951979</v>
      </c>
      <c r="AD248" s="20"/>
      <c r="AE248" s="19"/>
      <c r="AF248" s="15"/>
      <c r="AH248" s="420"/>
      <c r="AI248" s="11"/>
      <c r="AJ248" s="11"/>
      <c r="AK248" s="11"/>
      <c r="AL248" s="11"/>
      <c r="AM248" s="11"/>
      <c r="AN248" s="11"/>
      <c r="AO248" s="11"/>
      <c r="AP248" s="11"/>
      <c r="AQ248" s="11"/>
      <c r="AR248" s="11"/>
      <c r="AS248" s="11"/>
      <c r="AT248" s="420" t="s">
        <v>514</v>
      </c>
      <c r="AZ248" s="376" t="s">
        <v>1515</v>
      </c>
      <c r="BA248" s="428"/>
      <c r="BB248" s="428"/>
      <c r="BC248" s="429"/>
      <c r="BD248" s="428"/>
      <c r="BE248" s="621"/>
      <c r="BF248" s="621"/>
      <c r="BG248" s="622"/>
      <c r="BH248" s="9"/>
    </row>
    <row r="249" spans="1:60">
      <c r="B249" s="805"/>
      <c r="C249" s="805"/>
      <c r="D249" s="176"/>
      <c r="E249" s="805"/>
      <c r="F249" s="805"/>
      <c r="G249" s="805"/>
      <c r="H249" s="26"/>
      <c r="S249" s="573"/>
      <c r="T249" s="74"/>
      <c r="U249" s="19"/>
      <c r="V249" s="19"/>
      <c r="W249" s="19"/>
      <c r="Y249" s="936">
        <v>5</v>
      </c>
      <c r="Z249" s="159">
        <f t="shared" si="1150"/>
        <v>0.4366812227074236</v>
      </c>
      <c r="AA249" s="20"/>
      <c r="AB249" s="574"/>
      <c r="AC249" s="934"/>
      <c r="AD249" s="20"/>
      <c r="AE249" s="19"/>
      <c r="AF249" s="15"/>
      <c r="AH249" s="420"/>
      <c r="AI249" s="11"/>
      <c r="AJ249" s="11"/>
      <c r="AK249" s="11"/>
      <c r="AL249" s="11"/>
      <c r="AM249" s="11"/>
      <c r="AN249" s="11"/>
      <c r="AO249" s="11"/>
      <c r="AP249" s="11"/>
      <c r="AQ249" s="11"/>
      <c r="AR249" s="11"/>
      <c r="AS249" s="11"/>
      <c r="AT249" s="16">
        <f ca="1">AV250/365.25</f>
        <v>1.7905544147843941</v>
      </c>
      <c r="AU249" s="630" t="s">
        <v>1281</v>
      </c>
      <c r="AV249" s="631"/>
      <c r="AX249" s="638" t="s">
        <v>1278</v>
      </c>
      <c r="AY249" s="983"/>
      <c r="AZ249" s="224" t="s">
        <v>10</v>
      </c>
      <c r="BA249" s="420" t="s">
        <v>1520</v>
      </c>
      <c r="BB249" s="420" t="s">
        <v>538</v>
      </c>
      <c r="BC249" s="420" t="s">
        <v>8</v>
      </c>
      <c r="BD249" s="420" t="s">
        <v>1265</v>
      </c>
      <c r="BE249" s="74" t="s">
        <v>1968</v>
      </c>
      <c r="BF249" s="74" t="s">
        <v>1969</v>
      </c>
      <c r="BG249" s="623" t="s">
        <v>1972</v>
      </c>
      <c r="BH249" s="9"/>
    </row>
    <row r="250" spans="1:60">
      <c r="B250" s="805"/>
      <c r="C250" s="805"/>
      <c r="D250" s="176"/>
      <c r="E250" s="805"/>
      <c r="F250" s="805"/>
      <c r="G250" s="805"/>
      <c r="J250" s="420"/>
      <c r="K250" s="420"/>
      <c r="L250" s="420"/>
      <c r="M250" s="420"/>
      <c r="S250" s="573"/>
      <c r="T250" s="74"/>
      <c r="U250" s="19"/>
      <c r="V250" s="19"/>
      <c r="W250" s="19"/>
      <c r="Y250" s="936">
        <v>10</v>
      </c>
      <c r="Z250" s="159">
        <f t="shared" si="1150"/>
        <v>0.8733624454148472</v>
      </c>
      <c r="AA250" s="20"/>
      <c r="AB250" s="574" t="str">
        <f>IF(AND(AC248&gt;0,AB248&gt;0),"Between",IF(AC248=0,"At high","At low"))</f>
        <v>Between</v>
      </c>
      <c r="AC250" s="1065" t="s">
        <v>2011</v>
      </c>
      <c r="AD250" s="20"/>
      <c r="AE250" s="19"/>
      <c r="AF250" s="15"/>
      <c r="AH250" s="420"/>
      <c r="AI250" s="11"/>
      <c r="AJ250" s="11"/>
      <c r="AK250" s="11"/>
      <c r="AL250" s="11"/>
      <c r="AM250" s="11"/>
      <c r="AN250" s="11"/>
      <c r="AO250" s="11"/>
      <c r="AP250" s="11"/>
      <c r="AQ250" s="11"/>
      <c r="AR250" s="11"/>
      <c r="AS250" s="11"/>
      <c r="AU250" s="219">
        <v>42118</v>
      </c>
      <c r="AV250" s="220">
        <f ca="1">DATEDIF(AU250,A4,"D")</f>
        <v>654</v>
      </c>
      <c r="AW250" s="491" t="s">
        <v>2406</v>
      </c>
      <c r="AX250" s="643" t="s">
        <v>143</v>
      </c>
      <c r="AY250" s="30">
        <v>200</v>
      </c>
      <c r="AZ250" s="221">
        <v>42088</v>
      </c>
      <c r="BA250" s="45">
        <v>0.49</v>
      </c>
      <c r="BB250" s="420">
        <v>18</v>
      </c>
      <c r="BC250" s="19">
        <f>BA250*BB250</f>
        <v>8.82</v>
      </c>
      <c r="BD250" s="19">
        <v>8.85</v>
      </c>
      <c r="BE250" s="1050">
        <f>BD250-BC250</f>
        <v>2.9999999999999361E-2</v>
      </c>
      <c r="BF250" s="45">
        <f>1769*0.000453592</f>
        <v>0.80240424799999999</v>
      </c>
      <c r="BG250" s="730">
        <f t="shared" ref="BG250:BG251" si="1151">BA250/BF250</f>
        <v>0.61066476308086548</v>
      </c>
      <c r="BH250" s="9"/>
    </row>
    <row r="251" spans="1:60">
      <c r="B251" s="805"/>
      <c r="C251" s="805"/>
      <c r="D251" s="176"/>
      <c r="E251" s="805"/>
      <c r="F251" s="805"/>
      <c r="G251" s="805"/>
      <c r="J251" s="420"/>
      <c r="K251" s="420"/>
      <c r="L251" s="420"/>
      <c r="M251" s="420"/>
      <c r="S251" s="573"/>
      <c r="T251" s="74"/>
      <c r="U251" s="19"/>
      <c r="V251" s="19"/>
      <c r="W251" s="19"/>
      <c r="X251" s="159"/>
      <c r="Y251" s="936">
        <v>20</v>
      </c>
      <c r="Z251" s="159">
        <f t="shared" si="1150"/>
        <v>1.7467248908296944</v>
      </c>
      <c r="AA251" s="20"/>
      <c r="AB251" s="574"/>
      <c r="AC251" s="234">
        <f>(2*(AB239))/Z239</f>
        <v>26.4</v>
      </c>
      <c r="AD251" s="20"/>
      <c r="AE251" s="19"/>
      <c r="AF251" s="15"/>
      <c r="AH251" s="420"/>
      <c r="AI251" s="11"/>
      <c r="AJ251" s="11"/>
      <c r="AK251" s="11"/>
      <c r="AL251" s="11"/>
      <c r="AM251" s="11"/>
      <c r="AN251" s="11"/>
      <c r="AO251" s="11"/>
      <c r="AP251" s="11"/>
      <c r="AQ251" s="11"/>
      <c r="AR251" s="11"/>
      <c r="AS251" s="11"/>
      <c r="AU251" s="219" t="s">
        <v>456</v>
      </c>
      <c r="AV251" s="493" t="e">
        <f>#REF!</f>
        <v>#REF!</v>
      </c>
      <c r="AW251" s="491" t="e">
        <f>#REF!</f>
        <v>#REF!</v>
      </c>
      <c r="AX251" s="640" t="e">
        <f ca="1">(AY250-AV251)/AV252</f>
        <v>#REF!</v>
      </c>
      <c r="AY251" s="16" t="s">
        <v>845</v>
      </c>
      <c r="AZ251" s="221">
        <v>42251</v>
      </c>
      <c r="BA251" s="45">
        <v>0.3</v>
      </c>
      <c r="BB251" s="420">
        <v>12</v>
      </c>
      <c r="BC251" s="19">
        <f>BA251*BB251</f>
        <v>3.5999999999999996</v>
      </c>
      <c r="BD251" s="19">
        <v>3.6</v>
      </c>
      <c r="BE251" s="1050">
        <f t="shared" ref="BE251:BE252" si="1152">BD251-BC251</f>
        <v>0</v>
      </c>
      <c r="BF251" s="45">
        <f>1608*0.000453592</f>
        <v>0.72937593600000006</v>
      </c>
      <c r="BG251" s="730">
        <f t="shared" si="1151"/>
        <v>0.41131052615368979</v>
      </c>
      <c r="BH251" s="9"/>
    </row>
    <row r="252" spans="1:60">
      <c r="B252" s="805"/>
      <c r="C252" s="805"/>
      <c r="D252" s="176"/>
      <c r="E252" s="805"/>
      <c r="F252" s="805"/>
      <c r="G252" s="805"/>
      <c r="J252" s="420"/>
      <c r="K252" s="420"/>
      <c r="L252" s="420"/>
      <c r="M252" s="420"/>
      <c r="N252" s="15"/>
      <c r="S252" s="573"/>
      <c r="T252" s="74"/>
      <c r="U252" s="19"/>
      <c r="V252" s="19"/>
      <c r="W252" s="19"/>
      <c r="Y252" s="936">
        <v>50</v>
      </c>
      <c r="Z252" s="159">
        <f t="shared" si="1150"/>
        <v>4.3668122270742362</v>
      </c>
      <c r="AA252" s="20"/>
      <c r="AB252" s="574"/>
      <c r="AC252" s="934"/>
      <c r="AD252" s="20"/>
      <c r="AE252" s="19"/>
      <c r="AF252" s="15"/>
      <c r="AH252" s="420"/>
      <c r="AI252" s="11"/>
      <c r="AJ252" s="11"/>
      <c r="AK252" s="11"/>
      <c r="AL252" s="11"/>
      <c r="AM252" s="11"/>
      <c r="AN252" s="11"/>
      <c r="AO252" s="11"/>
      <c r="AP252" s="11"/>
      <c r="AQ252" s="11"/>
      <c r="AR252" s="11"/>
      <c r="AS252" s="11"/>
      <c r="AU252" s="221" t="s">
        <v>434</v>
      </c>
      <c r="AV252" s="494" t="e">
        <f ca="1">AV251/AV250</f>
        <v>#REF!</v>
      </c>
      <c r="AX252" s="640" t="e">
        <f ca="1">AX251/365.25</f>
        <v>#REF!</v>
      </c>
      <c r="AY252" s="15" t="s">
        <v>514</v>
      </c>
      <c r="AZ252" s="221">
        <v>42506</v>
      </c>
      <c r="BA252" s="45">
        <v>0.3</v>
      </c>
      <c r="BB252" s="420">
        <v>17</v>
      </c>
      <c r="BC252" s="19">
        <f>BA252*BB252</f>
        <v>5.0999999999999996</v>
      </c>
      <c r="BD252" s="19">
        <v>5.0999999999999996</v>
      </c>
      <c r="BE252" s="1050">
        <f t="shared" si="1152"/>
        <v>0</v>
      </c>
      <c r="BF252" s="45">
        <v>0.69720000000000004</v>
      </c>
      <c r="BG252" s="730">
        <f>BA252/BF252</f>
        <v>0.43029259896729771</v>
      </c>
      <c r="BH252" s="512"/>
    </row>
    <row r="253" spans="1:60" ht="13.5" thickBot="1">
      <c r="B253" s="176"/>
      <c r="C253" s="176"/>
      <c r="F253" s="805"/>
      <c r="G253" s="805"/>
      <c r="J253" s="420"/>
      <c r="K253" s="420"/>
      <c r="L253" s="420"/>
      <c r="M253" s="420"/>
      <c r="N253" s="15"/>
      <c r="S253" s="573"/>
      <c r="T253" s="74"/>
      <c r="U253" s="19"/>
      <c r="V253" s="19"/>
      <c r="W253" s="19"/>
      <c r="Y253" s="936">
        <v>100</v>
      </c>
      <c r="Z253" s="159">
        <f t="shared" si="1150"/>
        <v>8.7336244541484724</v>
      </c>
      <c r="AA253" s="20"/>
      <c r="AB253" s="185" t="str">
        <f>IF(Y239&lt;AB255,"Y","")</f>
        <v/>
      </c>
      <c r="AC253" s="935" t="str">
        <f>IF(Y239&gt;AC255,"Y","")</f>
        <v/>
      </c>
      <c r="AD253" s="20"/>
      <c r="AE253" s="19"/>
      <c r="AF253" s="15"/>
      <c r="AH253" s="420"/>
      <c r="AI253" s="11"/>
      <c r="AJ253" s="11"/>
      <c r="AK253" s="11"/>
      <c r="AL253" s="11"/>
      <c r="AM253" s="11"/>
      <c r="AN253" s="11"/>
      <c r="AO253" s="11"/>
      <c r="AP253" s="11"/>
      <c r="AQ253" s="11"/>
      <c r="AR253" s="11"/>
      <c r="AS253" s="11"/>
      <c r="AU253" s="225" t="s">
        <v>1284</v>
      </c>
      <c r="AV253" s="186" t="e">
        <f ca="1">AV252*365.25</f>
        <v>#REF!</v>
      </c>
      <c r="AW253" s="176" t="s">
        <v>2407</v>
      </c>
      <c r="AX253" s="642" t="e">
        <f ca="1">TODAY()+365.25*AX252</f>
        <v>#REF!</v>
      </c>
      <c r="AY253" s="408"/>
      <c r="AZ253" s="221">
        <v>42660</v>
      </c>
      <c r="BA253" s="45">
        <v>0.3</v>
      </c>
      <c r="BB253" s="420">
        <v>17</v>
      </c>
      <c r="BC253" s="19">
        <f>BA253*BB253</f>
        <v>5.0999999999999996</v>
      </c>
      <c r="BD253" s="19">
        <v>5.0999999999999996</v>
      </c>
      <c r="BE253" s="1050">
        <f t="shared" ref="BE253" si="1153">BD253-BC253</f>
        <v>0</v>
      </c>
      <c r="BF253" s="45">
        <v>0.74960000000000004</v>
      </c>
      <c r="BG253" s="730">
        <f>BA253/BF253</f>
        <v>0.40021344717182494</v>
      </c>
      <c r="BH253" s="512"/>
    </row>
    <row r="254" spans="1:60" ht="13.5" thickBot="1">
      <c r="B254" s="176"/>
      <c r="C254" s="176"/>
      <c r="F254" s="183"/>
      <c r="I254" s="19"/>
      <c r="J254" s="420"/>
      <c r="K254" s="420"/>
      <c r="L254" s="420"/>
      <c r="M254" s="420"/>
      <c r="N254" s="15"/>
      <c r="S254" s="573"/>
      <c r="T254" s="74"/>
      <c r="U254" s="19"/>
      <c r="V254" s="19"/>
      <c r="W254" s="19"/>
      <c r="X254" s="9"/>
      <c r="Y254" s="564">
        <f>B148</f>
        <v>321.01</v>
      </c>
      <c r="Z254" s="159">
        <f t="shared" si="1150"/>
        <v>28.035807860262011</v>
      </c>
      <c r="AA254" s="20" t="s">
        <v>1785</v>
      </c>
      <c r="AB254" s="185" t="s">
        <v>518</v>
      </c>
      <c r="AC254" s="935" t="s">
        <v>545</v>
      </c>
      <c r="AD254" s="20"/>
      <c r="AE254" s="19"/>
      <c r="AF254" s="15"/>
      <c r="AH254" s="420"/>
      <c r="AI254" s="11"/>
      <c r="AJ254" s="11"/>
      <c r="AK254" s="11"/>
      <c r="AL254" s="11"/>
      <c r="AM254" s="11"/>
      <c r="AN254" s="11"/>
      <c r="AO254" s="11"/>
      <c r="AP254" s="11"/>
      <c r="AQ254" s="11"/>
      <c r="AR254" s="11"/>
      <c r="AS254" s="11"/>
      <c r="AU254" s="222" t="s">
        <v>1285</v>
      </c>
      <c r="AV254" s="223" t="e">
        <f ca="1">AV253/12</f>
        <v>#REF!</v>
      </c>
      <c r="AW254" s="491" t="e">
        <f>#REF!</f>
        <v>#REF!</v>
      </c>
      <c r="AZ254" s="221">
        <v>42702</v>
      </c>
      <c r="BA254" s="45">
        <v>0.3</v>
      </c>
      <c r="BB254" s="420">
        <v>3</v>
      </c>
      <c r="BC254" s="19">
        <f>BA254*BB254</f>
        <v>0.89999999999999991</v>
      </c>
      <c r="BD254" s="19">
        <v>0.9</v>
      </c>
      <c r="BE254" s="1050">
        <f t="shared" ref="BE254" si="1154">BD254-BC254</f>
        <v>0</v>
      </c>
      <c r="BF254" s="45">
        <v>0.79479999999999995</v>
      </c>
      <c r="BG254" s="730">
        <f>BA254/BF254</f>
        <v>0.37745344740815301</v>
      </c>
      <c r="BH254" s="512"/>
    </row>
    <row r="255" spans="1:60" ht="13.5" thickBot="1">
      <c r="A255" s="176"/>
      <c r="B255" s="1368"/>
      <c r="C255" s="176"/>
      <c r="F255" s="183"/>
      <c r="I255" s="19"/>
      <c r="J255" s="420"/>
      <c r="K255" s="420"/>
      <c r="L255" s="420"/>
      <c r="M255" s="420"/>
      <c r="N255" s="15"/>
      <c r="S255" s="573"/>
      <c r="T255" s="74"/>
      <c r="U255" s="19"/>
      <c r="V255" s="19"/>
      <c r="W255" s="19"/>
      <c r="X255" s="9"/>
      <c r="Y255" s="185">
        <f>Z255*Y239</f>
        <v>1145</v>
      </c>
      <c r="Z255" s="933">
        <v>100</v>
      </c>
      <c r="AA255" s="159" t="s">
        <v>2217</v>
      </c>
      <c r="AB255" s="1066">
        <v>7.16</v>
      </c>
      <c r="AC255" s="947">
        <v>14.09</v>
      </c>
      <c r="AD255" s="20"/>
      <c r="AE255" s="19"/>
      <c r="AF255" s="15"/>
      <c r="AH255" s="420"/>
      <c r="AI255" s="11"/>
      <c r="AJ255" s="11"/>
      <c r="AK255" s="11"/>
      <c r="AL255" s="11"/>
      <c r="AM255" s="11"/>
      <c r="AN255" s="11"/>
      <c r="AO255" s="11"/>
      <c r="AP255" s="11"/>
      <c r="AQ255" s="11"/>
      <c r="AR255" s="11"/>
      <c r="AS255" s="11"/>
      <c r="AU255" s="19"/>
      <c r="AV255" s="20"/>
      <c r="AZ255" s="224"/>
      <c r="BE255" s="1050"/>
      <c r="BF255" s="19"/>
      <c r="BG255" s="730"/>
      <c r="BH255" s="512"/>
    </row>
    <row r="256" spans="1:60" ht="13.5" thickBot="1">
      <c r="A256" s="176"/>
      <c r="D256" s="46"/>
      <c r="H256" s="11"/>
      <c r="I256" s="19"/>
      <c r="S256" s="573"/>
      <c r="T256" s="74"/>
      <c r="U256" s="19"/>
      <c r="V256" s="19"/>
      <c r="W256" s="19"/>
      <c r="X256" s="9"/>
      <c r="Y256" s="970" t="s">
        <v>1859</v>
      </c>
      <c r="Z256" s="1016" t="s">
        <v>1902</v>
      </c>
      <c r="AA256" s="1045"/>
      <c r="AB256" s="969"/>
      <c r="AC256" s="1063"/>
      <c r="AD256" s="20"/>
      <c r="AE256" s="19"/>
      <c r="AF256" s="15"/>
      <c r="AH256" s="420"/>
      <c r="AI256" s="11"/>
      <c r="AJ256" s="11"/>
      <c r="AK256" s="11"/>
      <c r="AL256" s="11"/>
      <c r="AM256" s="11"/>
      <c r="AN256" s="11"/>
      <c r="AO256" s="11"/>
      <c r="AP256" s="11"/>
      <c r="AQ256" s="11"/>
      <c r="AR256" s="11"/>
      <c r="AS256" s="11"/>
      <c r="AT256" s="420" t="s">
        <v>514</v>
      </c>
      <c r="AZ256" s="224"/>
      <c r="BA256" s="45">
        <f>BD256/BB256</f>
        <v>0.35149253731343277</v>
      </c>
      <c r="BB256" s="420">
        <f>SUM(BB250:BB255)</f>
        <v>67</v>
      </c>
      <c r="BC256" s="19">
        <f>SUM(BC250:BC255)</f>
        <v>23.519999999999996</v>
      </c>
      <c r="BD256" s="19">
        <f>SUM(BD250:BD255)</f>
        <v>23.549999999999997</v>
      </c>
      <c r="BE256" s="19">
        <f>SUM(BE250:BE255)</f>
        <v>2.9999999999999361E-2</v>
      </c>
      <c r="BF256" s="19"/>
      <c r="BG256" s="730"/>
      <c r="BH256" s="512"/>
    </row>
    <row r="257" spans="1:60">
      <c r="A257" s="176"/>
      <c r="I257" s="19"/>
      <c r="S257" s="573"/>
      <c r="T257" s="74"/>
      <c r="U257" s="19"/>
      <c r="V257" s="19"/>
      <c r="W257" s="19"/>
      <c r="X257" s="9"/>
      <c r="Y257" s="445" t="s">
        <v>1863</v>
      </c>
      <c r="Z257" s="7" t="s">
        <v>1864</v>
      </c>
      <c r="AA257" s="21" t="s">
        <v>1859</v>
      </c>
      <c r="AB257" s="1062" t="s">
        <v>2010</v>
      </c>
      <c r="AC257" s="1064" t="s">
        <v>1941</v>
      </c>
      <c r="AD257" s="20"/>
      <c r="AE257" s="19"/>
      <c r="AF257" s="15"/>
      <c r="AH257" s="420"/>
      <c r="AI257" s="11"/>
      <c r="AJ257" s="11"/>
      <c r="AK257" s="11"/>
      <c r="AL257" s="11"/>
      <c r="AM257" s="11"/>
      <c r="AN257" s="11"/>
      <c r="AO257" s="11"/>
      <c r="AP257" s="11"/>
      <c r="AQ257" s="11"/>
      <c r="AR257" s="11"/>
      <c r="AS257" s="11"/>
      <c r="AT257" s="16">
        <f ca="1">AV258/365.25</f>
        <v>1.0458590006844628</v>
      </c>
      <c r="AU257" s="630" t="s">
        <v>1802</v>
      </c>
      <c r="AV257" s="631"/>
      <c r="AX257" s="638" t="s">
        <v>1278</v>
      </c>
      <c r="AY257" s="983"/>
      <c r="AZ257" s="224"/>
      <c r="BG257" s="730"/>
      <c r="BH257" s="9"/>
    </row>
    <row r="258" spans="1:60" ht="13.5" thickBot="1">
      <c r="A258" s="176"/>
      <c r="S258" s="573"/>
      <c r="T258" s="74"/>
      <c r="U258" s="19"/>
      <c r="V258" s="19"/>
      <c r="W258" s="19"/>
      <c r="X258" s="9"/>
      <c r="Y258" s="191">
        <v>0</v>
      </c>
      <c r="Z258" s="537">
        <v>0</v>
      </c>
      <c r="AA258" s="432">
        <f>Z258-Y258</f>
        <v>0</v>
      </c>
      <c r="AB258" s="606" t="e">
        <f>(Z258/Y258)-1</f>
        <v>#DIV/0!</v>
      </c>
      <c r="AC258" s="971">
        <f>((Z258+AA239)/(Y258+AB239))-1</f>
        <v>-0.13257575757575757</v>
      </c>
      <c r="AD258" s="20"/>
      <c r="AE258" s="19"/>
      <c r="AF258" s="15"/>
      <c r="AH258" s="420"/>
      <c r="AU258" s="219">
        <v>42390</v>
      </c>
      <c r="AV258" s="220">
        <f ca="1">DATEDIF(AU258,A4,"D")</f>
        <v>382</v>
      </c>
      <c r="AX258" s="643" t="s">
        <v>143</v>
      </c>
      <c r="AY258" s="30">
        <v>100</v>
      </c>
      <c r="AZ258" s="224"/>
      <c r="BA258" s="420" t="s">
        <v>2672</v>
      </c>
      <c r="BG258" s="730"/>
      <c r="BH258" s="9"/>
    </row>
    <row r="259" spans="1:60">
      <c r="A259" s="176"/>
      <c r="S259" s="573"/>
      <c r="T259" s="74"/>
      <c r="U259" s="19"/>
      <c r="V259" s="19"/>
      <c r="W259" s="19"/>
      <c r="X259" s="9"/>
      <c r="Y259" s="915"/>
      <c r="Z259" s="765"/>
      <c r="AA259" s="765"/>
      <c r="AB259" s="765"/>
      <c r="AC259" s="962"/>
      <c r="AD259" s="20"/>
      <c r="AE259" s="19"/>
      <c r="AF259" s="15"/>
      <c r="AH259" s="420"/>
      <c r="AU259" s="219" t="s">
        <v>456</v>
      </c>
      <c r="AV259" s="493">
        <v>2.68</v>
      </c>
      <c r="AX259" s="640">
        <f ca="1">(AY258-AV259)/AV260</f>
        <v>13871.73134328358</v>
      </c>
      <c r="AY259" s="641" t="s">
        <v>845</v>
      </c>
      <c r="AZ259" s="224"/>
      <c r="BA259" s="420" t="s">
        <v>1970</v>
      </c>
      <c r="BB259" s="1051">
        <v>39630</v>
      </c>
      <c r="BC259" s="19">
        <f>3271.25*0.000453592</f>
        <v>1.48381283</v>
      </c>
      <c r="BD259" s="19"/>
      <c r="BG259" s="236"/>
      <c r="BH259" s="9"/>
    </row>
    <row r="260" spans="1:60" ht="13.5" thickBot="1">
      <c r="A260" s="176"/>
      <c r="B260" s="26"/>
      <c r="S260" s="573"/>
      <c r="T260" s="74"/>
      <c r="U260" s="19"/>
      <c r="V260" s="19"/>
      <c r="W260" s="19"/>
      <c r="X260" s="9"/>
      <c r="Y260" s="225" t="s">
        <v>2018</v>
      </c>
      <c r="Z260" s="19" t="s">
        <v>1710</v>
      </c>
      <c r="AA260" s="9" t="s">
        <v>2019</v>
      </c>
      <c r="AC260" s="236"/>
      <c r="AD260" s="20"/>
      <c r="AE260" s="19"/>
      <c r="AF260" s="15"/>
      <c r="AH260" s="420"/>
      <c r="AU260" s="221" t="s">
        <v>434</v>
      </c>
      <c r="AV260" s="494">
        <f ca="1">AV259/AV258</f>
        <v>7.0157068062827229E-3</v>
      </c>
      <c r="AW260" s="491"/>
      <c r="AX260" s="640">
        <f ca="1">AX259/365.25</f>
        <v>37.978730577093991</v>
      </c>
      <c r="AY260" s="591" t="s">
        <v>514</v>
      </c>
      <c r="AZ260" s="441"/>
      <c r="BA260" s="238" t="s">
        <v>1971</v>
      </c>
      <c r="BB260" s="1052">
        <v>34274</v>
      </c>
      <c r="BC260" s="432">
        <f>1022.7*0.000453592</f>
        <v>0.46388853840000005</v>
      </c>
      <c r="BD260" s="238"/>
      <c r="BE260" s="238"/>
      <c r="BF260" s="238"/>
      <c r="BG260" s="646"/>
      <c r="BH260" s="9"/>
    </row>
    <row r="261" spans="1:60" ht="13.5" thickBot="1">
      <c r="A261" s="176"/>
      <c r="D261" s="46"/>
      <c r="S261" s="573"/>
      <c r="T261" s="74"/>
      <c r="U261" s="19"/>
      <c r="V261" s="19"/>
      <c r="W261" s="19"/>
      <c r="X261" s="9"/>
      <c r="Y261" s="1068">
        <v>100</v>
      </c>
      <c r="Z261" s="963">
        <f>Z239/Y261</f>
        <v>0.05</v>
      </c>
      <c r="AA261" s="537">
        <f>(Y261-Z239)*Y239</f>
        <v>1087.75</v>
      </c>
      <c r="AB261" s="1057"/>
      <c r="AC261" s="646"/>
      <c r="AD261" s="20"/>
      <c r="AE261" s="19"/>
      <c r="AF261" s="15"/>
      <c r="AU261" s="225" t="s">
        <v>1833</v>
      </c>
      <c r="AV261" s="186">
        <f ca="1">AV260*365.25</f>
        <v>2.5624869109947643</v>
      </c>
      <c r="AX261" s="642">
        <f ca="1">TODAY()+365.25*AX260</f>
        <v>56643.73134328358</v>
      </c>
      <c r="AY261" s="628"/>
      <c r="BH261" s="11"/>
    </row>
    <row r="262" spans="1:60" ht="13.5" thickBot="1">
      <c r="A262" s="176"/>
      <c r="S262" s="573"/>
      <c r="T262" s="74"/>
      <c r="U262" s="19"/>
      <c r="V262" s="19"/>
      <c r="W262" s="19"/>
      <c r="X262" s="9"/>
      <c r="Z262" s="9"/>
      <c r="AA262" s="9"/>
      <c r="AB262" s="9"/>
      <c r="AC262" s="20"/>
      <c r="AD262" s="20"/>
      <c r="AE262" s="19"/>
      <c r="AU262" s="222" t="s">
        <v>1834</v>
      </c>
      <c r="AV262" s="223">
        <f ca="1">AV261/12</f>
        <v>0.21354057591623035</v>
      </c>
      <c r="BH262" s="512"/>
    </row>
    <row r="263" spans="1:60">
      <c r="A263" s="176"/>
      <c r="S263" s="573"/>
      <c r="T263" s="74"/>
      <c r="U263" s="19"/>
      <c r="V263" s="19"/>
      <c r="W263" s="19"/>
      <c r="X263" s="9"/>
      <c r="Z263" s="9"/>
      <c r="AA263" s="9"/>
      <c r="AB263" s="9"/>
      <c r="AC263" s="20"/>
      <c r="AD263" s="20"/>
      <c r="AE263" s="19"/>
      <c r="AU263" s="19"/>
      <c r="AV263" s="20"/>
      <c r="BC263" s="241"/>
      <c r="BD263" s="11"/>
      <c r="BH263" s="512"/>
    </row>
    <row r="264" spans="1:60" ht="13.5" thickBot="1">
      <c r="S264" s="573"/>
      <c r="T264" s="74"/>
      <c r="U264" s="19"/>
      <c r="V264" s="19"/>
      <c r="W264" s="19"/>
      <c r="X264" s="9"/>
      <c r="Z264" s="9"/>
      <c r="AA264" s="9"/>
      <c r="AB264" s="9"/>
      <c r="AC264" s="20"/>
      <c r="AD264" s="20"/>
      <c r="AE264" s="19"/>
      <c r="AT264" s="420" t="s">
        <v>514</v>
      </c>
      <c r="BC264" s="241"/>
      <c r="BD264" s="11"/>
      <c r="BH264" s="822"/>
    </row>
    <row r="265" spans="1:60">
      <c r="B265" s="26"/>
      <c r="S265" s="573"/>
      <c r="T265" s="74"/>
      <c r="U265" s="19"/>
      <c r="V265" s="19"/>
      <c r="W265" s="19"/>
      <c r="X265" s="9"/>
      <c r="Z265" s="9"/>
      <c r="AA265" s="9"/>
      <c r="AB265" s="9"/>
      <c r="AC265" s="20"/>
      <c r="AD265" s="20"/>
      <c r="AE265" s="19"/>
      <c r="AT265" s="16">
        <f ca="1">AV266/365.25</f>
        <v>0.9883641341546886</v>
      </c>
      <c r="AU265" s="630" t="s">
        <v>1832</v>
      </c>
      <c r="AV265" s="631"/>
      <c r="AX265" s="638" t="s">
        <v>1278</v>
      </c>
      <c r="AY265" s="639"/>
      <c r="BC265" s="11"/>
      <c r="BD265" s="11"/>
      <c r="BH265" s="822"/>
    </row>
    <row r="266" spans="1:60">
      <c r="D266" s="46"/>
      <c r="S266" s="573"/>
      <c r="T266" s="74"/>
      <c r="U266" s="19"/>
      <c r="V266" s="19"/>
      <c r="W266" s="19"/>
      <c r="X266" s="9"/>
      <c r="Z266" s="9"/>
      <c r="AA266" s="9"/>
      <c r="AB266" s="9"/>
      <c r="AC266" s="20"/>
      <c r="AD266" s="20"/>
      <c r="AE266" s="19"/>
      <c r="AU266" s="219">
        <v>42411</v>
      </c>
      <c r="AV266" s="220">
        <f ca="1">DATEDIF(AU266,A4,"D")</f>
        <v>361</v>
      </c>
      <c r="AX266" s="643" t="s">
        <v>143</v>
      </c>
      <c r="AY266" s="493">
        <v>100</v>
      </c>
      <c r="BC266" s="11"/>
      <c r="BD266" s="11"/>
      <c r="BH266" s="1033"/>
    </row>
    <row r="267" spans="1:60">
      <c r="S267" s="573"/>
      <c r="T267" s="74"/>
      <c r="U267" s="19"/>
      <c r="V267" s="19"/>
      <c r="W267" s="19"/>
      <c r="X267" s="9"/>
      <c r="Z267" s="9"/>
      <c r="AA267" s="9"/>
      <c r="AB267" s="9"/>
      <c r="AC267" s="20"/>
      <c r="AD267" s="20"/>
      <c r="AE267" s="19"/>
      <c r="AU267" s="219" t="s">
        <v>456</v>
      </c>
      <c r="AV267" s="493">
        <v>5</v>
      </c>
      <c r="AX267" s="640">
        <f ca="1">(AY266-AV267)/AV268</f>
        <v>6859</v>
      </c>
      <c r="AY267" s="641" t="s">
        <v>845</v>
      </c>
      <c r="BC267" s="570"/>
      <c r="BD267" s="11"/>
      <c r="BH267" s="26"/>
    </row>
    <row r="268" spans="1:60">
      <c r="S268" s="573"/>
      <c r="T268" s="74"/>
      <c r="U268" s="19"/>
      <c r="V268" s="19"/>
      <c r="W268" s="19"/>
      <c r="X268" s="9"/>
      <c r="Z268" s="9"/>
      <c r="AA268" s="9"/>
      <c r="AB268" s="9"/>
      <c r="AC268" s="20"/>
      <c r="AD268" s="20"/>
      <c r="AE268" s="19"/>
      <c r="AU268" s="221" t="s">
        <v>434</v>
      </c>
      <c r="AV268" s="494">
        <f ca="1">AV267/AV266</f>
        <v>1.3850415512465374E-2</v>
      </c>
      <c r="AX268" s="640">
        <f ca="1">AX267/365.25</f>
        <v>18.778918548939082</v>
      </c>
      <c r="AY268" s="591" t="s">
        <v>514</v>
      </c>
      <c r="BC268" s="11"/>
      <c r="BD268" s="11"/>
      <c r="BH268" s="16"/>
    </row>
    <row r="269" spans="1:60" ht="13.5" thickBot="1">
      <c r="S269" s="573"/>
      <c r="T269" s="74"/>
      <c r="U269" s="19"/>
      <c r="V269" s="19"/>
      <c r="W269" s="19"/>
      <c r="X269" s="9"/>
      <c r="Z269" s="9"/>
      <c r="AA269" s="9"/>
      <c r="AB269" s="9"/>
      <c r="AC269" s="20"/>
      <c r="AD269" s="20"/>
      <c r="AE269" s="19"/>
      <c r="AU269" s="225" t="s">
        <v>1835</v>
      </c>
      <c r="AV269" s="186">
        <f ca="1">AV268*365.25</f>
        <v>5.0588642659279781</v>
      </c>
      <c r="AX269" s="642">
        <f ca="1">TODAY()+365.25*AX268</f>
        <v>49631</v>
      </c>
      <c r="AY269" s="628"/>
      <c r="BC269" s="11"/>
      <c r="BD269" s="11"/>
      <c r="BH269" s="20"/>
    </row>
    <row r="270" spans="1:60" ht="13.5" thickBot="1">
      <c r="B270" s="26"/>
      <c r="S270" s="573"/>
      <c r="T270" s="74"/>
      <c r="U270" s="19"/>
      <c r="V270" s="19"/>
      <c r="W270" s="19"/>
      <c r="X270" s="9"/>
      <c r="Z270" s="9"/>
      <c r="AA270" s="9"/>
      <c r="AB270" s="9"/>
      <c r="AC270" s="20"/>
      <c r="AD270" s="20"/>
      <c r="AE270" s="19"/>
      <c r="AU270" s="222" t="s">
        <v>1836</v>
      </c>
      <c r="AV270" s="223">
        <f ca="1">AV269/12</f>
        <v>0.42157202216066486</v>
      </c>
      <c r="BD270" s="11"/>
      <c r="BH270" s="16"/>
    </row>
    <row r="271" spans="1:60">
      <c r="D271" s="46"/>
      <c r="S271" s="573"/>
      <c r="T271" s="74"/>
      <c r="U271" s="19"/>
      <c r="V271" s="19"/>
      <c r="W271" s="19"/>
      <c r="X271" s="9"/>
      <c r="Z271" s="9"/>
      <c r="AA271" s="9"/>
      <c r="AB271" s="9"/>
      <c r="AC271" s="20"/>
      <c r="AD271" s="20"/>
      <c r="AE271" s="19"/>
      <c r="BD271" s="570"/>
      <c r="BH271" s="15"/>
    </row>
    <row r="272" spans="1:60" ht="13.5" thickBot="1">
      <c r="S272" s="573"/>
      <c r="T272" s="74"/>
      <c r="U272" s="19"/>
      <c r="V272" s="19"/>
      <c r="W272" s="19"/>
      <c r="X272" s="9"/>
      <c r="Z272" s="9"/>
      <c r="AA272" s="9"/>
      <c r="AB272" s="9"/>
      <c r="AC272" s="20"/>
      <c r="AD272" s="20"/>
      <c r="AE272" s="19"/>
      <c r="AT272" s="420" t="s">
        <v>514</v>
      </c>
      <c r="BD272" s="11"/>
      <c r="BH272" s="15"/>
    </row>
    <row r="273" spans="19:60">
      <c r="S273" s="573"/>
      <c r="T273" s="74"/>
      <c r="U273" s="19"/>
      <c r="V273" s="19"/>
      <c r="W273" s="19"/>
      <c r="X273" s="9"/>
      <c r="Z273" s="9"/>
      <c r="AA273" s="9"/>
      <c r="AB273" s="9"/>
      <c r="AC273" s="20"/>
      <c r="AD273" s="20"/>
      <c r="AE273" s="19"/>
      <c r="AT273" s="16">
        <f ca="1">AV274/365.25</f>
        <v>1.0458590006844628</v>
      </c>
      <c r="AU273" s="989" t="s">
        <v>1837</v>
      </c>
      <c r="AV273" s="631"/>
      <c r="AX273" s="638" t="s">
        <v>1278</v>
      </c>
      <c r="AY273" s="639"/>
      <c r="BD273" s="11"/>
      <c r="BH273" s="26"/>
    </row>
    <row r="274" spans="19:60">
      <c r="S274" s="573"/>
      <c r="T274" s="74"/>
      <c r="U274" s="19"/>
      <c r="V274" s="19"/>
      <c r="W274" s="19"/>
      <c r="X274" s="9"/>
      <c r="Z274" s="9"/>
      <c r="AA274" s="9"/>
      <c r="AB274" s="9"/>
      <c r="AC274" s="20"/>
      <c r="AD274" s="20"/>
      <c r="AE274" s="19"/>
      <c r="AU274" s="219">
        <v>42390</v>
      </c>
      <c r="AV274" s="220">
        <f ca="1">DATEDIF(AU274,A4,"D")</f>
        <v>382</v>
      </c>
      <c r="AX274" s="643" t="s">
        <v>143</v>
      </c>
      <c r="AY274" s="493">
        <v>100</v>
      </c>
      <c r="BH274" s="26"/>
    </row>
    <row r="275" spans="19:60">
      <c r="S275" s="573"/>
      <c r="T275" s="74"/>
      <c r="U275" s="19"/>
      <c r="V275" s="19"/>
      <c r="W275" s="19"/>
      <c r="X275" s="9"/>
      <c r="Z275" s="9"/>
      <c r="AA275" s="9"/>
      <c r="AB275" s="9"/>
      <c r="AC275" s="20"/>
      <c r="AD275" s="20"/>
      <c r="AE275" s="19"/>
      <c r="AU275" s="219" t="s">
        <v>456</v>
      </c>
      <c r="AV275" s="493">
        <v>8.6240000000000006</v>
      </c>
      <c r="AX275" s="640">
        <f ca="1">(AY274-AV275)/AV276</f>
        <v>4047.499072356215</v>
      </c>
      <c r="AY275" s="641" t="s">
        <v>845</v>
      </c>
      <c r="BH275" s="26"/>
    </row>
    <row r="276" spans="19:60">
      <c r="S276" s="573"/>
      <c r="T276" s="74"/>
      <c r="U276" s="19"/>
      <c r="V276" s="19"/>
      <c r="W276" s="19"/>
      <c r="X276" s="9"/>
      <c r="Z276" s="9"/>
      <c r="AA276" s="9"/>
      <c r="AB276" s="9"/>
      <c r="AC276" s="20"/>
      <c r="AD276" s="20"/>
      <c r="AE276" s="19"/>
      <c r="AU276" s="221" t="s">
        <v>434</v>
      </c>
      <c r="AV276" s="494">
        <f ca="1">AV275/AV274</f>
        <v>2.2575916230366495E-2</v>
      </c>
      <c r="AX276" s="640">
        <f ca="1">AX275/365.25</f>
        <v>11.081448521166914</v>
      </c>
      <c r="AY276" s="591" t="s">
        <v>514</v>
      </c>
      <c r="BH276" s="26"/>
    </row>
    <row r="277" spans="19:60" ht="13.5" thickBot="1">
      <c r="S277" s="573"/>
      <c r="T277" s="74"/>
      <c r="U277" s="19"/>
      <c r="V277" s="19"/>
      <c r="W277" s="19"/>
      <c r="X277" s="9"/>
      <c r="Z277" s="9"/>
      <c r="AA277" s="9"/>
      <c r="AB277" s="9"/>
      <c r="AC277" s="20"/>
      <c r="AD277" s="20"/>
      <c r="AE277" s="19"/>
      <c r="AU277" s="225" t="s">
        <v>1875</v>
      </c>
      <c r="AV277" s="186">
        <f ca="1">AV276*365.25</f>
        <v>8.2458534031413624</v>
      </c>
      <c r="AX277" s="642">
        <f ca="1">TODAY()+365.25*AX276</f>
        <v>46819.499072356215</v>
      </c>
      <c r="AY277" s="628"/>
      <c r="BH277" s="26"/>
    </row>
    <row r="278" spans="19:60" ht="13.5" thickBot="1">
      <c r="S278" s="573"/>
      <c r="T278" s="74"/>
      <c r="U278" s="19"/>
      <c r="V278" s="19"/>
      <c r="W278" s="19"/>
      <c r="X278" s="9"/>
      <c r="Z278" s="9"/>
      <c r="AA278" s="9"/>
      <c r="AB278" s="9"/>
      <c r="AC278" s="20"/>
      <c r="AD278" s="20"/>
      <c r="AE278" s="19"/>
      <c r="AU278" s="222" t="s">
        <v>1876</v>
      </c>
      <c r="AV278" s="223">
        <f ca="1">AV277/12</f>
        <v>0.68715445026178024</v>
      </c>
      <c r="BD278" s="215"/>
      <c r="BH278" s="26"/>
    </row>
    <row r="279" spans="19:60">
      <c r="S279" s="573"/>
      <c r="T279" s="74"/>
      <c r="U279" s="19"/>
      <c r="V279" s="19"/>
      <c r="W279" s="19"/>
      <c r="X279" s="9"/>
      <c r="Z279" s="9"/>
      <c r="AA279" s="9"/>
      <c r="AB279" s="9"/>
      <c r="AC279" s="20"/>
      <c r="AD279" s="20"/>
      <c r="AE279" s="19"/>
      <c r="BD279" s="11"/>
      <c r="BH279" s="26"/>
    </row>
    <row r="280" spans="19:60" ht="13.5" thickBot="1">
      <c r="S280" s="573"/>
      <c r="T280" s="74"/>
      <c r="U280" s="19"/>
      <c r="V280" s="19"/>
      <c r="W280" s="19"/>
      <c r="X280" s="9"/>
      <c r="Z280" s="9"/>
      <c r="AA280" s="9"/>
      <c r="AB280" s="9"/>
      <c r="AC280" s="20"/>
      <c r="AD280" s="20"/>
      <c r="AE280" s="19"/>
      <c r="AT280" s="420" t="s">
        <v>514</v>
      </c>
      <c r="AU280" s="988" t="s">
        <v>2391</v>
      </c>
      <c r="BD280" s="11"/>
    </row>
    <row r="281" spans="19:60">
      <c r="S281" s="573"/>
      <c r="T281" s="74"/>
      <c r="U281" s="19"/>
      <c r="V281" s="19"/>
      <c r="W281" s="19"/>
      <c r="X281" s="9"/>
      <c r="Z281" s="9"/>
      <c r="AA281" s="9"/>
      <c r="AB281" s="9"/>
      <c r="AC281" s="20"/>
      <c r="AD281" s="20"/>
      <c r="AE281" s="19"/>
      <c r="AT281" s="16">
        <v>1</v>
      </c>
      <c r="AU281" s="630" t="s">
        <v>1871</v>
      </c>
      <c r="AV281" s="631"/>
      <c r="AX281" s="638" t="s">
        <v>1278</v>
      </c>
      <c r="AY281" s="639"/>
      <c r="BD281" s="11"/>
    </row>
    <row r="282" spans="19:60">
      <c r="S282" s="573"/>
      <c r="T282" s="74"/>
      <c r="U282" s="19"/>
      <c r="V282" s="19"/>
      <c r="W282" s="19"/>
      <c r="X282" s="9"/>
      <c r="Z282" s="9"/>
      <c r="AA282" s="9"/>
      <c r="AB282" s="9"/>
      <c r="AC282" s="20"/>
      <c r="AD282" s="20"/>
      <c r="AE282" s="19"/>
      <c r="AU282" s="221" t="s">
        <v>434</v>
      </c>
      <c r="AV282" s="494">
        <f>AV283/365.25</f>
        <v>1.5058179329226558E-3</v>
      </c>
      <c r="AX282" s="643" t="s">
        <v>143</v>
      </c>
      <c r="AY282" s="493">
        <v>100</v>
      </c>
      <c r="BD282" s="11"/>
      <c r="BH282" s="571"/>
    </row>
    <row r="283" spans="19:60">
      <c r="S283" s="573"/>
      <c r="T283" s="74"/>
      <c r="U283" s="19"/>
      <c r="V283" s="19"/>
      <c r="W283" s="19"/>
      <c r="X283" s="9"/>
      <c r="Z283" s="9"/>
      <c r="AA283" s="9"/>
      <c r="AB283" s="9"/>
      <c r="AC283" s="20"/>
      <c r="AD283" s="20"/>
      <c r="AE283" s="19"/>
      <c r="AU283" s="225" t="s">
        <v>1873</v>
      </c>
      <c r="AV283" s="493">
        <v>0.55000000000000004</v>
      </c>
      <c r="AW283" s="990"/>
      <c r="AX283" s="640">
        <f>(AY282-AV283)/AV282</f>
        <v>66043.840909090912</v>
      </c>
      <c r="AY283" s="641" t="s">
        <v>845</v>
      </c>
      <c r="BD283" s="27"/>
    </row>
    <row r="284" spans="19:60" ht="13.5" thickBot="1">
      <c r="S284" s="573"/>
      <c r="T284" s="74"/>
      <c r="U284" s="19"/>
      <c r="V284" s="19"/>
      <c r="W284" s="19"/>
      <c r="X284" s="9"/>
      <c r="Z284" s="9"/>
      <c r="AA284" s="9"/>
      <c r="AB284" s="9"/>
      <c r="AC284" s="20"/>
      <c r="AD284" s="20"/>
      <c r="AE284" s="19"/>
      <c r="AU284" s="222" t="s">
        <v>1872</v>
      </c>
      <c r="AV284" s="223">
        <f>AV283/12</f>
        <v>4.5833333333333337E-2</v>
      </c>
      <c r="AX284" s="640">
        <f>AX283/365.25</f>
        <v>180.81818181818181</v>
      </c>
      <c r="AY284" s="591" t="s">
        <v>514</v>
      </c>
      <c r="BD284" s="11"/>
    </row>
    <row r="285" spans="19:60" ht="13.5" thickBot="1">
      <c r="S285" s="573"/>
      <c r="T285" s="74"/>
      <c r="U285" s="19"/>
      <c r="V285" s="19"/>
      <c r="W285" s="19"/>
      <c r="X285" s="9"/>
      <c r="Z285" s="9"/>
      <c r="AA285" s="9"/>
      <c r="AB285" s="9"/>
      <c r="AC285" s="20"/>
      <c r="AD285" s="20"/>
      <c r="AE285" s="19"/>
      <c r="AX285" s="642">
        <f ca="1">TODAY()+365.25*AX284</f>
        <v>108815.84090909091</v>
      </c>
      <c r="AY285" s="628"/>
      <c r="BD285" s="27"/>
    </row>
    <row r="286" spans="19:60" ht="13.5" thickBot="1">
      <c r="S286" s="573"/>
      <c r="T286" s="74"/>
      <c r="U286" s="19"/>
      <c r="V286" s="19"/>
      <c r="W286" s="19"/>
      <c r="X286" s="9"/>
      <c r="Z286" s="9"/>
      <c r="AA286" s="9"/>
      <c r="AB286" s="9"/>
      <c r="AC286" s="20"/>
      <c r="AD286" s="20"/>
      <c r="AE286" s="19"/>
      <c r="AT286" s="420" t="s">
        <v>514</v>
      </c>
      <c r="BD286" s="11"/>
    </row>
    <row r="287" spans="19:60">
      <c r="S287" s="573"/>
      <c r="T287" s="74"/>
      <c r="U287" s="19"/>
      <c r="V287" s="19"/>
      <c r="W287" s="19"/>
      <c r="X287" s="9"/>
      <c r="Z287" s="9"/>
      <c r="AA287" s="9"/>
      <c r="AB287" s="9"/>
      <c r="AC287" s="20"/>
      <c r="AD287" s="20"/>
      <c r="AE287" s="19"/>
      <c r="AT287" s="16">
        <f ca="1">AV288/365.25</f>
        <v>1.0184804928131417</v>
      </c>
      <c r="AU287" s="989" t="s">
        <v>2244</v>
      </c>
      <c r="AV287" s="631"/>
      <c r="AX287" s="638" t="s">
        <v>1278</v>
      </c>
      <c r="AY287" s="639"/>
      <c r="BD287" s="11"/>
    </row>
    <row r="288" spans="19:60">
      <c r="S288" s="573"/>
      <c r="T288" s="74"/>
      <c r="U288" s="19"/>
      <c r="V288" s="19"/>
      <c r="W288" s="19"/>
      <c r="X288" s="9"/>
      <c r="Z288" s="9"/>
      <c r="AA288" s="9"/>
      <c r="AB288" s="9"/>
      <c r="AC288" s="20"/>
      <c r="AD288" s="20"/>
      <c r="AE288" s="19"/>
      <c r="AU288" s="219">
        <v>42400</v>
      </c>
      <c r="AV288" s="220">
        <f ca="1">DATEDIF(AU288,A4,"D")</f>
        <v>372</v>
      </c>
      <c r="AX288" s="643" t="s">
        <v>143</v>
      </c>
      <c r="AY288" s="493">
        <v>100</v>
      </c>
      <c r="BD288" s="570"/>
    </row>
    <row r="289" spans="8:69">
      <c r="S289" s="573"/>
      <c r="T289" s="74"/>
      <c r="U289" s="19"/>
      <c r="V289" s="19"/>
      <c r="W289" s="19"/>
      <c r="X289" s="9"/>
      <c r="Z289" s="9"/>
      <c r="AA289" s="9"/>
      <c r="AB289" s="9"/>
      <c r="AC289" s="20"/>
      <c r="AD289" s="20"/>
      <c r="AE289" s="19"/>
      <c r="AU289" s="219" t="s">
        <v>456</v>
      </c>
      <c r="AV289" s="493">
        <v>30.36</v>
      </c>
      <c r="AW289" s="491"/>
      <c r="AX289" s="640">
        <f ca="1">(AY288-AV289)/AV290</f>
        <v>853.29644268774712</v>
      </c>
      <c r="AY289" s="641" t="s">
        <v>845</v>
      </c>
      <c r="BD289" s="11"/>
    </row>
    <row r="290" spans="8:69">
      <c r="S290" s="573"/>
      <c r="T290" s="74"/>
      <c r="U290" s="19"/>
      <c r="V290" s="19"/>
      <c r="W290" s="19"/>
      <c r="X290" s="9"/>
      <c r="Z290" s="9"/>
      <c r="AA290" s="9"/>
      <c r="AB290" s="9"/>
      <c r="AC290" s="20"/>
      <c r="AD290" s="20"/>
      <c r="AE290" s="19"/>
      <c r="AU290" s="221" t="s">
        <v>434</v>
      </c>
      <c r="AV290" s="494">
        <f ca="1">AV289/AV288</f>
        <v>8.1612903225806444E-2</v>
      </c>
      <c r="AX290" s="640">
        <f ca="1">AX289/365.25</f>
        <v>2.3361983372696704</v>
      </c>
      <c r="AY290" s="591" t="s">
        <v>514</v>
      </c>
      <c r="BD290" s="570"/>
    </row>
    <row r="291" spans="8:69" ht="13.5" thickBot="1">
      <c r="S291" s="573"/>
      <c r="T291" s="74"/>
      <c r="U291" s="19"/>
      <c r="V291" s="19"/>
      <c r="W291" s="19"/>
      <c r="X291" s="9"/>
      <c r="Z291" s="9"/>
      <c r="AA291" s="9"/>
      <c r="AB291" s="9"/>
      <c r="AC291" s="20"/>
      <c r="AD291" s="20"/>
      <c r="AE291" s="19"/>
      <c r="AU291" s="225" t="s">
        <v>2245</v>
      </c>
      <c r="AV291" s="186">
        <f ca="1">AV290*365.25</f>
        <v>29.809112903225802</v>
      </c>
      <c r="AX291" s="642">
        <f ca="1">TODAY()+365.25*AX290</f>
        <v>43625.296442687744</v>
      </c>
      <c r="AY291" s="628"/>
      <c r="BD291" s="11"/>
      <c r="BE291" s="11"/>
    </row>
    <row r="292" spans="8:69" ht="13.5" thickBot="1">
      <c r="S292" s="573"/>
      <c r="T292" s="74"/>
      <c r="U292" s="19"/>
      <c r="V292" s="19"/>
      <c r="W292" s="19"/>
      <c r="X292" s="9"/>
      <c r="Z292" s="9"/>
      <c r="AA292" s="9"/>
      <c r="AB292" s="9"/>
      <c r="AC292" s="20"/>
      <c r="AD292" s="20"/>
      <c r="AE292" s="19"/>
      <c r="AU292" s="222" t="s">
        <v>2246</v>
      </c>
      <c r="AV292" s="223">
        <f ca="1">AV291/12</f>
        <v>2.4840927419354837</v>
      </c>
      <c r="BD292" s="20"/>
      <c r="BE292" s="11"/>
    </row>
    <row r="293" spans="8:69">
      <c r="S293" s="573"/>
      <c r="T293" s="74"/>
      <c r="U293" s="19"/>
      <c r="V293" s="19"/>
      <c r="W293" s="19"/>
      <c r="X293" s="9"/>
      <c r="Z293" s="9"/>
      <c r="AA293" s="9"/>
      <c r="AB293" s="9"/>
      <c r="AC293" s="20"/>
      <c r="AD293" s="20"/>
      <c r="AE293" s="19"/>
      <c r="BD293" s="11"/>
      <c r="BE293" s="11"/>
    </row>
    <row r="294" spans="8:69" ht="13.5" thickBot="1">
      <c r="S294" s="573"/>
      <c r="T294" s="74"/>
      <c r="U294" s="19"/>
      <c r="V294" s="19"/>
      <c r="W294" s="19"/>
      <c r="X294" s="9"/>
      <c r="Z294" s="9"/>
      <c r="AA294" s="9"/>
      <c r="AB294" s="9"/>
      <c r="AC294" s="20"/>
      <c r="AD294" s="20"/>
      <c r="AE294" s="19"/>
      <c r="AT294" s="420" t="s">
        <v>514</v>
      </c>
      <c r="BD294" s="11"/>
      <c r="BE294" s="11"/>
    </row>
    <row r="295" spans="8:69">
      <c r="S295" s="573"/>
      <c r="T295" s="74"/>
      <c r="U295" s="19"/>
      <c r="V295" s="19"/>
      <c r="W295" s="19"/>
      <c r="X295" s="9"/>
      <c r="Z295" s="9"/>
      <c r="AA295" s="9"/>
      <c r="AB295" s="9"/>
      <c r="AC295" s="20"/>
      <c r="AD295" s="20"/>
      <c r="AE295" s="19"/>
      <c r="AT295" s="16">
        <f ca="1">AV296/365.25</f>
        <v>0.39972621492128679</v>
      </c>
      <c r="AU295" s="989" t="s">
        <v>2426</v>
      </c>
      <c r="AV295" s="631"/>
      <c r="AX295" s="638" t="s">
        <v>1278</v>
      </c>
      <c r="AY295" s="639"/>
      <c r="BD295" s="11"/>
      <c r="BE295" s="11"/>
    </row>
    <row r="296" spans="8:69">
      <c r="S296" s="573"/>
      <c r="T296" s="74"/>
      <c r="U296" s="19"/>
      <c r="V296" s="19"/>
      <c r="W296" s="19"/>
      <c r="X296" s="9"/>
      <c r="Z296" s="9"/>
      <c r="AA296" s="9"/>
      <c r="AB296" s="9"/>
      <c r="AC296" s="20"/>
      <c r="AD296" s="20"/>
      <c r="AE296" s="19"/>
      <c r="AU296" s="219">
        <v>42626</v>
      </c>
      <c r="AV296" s="220">
        <f ca="1">DATEDIF(AU296,A4,"D")</f>
        <v>146</v>
      </c>
      <c r="AX296" s="643" t="s">
        <v>143</v>
      </c>
      <c r="AY296" s="493">
        <v>100</v>
      </c>
      <c r="BD296" s="11"/>
      <c r="BE296" s="11"/>
    </row>
    <row r="297" spans="8:69">
      <c r="S297" s="573"/>
      <c r="T297" s="74"/>
      <c r="U297" s="19"/>
      <c r="V297" s="19"/>
      <c r="W297" s="19"/>
      <c r="X297" s="9"/>
      <c r="Z297" s="9"/>
      <c r="AA297" s="9"/>
      <c r="AB297" s="9"/>
      <c r="AC297" s="20"/>
      <c r="AD297" s="20"/>
      <c r="AE297" s="19"/>
      <c r="AU297" s="219" t="s">
        <v>456</v>
      </c>
      <c r="AV297" s="493">
        <v>0.01</v>
      </c>
      <c r="AX297" s="640">
        <f ca="1">(AY296-AV297)/AV298</f>
        <v>1459854</v>
      </c>
      <c r="AY297" s="641" t="s">
        <v>845</v>
      </c>
      <c r="BD297" s="11"/>
      <c r="BE297" s="11"/>
    </row>
    <row r="298" spans="8:69">
      <c r="S298" s="573"/>
      <c r="T298" s="74"/>
      <c r="U298" s="19"/>
      <c r="V298" s="19"/>
      <c r="W298" s="19"/>
      <c r="X298" s="9"/>
      <c r="Z298" s="9"/>
      <c r="AA298" s="9"/>
      <c r="AB298" s="9"/>
      <c r="AC298" s="20"/>
      <c r="AD298" s="20"/>
      <c r="AE298" s="19"/>
      <c r="AU298" s="221" t="s">
        <v>434</v>
      </c>
      <c r="AV298" s="494">
        <f ca="1">AV297/AV296</f>
        <v>6.8493150684931502E-5</v>
      </c>
      <c r="AX298" s="640">
        <f ca="1">AX297/365.25</f>
        <v>3996.8624229979464</v>
      </c>
      <c r="AY298" s="591" t="s">
        <v>514</v>
      </c>
      <c r="BD298" s="11"/>
      <c r="BE298" s="11"/>
    </row>
    <row r="299" spans="8:69" ht="13.5" thickBot="1">
      <c r="S299" s="573"/>
      <c r="T299" s="74"/>
      <c r="U299" s="19"/>
      <c r="V299" s="19"/>
      <c r="W299" s="19"/>
      <c r="X299" s="9"/>
      <c r="Z299" s="9"/>
      <c r="AA299" s="9"/>
      <c r="AB299" s="9"/>
      <c r="AC299" s="20"/>
      <c r="AD299" s="20"/>
      <c r="AE299" s="19"/>
      <c r="AU299" s="225" t="s">
        <v>2427</v>
      </c>
      <c r="AV299" s="186">
        <f ca="1">AV298*365.25</f>
        <v>2.5017123287671233E-2</v>
      </c>
      <c r="AX299" s="642">
        <f ca="1">TODAY()+365.25*AX298</f>
        <v>1502626</v>
      </c>
      <c r="AY299" s="628"/>
      <c r="BD299" s="11"/>
      <c r="BE299" s="11"/>
    </row>
    <row r="300" spans="8:69" ht="13.5" thickBot="1">
      <c r="S300" s="573"/>
      <c r="T300" s="74"/>
      <c r="U300" s="19"/>
      <c r="V300" s="19"/>
      <c r="W300" s="19"/>
      <c r="X300" s="9"/>
      <c r="Z300" s="9"/>
      <c r="AA300" s="9"/>
      <c r="AB300" s="9"/>
      <c r="AC300" s="20"/>
      <c r="AD300" s="20"/>
      <c r="AE300" s="19"/>
      <c r="AU300" s="222" t="s">
        <v>2428</v>
      </c>
      <c r="AV300" s="223">
        <f ca="1">AV299/12</f>
        <v>2.0847602739726026E-3</v>
      </c>
      <c r="BD300" s="11"/>
      <c r="BE300" s="11"/>
    </row>
    <row r="301" spans="8:69">
      <c r="S301" s="573"/>
      <c r="T301" s="74"/>
      <c r="U301" s="19"/>
      <c r="V301" s="19"/>
      <c r="W301" s="19"/>
      <c r="X301" s="9"/>
      <c r="Z301" s="9"/>
      <c r="AA301" s="9"/>
      <c r="AB301" s="9"/>
      <c r="AC301" s="20"/>
      <c r="AD301" s="20"/>
      <c r="AE301" s="19"/>
      <c r="AU301" s="946" t="s">
        <v>2429</v>
      </c>
    </row>
    <row r="302" spans="8:69">
      <c r="S302" s="573"/>
      <c r="T302" s="74"/>
      <c r="U302" s="19"/>
      <c r="V302" s="19"/>
      <c r="W302" s="19"/>
      <c r="X302" s="9"/>
      <c r="Z302" s="9"/>
      <c r="AA302" s="9"/>
      <c r="AB302" s="9"/>
      <c r="AC302" s="20"/>
      <c r="AD302" s="20"/>
      <c r="AE302" s="19"/>
      <c r="AU302" s="176" t="s">
        <v>2433</v>
      </c>
    </row>
    <row r="303" spans="8:69">
      <c r="H303" s="894"/>
      <c r="J303" s="421"/>
      <c r="K303" s="20"/>
      <c r="S303" s="573"/>
      <c r="T303" s="74"/>
      <c r="U303" s="19"/>
      <c r="V303" s="19"/>
      <c r="W303" s="19"/>
      <c r="X303" s="9"/>
      <c r="Z303" s="9"/>
      <c r="AA303" s="9"/>
      <c r="AB303" s="9"/>
      <c r="AC303" s="20"/>
      <c r="AD303" s="20"/>
      <c r="AE303" s="19"/>
      <c r="BQ303" s="16"/>
    </row>
    <row r="304" spans="8:69">
      <c r="H304" s="26"/>
      <c r="S304" s="573"/>
      <c r="T304" s="74"/>
      <c r="U304" s="19"/>
      <c r="V304" s="19"/>
      <c r="W304" s="19"/>
      <c r="X304" s="9"/>
      <c r="Z304" s="9"/>
      <c r="AA304" s="9"/>
      <c r="AB304" s="9"/>
      <c r="AC304" s="20"/>
      <c r="AD304" s="20"/>
      <c r="AE304" s="19"/>
      <c r="BQ304" s="16"/>
    </row>
    <row r="305" spans="1:70">
      <c r="H305" s="26"/>
      <c r="S305" s="573"/>
      <c r="T305" s="74"/>
      <c r="U305" s="19"/>
      <c r="V305" s="19"/>
      <c r="W305" s="19"/>
      <c r="X305" s="9"/>
      <c r="Z305" s="9"/>
      <c r="AA305" s="9"/>
      <c r="AB305" s="9"/>
      <c r="AC305" s="20"/>
      <c r="AD305" s="20"/>
      <c r="AE305" s="19"/>
      <c r="BP305" s="19"/>
      <c r="BQ305" s="16"/>
      <c r="BR305" s="420"/>
    </row>
    <row r="306" spans="1:70" ht="13.5" thickBot="1">
      <c r="B306" s="805"/>
      <c r="C306" s="805"/>
      <c r="D306" s="176"/>
      <c r="E306" s="805"/>
      <c r="H306" s="26"/>
      <c r="S306" s="573"/>
      <c r="T306" s="74"/>
      <c r="U306" s="19"/>
      <c r="V306" s="19"/>
      <c r="W306" s="19"/>
      <c r="X306" s="9"/>
      <c r="Z306" s="9"/>
      <c r="AA306" s="9"/>
      <c r="AB306" s="9"/>
      <c r="AC306" s="20"/>
      <c r="AD306" s="20"/>
      <c r="AE306" s="19"/>
      <c r="AT306" s="420" t="s">
        <v>514</v>
      </c>
      <c r="BH306" s="26"/>
      <c r="BP306" s="19"/>
      <c r="BQ306" s="16"/>
      <c r="BR306" s="420"/>
    </row>
    <row r="307" spans="1:70">
      <c r="B307" s="46"/>
      <c r="C307" s="46"/>
      <c r="D307" s="16"/>
      <c r="E307" s="46"/>
      <c r="F307" s="805"/>
      <c r="G307" s="805"/>
      <c r="H307" s="26"/>
      <c r="S307" s="573"/>
      <c r="T307" s="74"/>
      <c r="U307" s="19"/>
      <c r="V307" s="19"/>
      <c r="W307" s="19"/>
      <c r="X307" s="9"/>
      <c r="Z307" s="9"/>
      <c r="AA307" s="9"/>
      <c r="AB307" s="9"/>
      <c r="AC307" s="20"/>
      <c r="AD307" s="20"/>
      <c r="AE307" s="19"/>
      <c r="AT307" s="16">
        <f ca="1">AV308/365.25</f>
        <v>0.35865845311430528</v>
      </c>
      <c r="AU307" s="989" t="s">
        <v>2441</v>
      </c>
      <c r="AV307" s="1449" t="s">
        <v>2820</v>
      </c>
      <c r="AW307" s="1427" t="s">
        <v>2748</v>
      </c>
      <c r="AX307" s="428"/>
      <c r="AY307" s="428"/>
      <c r="AZ307" s="429"/>
      <c r="BA307" s="447"/>
      <c r="BB307" s="447"/>
      <c r="BC307" s="428"/>
      <c r="BD307" s="428"/>
      <c r="BE307" s="235"/>
      <c r="BH307" s="26"/>
      <c r="BP307" s="19"/>
      <c r="BQ307" s="16"/>
      <c r="BR307" s="420"/>
    </row>
    <row r="308" spans="1:70">
      <c r="B308" s="16"/>
      <c r="C308" s="16"/>
      <c r="D308" s="16"/>
      <c r="E308" s="46"/>
      <c r="F308" s="46"/>
      <c r="G308" s="46"/>
      <c r="H308" s="26"/>
      <c r="S308" s="573"/>
      <c r="T308" s="74"/>
      <c r="U308" s="19"/>
      <c r="V308" s="19"/>
      <c r="W308" s="19"/>
      <c r="X308" s="9"/>
      <c r="Z308" s="9"/>
      <c r="AA308" s="9"/>
      <c r="AB308" s="9"/>
      <c r="AC308" s="20"/>
      <c r="AD308" s="20"/>
      <c r="AE308" s="19"/>
      <c r="AU308" s="219">
        <v>42641</v>
      </c>
      <c r="AV308" s="65">
        <f ca="1">DATEDIF(AU308,A4,"D")</f>
        <v>131</v>
      </c>
      <c r="AW308" s="224" t="s">
        <v>2745</v>
      </c>
      <c r="AX308" s="175" t="s">
        <v>2773</v>
      </c>
      <c r="AY308" s="420" t="s">
        <v>2746</v>
      </c>
      <c r="AZ308" s="420" t="s">
        <v>2747</v>
      </c>
      <c r="BA308" s="420" t="s">
        <v>2749</v>
      </c>
      <c r="BB308" s="420" t="s">
        <v>2750</v>
      </c>
      <c r="BC308" s="420" t="s">
        <v>2751</v>
      </c>
      <c r="BD308" s="420" t="s">
        <v>1710</v>
      </c>
      <c r="BE308" s="236" t="s">
        <v>2852</v>
      </c>
      <c r="BH308" s="26"/>
      <c r="BP308" s="19"/>
      <c r="BQ308" s="16"/>
      <c r="BR308" s="420"/>
    </row>
    <row r="309" spans="1:70">
      <c r="B309" s="46"/>
      <c r="C309" s="46"/>
      <c r="D309" s="16"/>
      <c r="E309" s="46"/>
      <c r="F309" s="46"/>
      <c r="G309" s="46"/>
      <c r="H309" s="26"/>
      <c r="S309" s="573"/>
      <c r="T309" s="74"/>
      <c r="U309" s="19"/>
      <c r="V309" s="19"/>
      <c r="W309" s="19"/>
      <c r="X309" s="9"/>
      <c r="Z309" s="9"/>
      <c r="AA309" s="9"/>
      <c r="AB309" s="9"/>
      <c r="AC309" s="20"/>
      <c r="AD309" s="20"/>
      <c r="AE309" s="19"/>
      <c r="AU309" s="219" t="s">
        <v>456</v>
      </c>
      <c r="AV309" s="30">
        <v>19.38</v>
      </c>
      <c r="AW309" s="224" t="s">
        <v>2744</v>
      </c>
      <c r="AX309" s="1408">
        <v>0.25</v>
      </c>
      <c r="AY309" s="26" t="s">
        <v>236</v>
      </c>
      <c r="AZ309" s="26" t="s">
        <v>236</v>
      </c>
      <c r="BA309" s="420" t="s">
        <v>236</v>
      </c>
      <c r="BB309" s="74" t="s">
        <v>236</v>
      </c>
      <c r="BC309" s="420" t="s">
        <v>1989</v>
      </c>
      <c r="BD309" s="420" t="s">
        <v>2752</v>
      </c>
      <c r="BE309" s="236">
        <f>AV309/AT326</f>
        <v>0.55371428571428571</v>
      </c>
      <c r="BH309" s="26"/>
      <c r="BP309" s="19"/>
      <c r="BQ309" s="16"/>
      <c r="BR309" s="420"/>
    </row>
    <row r="310" spans="1:70">
      <c r="B310" s="46"/>
      <c r="C310" s="46"/>
      <c r="D310" s="16"/>
      <c r="E310" s="46"/>
      <c r="F310" s="46"/>
      <c r="G310" s="46"/>
      <c r="H310" s="26"/>
      <c r="S310" s="573"/>
      <c r="T310" s="74"/>
      <c r="U310" s="19"/>
      <c r="V310" s="19"/>
      <c r="W310" s="19"/>
      <c r="X310" s="9"/>
      <c r="Z310" s="9"/>
      <c r="AA310" s="9"/>
      <c r="AB310" s="9"/>
      <c r="AC310" s="20"/>
      <c r="AD310" s="20"/>
      <c r="AE310" s="19"/>
      <c r="AU310" s="224" t="s">
        <v>2783</v>
      </c>
      <c r="AV310" s="16">
        <f ca="1">AX331/AV308</f>
        <v>0.5419847328244275</v>
      </c>
      <c r="AW310" s="224">
        <v>500</v>
      </c>
      <c r="AX310" s="1408">
        <v>0.33</v>
      </c>
      <c r="AY310" s="26">
        <f>AX310-AX309</f>
        <v>8.0000000000000016E-2</v>
      </c>
      <c r="AZ310" s="26">
        <f>AX310-$AX$309</f>
        <v>8.0000000000000016E-2</v>
      </c>
      <c r="BA310" s="183">
        <f>AX310/AX309-1</f>
        <v>0.32000000000000006</v>
      </c>
      <c r="BB310" s="15">
        <f>AX310/$AX$309-1</f>
        <v>0.32000000000000006</v>
      </c>
      <c r="BC310" s="46">
        <f ca="1">TODAY()+365.25*(((AW310-$AV$309)/$AV$311)/365.25)</f>
        <v>46020.772961816307</v>
      </c>
      <c r="BD310" s="183">
        <f>$AV$309/AW310</f>
        <v>3.8759999999999996E-2</v>
      </c>
      <c r="BE310" s="236"/>
      <c r="BP310" s="19"/>
      <c r="BQ310" s="16"/>
      <c r="BR310" s="420"/>
    </row>
    <row r="311" spans="1:70">
      <c r="B311" s="46"/>
      <c r="C311" s="46"/>
      <c r="E311" s="46"/>
      <c r="F311" s="46"/>
      <c r="G311" s="46"/>
      <c r="H311" s="26"/>
      <c r="S311" s="573"/>
      <c r="T311" s="74"/>
      <c r="U311" s="19"/>
      <c r="V311" s="19"/>
      <c r="W311" s="19"/>
      <c r="X311" s="9"/>
      <c r="Z311" s="9"/>
      <c r="AA311" s="9"/>
      <c r="AB311" s="9"/>
      <c r="AC311" s="20"/>
      <c r="AD311" s="20"/>
      <c r="AE311" s="19"/>
      <c r="AT311" s="19"/>
      <c r="AU311" s="221" t="s">
        <v>434</v>
      </c>
      <c r="AV311" s="29">
        <f ca="1">AV309/AV308</f>
        <v>0.14793893129770991</v>
      </c>
      <c r="AW311" s="224">
        <v>3000</v>
      </c>
      <c r="AX311" s="1408">
        <v>0.36</v>
      </c>
      <c r="AY311" s="26">
        <f t="shared" ref="AY311:AY312" si="1155">AX311-AX310</f>
        <v>2.9999999999999971E-2</v>
      </c>
      <c r="AZ311" s="26">
        <f>AX311-$AX$309</f>
        <v>0.10999999999999999</v>
      </c>
      <c r="BA311" s="183">
        <f>AX311/AX310-1</f>
        <v>9.0909090909090828E-2</v>
      </c>
      <c r="BB311" s="15">
        <f>AX311/$AX$309-1</f>
        <v>0.43999999999999995</v>
      </c>
      <c r="BC311" s="46">
        <f ca="1">TODAY()+365.25*(((AW311-$AV$309)/$AV$311)/365.25)</f>
        <v>62919.637770897833</v>
      </c>
      <c r="BD311" s="183">
        <f>$AV$309/AW311</f>
        <v>6.4599999999999996E-3</v>
      </c>
      <c r="BE311" s="236"/>
      <c r="BP311" s="19"/>
      <c r="BQ311" s="16"/>
      <c r="BR311" s="420"/>
    </row>
    <row r="312" spans="1:70">
      <c r="B312" s="46"/>
      <c r="C312" s="46"/>
      <c r="E312" s="46"/>
      <c r="F312" s="46"/>
      <c r="G312" s="46"/>
      <c r="H312" s="26"/>
      <c r="S312" s="573"/>
      <c r="T312" s="74"/>
      <c r="U312" s="19"/>
      <c r="V312" s="19"/>
      <c r="W312" s="19"/>
      <c r="X312" s="9"/>
      <c r="Z312" s="9"/>
      <c r="AA312" s="9"/>
      <c r="AB312" s="9"/>
      <c r="AC312" s="20"/>
      <c r="AD312" s="20"/>
      <c r="AE312" s="19"/>
      <c r="AU312" s="225" t="s">
        <v>2442</v>
      </c>
      <c r="AV312" s="20">
        <f ca="1">AV311*365.25</f>
        <v>54.034694656488547</v>
      </c>
      <c r="AW312" s="224">
        <v>10000</v>
      </c>
      <c r="AX312" s="1408">
        <v>0.38</v>
      </c>
      <c r="AY312" s="26">
        <f t="shared" si="1155"/>
        <v>2.0000000000000018E-2</v>
      </c>
      <c r="AZ312" s="26">
        <f>AX312-$AX$309</f>
        <v>0.13</v>
      </c>
      <c r="BA312" s="183">
        <f>AX312/AX311-1</f>
        <v>5.555555555555558E-2</v>
      </c>
      <c r="BB312" s="15">
        <f>AX312/$AX$309-1</f>
        <v>0.52</v>
      </c>
      <c r="BC312" s="46">
        <f ca="1">TODAY()+365.25*(((AW312-$AV$309)/$AV$311)/365.25)</f>
        <v>110236.45923632612</v>
      </c>
      <c r="BD312" s="183">
        <f>$AV$309/AW312</f>
        <v>1.9379999999999998E-3</v>
      </c>
      <c r="BE312" s="236"/>
      <c r="BP312" s="19"/>
      <c r="BQ312" s="16"/>
      <c r="BR312" s="420"/>
    </row>
    <row r="313" spans="1:70" ht="13.5" thickBot="1">
      <c r="B313" s="46"/>
      <c r="C313" s="46"/>
      <c r="E313" s="46"/>
      <c r="F313" s="46"/>
      <c r="G313" s="46"/>
      <c r="H313" s="26"/>
      <c r="I313" s="19"/>
      <c r="S313" s="573"/>
      <c r="T313" s="74"/>
      <c r="U313" s="19"/>
      <c r="V313" s="19"/>
      <c r="W313" s="19"/>
      <c r="X313" s="9"/>
      <c r="Z313" s="9"/>
      <c r="AA313" s="9"/>
      <c r="AB313" s="9"/>
      <c r="AC313" s="20"/>
      <c r="AD313" s="20"/>
      <c r="AE313" s="19"/>
      <c r="AU313" s="225" t="s">
        <v>2443</v>
      </c>
      <c r="AV313" s="20">
        <f ca="1">AV312/12</f>
        <v>4.5028912213740453</v>
      </c>
      <c r="AW313" s="224"/>
      <c r="AZ313" s="15"/>
      <c r="BA313" s="11"/>
      <c r="BB313" s="11"/>
      <c r="BC313" s="420"/>
      <c r="BE313" s="236"/>
      <c r="BP313" s="19"/>
      <c r="BQ313" s="16"/>
      <c r="BR313" s="420"/>
    </row>
    <row r="314" spans="1:70">
      <c r="A314" s="176"/>
      <c r="B314" s="46"/>
      <c r="C314" s="46"/>
      <c r="E314" s="46"/>
      <c r="F314" s="46"/>
      <c r="G314" s="46"/>
      <c r="H314" s="859"/>
      <c r="S314" s="573"/>
      <c r="T314" s="74"/>
      <c r="U314" s="19"/>
      <c r="V314" s="19"/>
      <c r="W314" s="19"/>
      <c r="X314" s="9"/>
      <c r="Z314" s="9"/>
      <c r="AA314" s="9"/>
      <c r="AB314" s="9"/>
      <c r="AC314" s="20"/>
      <c r="AD314" s="20"/>
      <c r="AE314" s="19"/>
      <c r="AT314" s="176" t="s">
        <v>2713</v>
      </c>
      <c r="AU314" s="729"/>
      <c r="AV314" s="708"/>
      <c r="AW314" s="224" t="s">
        <v>2745</v>
      </c>
      <c r="AX314" s="175" t="s">
        <v>2774</v>
      </c>
      <c r="AY314" s="420" t="s">
        <v>2746</v>
      </c>
      <c r="AZ314" s="420" t="s">
        <v>2747</v>
      </c>
      <c r="BA314" s="420" t="s">
        <v>2749</v>
      </c>
      <c r="BB314" s="420" t="s">
        <v>2750</v>
      </c>
      <c r="BE314" s="236"/>
      <c r="BP314" s="19"/>
      <c r="BR314" s="420"/>
    </row>
    <row r="315" spans="1:70">
      <c r="B315" s="46"/>
      <c r="C315" s="46"/>
      <c r="E315" s="46"/>
      <c r="F315" s="46"/>
      <c r="G315" s="46"/>
      <c r="H315" s="26"/>
      <c r="S315" s="573"/>
      <c r="T315" s="74"/>
      <c r="U315" s="19"/>
      <c r="V315" s="19"/>
      <c r="W315" s="19"/>
      <c r="X315" s="9"/>
      <c r="Z315" s="9"/>
      <c r="AA315" s="9"/>
      <c r="AB315" s="9"/>
      <c r="AC315" s="20"/>
      <c r="AD315" s="20"/>
      <c r="AE315" s="19"/>
      <c r="AT315" s="420">
        <f>ROUND(AV317*AV319,0)</f>
        <v>45</v>
      </c>
      <c r="AU315" s="709" t="s">
        <v>2497</v>
      </c>
      <c r="AV315" s="895">
        <v>1399</v>
      </c>
      <c r="AW315" s="224" t="s">
        <v>2744</v>
      </c>
      <c r="AX315" s="1408">
        <v>0.81</v>
      </c>
      <c r="AY315" s="26" t="s">
        <v>236</v>
      </c>
      <c r="AZ315" s="26" t="s">
        <v>236</v>
      </c>
      <c r="BA315" s="420" t="s">
        <v>236</v>
      </c>
      <c r="BB315" s="74" t="s">
        <v>236</v>
      </c>
      <c r="BE315" s="236"/>
      <c r="BP315" s="19"/>
      <c r="BR315" s="420"/>
    </row>
    <row r="316" spans="1:70">
      <c r="B316" s="46"/>
      <c r="C316" s="46"/>
      <c r="E316" s="46"/>
      <c r="F316" s="46"/>
      <c r="G316" s="46"/>
      <c r="H316" s="26"/>
      <c r="S316" s="573"/>
      <c r="T316" s="74"/>
      <c r="U316" s="19"/>
      <c r="V316" s="19"/>
      <c r="W316" s="19"/>
      <c r="X316" s="9"/>
      <c r="Z316" s="9"/>
      <c r="AA316" s="9"/>
      <c r="AB316" s="9"/>
      <c r="AC316" s="20"/>
      <c r="AD316" s="20"/>
      <c r="AE316" s="19"/>
      <c r="AT316" s="420">
        <f>ROUND(AV317*(1-AV319),0)</f>
        <v>47</v>
      </c>
      <c r="AU316" s="709" t="s">
        <v>2498</v>
      </c>
      <c r="AV316" s="895">
        <v>1468</v>
      </c>
      <c r="AW316" s="224">
        <v>500</v>
      </c>
      <c r="AX316" s="1408">
        <v>1.07</v>
      </c>
      <c r="AY316" s="26">
        <f>AX316-AX315</f>
        <v>0.26</v>
      </c>
      <c r="AZ316" s="26">
        <f>AX316-$AX$315</f>
        <v>0.26</v>
      </c>
      <c r="BA316" s="183">
        <f>AX316/AX315-1</f>
        <v>0.32098765432098775</v>
      </c>
      <c r="BB316" s="15">
        <f>AX316/$AX$315-1</f>
        <v>0.32098765432098775</v>
      </c>
      <c r="BE316" s="236"/>
    </row>
    <row r="317" spans="1:70">
      <c r="B317" s="46"/>
      <c r="C317" s="46"/>
      <c r="E317" s="46"/>
      <c r="F317" s="46"/>
      <c r="G317" s="46"/>
      <c r="H317" s="26"/>
      <c r="S317" s="573"/>
      <c r="T317" s="74"/>
      <c r="U317" s="19"/>
      <c r="V317" s="19"/>
      <c r="W317" s="19"/>
      <c r="X317" s="9"/>
      <c r="Z317" s="9"/>
      <c r="AA317" s="9"/>
      <c r="AB317" s="9"/>
      <c r="AC317" s="20"/>
      <c r="AD317" s="20"/>
      <c r="AE317" s="19"/>
      <c r="AU317" s="709" t="s">
        <v>2499</v>
      </c>
      <c r="AV317" s="1428">
        <v>92</v>
      </c>
      <c r="AW317" s="224">
        <v>3000</v>
      </c>
      <c r="AX317" s="1408">
        <v>1.17</v>
      </c>
      <c r="AY317" s="26">
        <f t="shared" ref="AY317:AY318" si="1156">AX317-AX316</f>
        <v>9.9999999999999867E-2</v>
      </c>
      <c r="AZ317" s="26">
        <f>AX317-$AX$315</f>
        <v>0.35999999999999988</v>
      </c>
      <c r="BA317" s="183">
        <f>AX317/AX316-1</f>
        <v>9.3457943925233433E-2</v>
      </c>
      <c r="BB317" s="15">
        <f>AX317/$AX$315-1</f>
        <v>0.4444444444444442</v>
      </c>
      <c r="BE317" s="236"/>
    </row>
    <row r="318" spans="1:70">
      <c r="B318" s="46"/>
      <c r="C318" s="46"/>
      <c r="E318" s="46"/>
      <c r="F318" s="46"/>
      <c r="G318" s="46"/>
      <c r="H318" s="26"/>
      <c r="S318" s="573"/>
      <c r="T318" s="74"/>
      <c r="U318" s="19"/>
      <c r="V318" s="19"/>
      <c r="W318" s="19"/>
      <c r="X318" s="9"/>
      <c r="Z318" s="9"/>
      <c r="AA318" s="9"/>
      <c r="AB318" s="9"/>
      <c r="AC318" s="20"/>
      <c r="AD318" s="20"/>
      <c r="AE318" s="19"/>
      <c r="AU318" s="709" t="s">
        <v>2681</v>
      </c>
      <c r="AV318" s="707">
        <f>SUM(AV315:AV317)</f>
        <v>2959</v>
      </c>
      <c r="AW318" s="224">
        <v>10000</v>
      </c>
      <c r="AX318" s="1408">
        <v>1.24</v>
      </c>
      <c r="AY318" s="26">
        <f t="shared" si="1156"/>
        <v>7.0000000000000062E-2</v>
      </c>
      <c r="AZ318" s="26">
        <f>AX318-$AX$315</f>
        <v>0.42999999999999994</v>
      </c>
      <c r="BA318" s="183">
        <f>AX318/AX317-1</f>
        <v>5.9829059829059839E-2</v>
      </c>
      <c r="BB318" s="15">
        <f>AX318/$AX$315-1</f>
        <v>0.53086419753086411</v>
      </c>
      <c r="BE318" s="236"/>
    </row>
    <row r="319" spans="1:70">
      <c r="B319" s="46"/>
      <c r="C319" s="46"/>
      <c r="E319" s="46"/>
      <c r="F319" s="46"/>
      <c r="G319" s="46"/>
      <c r="H319" s="26"/>
      <c r="S319" s="573"/>
      <c r="T319" s="74"/>
      <c r="U319" s="19"/>
      <c r="V319" s="19"/>
      <c r="W319" s="19"/>
      <c r="X319" s="9"/>
      <c r="Z319" s="9"/>
      <c r="AA319" s="9"/>
      <c r="AB319" s="9"/>
      <c r="AC319" s="20"/>
      <c r="AD319" s="20"/>
      <c r="AE319" s="19"/>
      <c r="AT319" s="420" t="s">
        <v>304</v>
      </c>
      <c r="AU319" s="709" t="s">
        <v>2682</v>
      </c>
      <c r="AV319" s="894">
        <f>AV315/(AV318-AV317)</f>
        <v>0.48796651552145098</v>
      </c>
      <c r="AW319" s="224"/>
      <c r="AZ319" s="15"/>
      <c r="BB319" s="11"/>
      <c r="BE319" s="236"/>
    </row>
    <row r="320" spans="1:70">
      <c r="B320" s="46"/>
      <c r="C320" s="46"/>
      <c r="E320" s="46"/>
      <c r="F320" s="46"/>
      <c r="G320" s="46"/>
      <c r="H320" s="26"/>
      <c r="S320" s="573"/>
      <c r="T320" s="74"/>
      <c r="U320" s="19"/>
      <c r="V320" s="19"/>
      <c r="W320" s="19"/>
      <c r="X320" s="9"/>
      <c r="Z320" s="9"/>
      <c r="AA320" s="9"/>
      <c r="AB320" s="9"/>
      <c r="AC320" s="20"/>
      <c r="AD320" s="20"/>
      <c r="AE320" s="19"/>
      <c r="AT320" s="420" t="s">
        <v>2640</v>
      </c>
      <c r="AU320" s="709" t="s">
        <v>2504</v>
      </c>
      <c r="AV320" s="990">
        <f>AV309/AV315</f>
        <v>1.3852751965689778E-2</v>
      </c>
      <c r="AW320" s="224" t="s">
        <v>2745</v>
      </c>
      <c r="AX320" s="175" t="s">
        <v>2775</v>
      </c>
      <c r="AY320" s="420" t="s">
        <v>2746</v>
      </c>
      <c r="AZ320" s="420" t="s">
        <v>2747</v>
      </c>
      <c r="BA320" s="420" t="s">
        <v>2749</v>
      </c>
      <c r="BB320" s="420" t="s">
        <v>2750</v>
      </c>
      <c r="BC320" s="420"/>
      <c r="BE320" s="236"/>
    </row>
    <row r="321" spans="2:57">
      <c r="B321" s="46"/>
      <c r="C321" s="46"/>
      <c r="E321" s="46"/>
      <c r="F321" s="46"/>
      <c r="G321" s="46"/>
      <c r="H321" s="26"/>
      <c r="S321" s="573"/>
      <c r="T321" s="74"/>
      <c r="U321" s="19"/>
      <c r="V321" s="19"/>
      <c r="W321" s="19"/>
      <c r="X321" s="9"/>
      <c r="Z321" s="9"/>
      <c r="AA321" s="9"/>
      <c r="AB321" s="9"/>
      <c r="AC321" s="20"/>
      <c r="AD321" s="20"/>
      <c r="AE321" s="19"/>
      <c r="AU321" s="709" t="s">
        <v>2505</v>
      </c>
      <c r="AV321" s="1429">
        <f ca="1">AV318/AV308</f>
        <v>22.587786259541986</v>
      </c>
      <c r="AW321" s="224" t="s">
        <v>2744</v>
      </c>
      <c r="AX321" s="1408">
        <v>1.88</v>
      </c>
      <c r="AY321" s="26" t="s">
        <v>236</v>
      </c>
      <c r="AZ321" s="26" t="s">
        <v>236</v>
      </c>
      <c r="BA321" s="420" t="s">
        <v>236</v>
      </c>
      <c r="BB321" s="74" t="s">
        <v>236</v>
      </c>
      <c r="BC321" s="420"/>
      <c r="BE321" s="236"/>
    </row>
    <row r="322" spans="2:57" ht="13.5" thickBot="1">
      <c r="B322" s="46"/>
      <c r="C322" s="46"/>
      <c r="E322" s="46"/>
      <c r="F322" s="46"/>
      <c r="G322" s="46"/>
      <c r="H322" s="26"/>
      <c r="S322" s="573"/>
      <c r="T322" s="74"/>
      <c r="U322" s="19"/>
      <c r="V322" s="19"/>
      <c r="W322" s="19"/>
      <c r="X322" s="9"/>
      <c r="Z322" s="9"/>
      <c r="AA322" s="9"/>
      <c r="AB322" s="9"/>
      <c r="AC322" s="20"/>
      <c r="AD322" s="20"/>
      <c r="AE322" s="19"/>
      <c r="AT322" s="420" t="s">
        <v>2640</v>
      </c>
      <c r="AU322" s="710" t="s">
        <v>2793</v>
      </c>
      <c r="AV322" s="1430">
        <f ca="1">AV315/AV308</f>
        <v>10.679389312977099</v>
      </c>
      <c r="AW322" s="224">
        <v>500</v>
      </c>
      <c r="AX322" s="1408">
        <v>2.48</v>
      </c>
      <c r="AY322" s="26">
        <f>AX322-AX321</f>
        <v>0.60000000000000009</v>
      </c>
      <c r="AZ322" s="26">
        <f>AX322-$AX$321</f>
        <v>0.60000000000000009</v>
      </c>
      <c r="BA322" s="183">
        <f>AX322/AX321-1</f>
        <v>0.31914893617021289</v>
      </c>
      <c r="BB322" s="15">
        <f>AX322/$AX$321-1</f>
        <v>0.31914893617021289</v>
      </c>
      <c r="BC322" s="46"/>
      <c r="BD322" s="183"/>
      <c r="BE322" s="236"/>
    </row>
    <row r="323" spans="2:57" ht="13.5" thickBot="1">
      <c r="B323" s="46"/>
      <c r="C323" s="46"/>
      <c r="E323" s="46"/>
      <c r="F323" s="46"/>
      <c r="G323" s="46"/>
      <c r="H323" s="26"/>
      <c r="S323" s="573"/>
      <c r="T323" s="74"/>
      <c r="U323" s="19"/>
      <c r="V323" s="19"/>
      <c r="W323" s="19"/>
      <c r="X323" s="9"/>
      <c r="Z323" s="9"/>
      <c r="AA323" s="9"/>
      <c r="AB323" s="9"/>
      <c r="AC323" s="20"/>
      <c r="AD323" s="20"/>
      <c r="AE323" s="19"/>
      <c r="AW323" s="224">
        <v>3000</v>
      </c>
      <c r="AX323" s="1408">
        <v>2.7</v>
      </c>
      <c r="AY323" s="26">
        <f t="shared" ref="AY323:AY324" si="1157">AX323-AX322</f>
        <v>0.2200000000000002</v>
      </c>
      <c r="AZ323" s="26">
        <f>AX323-$AX$321</f>
        <v>0.82000000000000028</v>
      </c>
      <c r="BA323" s="183">
        <f>AX323/AX322-1</f>
        <v>8.8709677419354982E-2</v>
      </c>
      <c r="BB323" s="15">
        <f>AX323/$AX$321-1</f>
        <v>0.43617021276595769</v>
      </c>
      <c r="BC323" s="46"/>
      <c r="BD323" s="183"/>
      <c r="BE323" s="236"/>
    </row>
    <row r="324" spans="2:57" ht="13.5" thickBot="1">
      <c r="B324" s="46"/>
      <c r="C324" s="46"/>
      <c r="E324" s="46"/>
      <c r="F324" s="46"/>
      <c r="G324" s="46"/>
      <c r="H324" s="26"/>
      <c r="S324" s="573"/>
      <c r="T324" s="74"/>
      <c r="U324" s="19"/>
      <c r="V324" s="19"/>
      <c r="W324" s="19"/>
      <c r="X324" s="9"/>
      <c r="Z324" s="9"/>
      <c r="AA324" s="9"/>
      <c r="AB324" s="9"/>
      <c r="AC324" s="20"/>
      <c r="AD324" s="20"/>
      <c r="AE324" s="19"/>
      <c r="AU324" s="638" t="s">
        <v>1278</v>
      </c>
      <c r="AV324" s="983"/>
      <c r="AW324" s="441">
        <v>10000</v>
      </c>
      <c r="AX324" s="1409">
        <v>2.85</v>
      </c>
      <c r="AY324" s="812">
        <f t="shared" si="1157"/>
        <v>0.14999999999999991</v>
      </c>
      <c r="AZ324" s="812">
        <f>AX324-$AX$321</f>
        <v>0.9700000000000002</v>
      </c>
      <c r="BA324" s="832">
        <f>AX324/AX323-1</f>
        <v>5.555555555555558E-2</v>
      </c>
      <c r="BB324" s="408">
        <f>AX324/$AX$321-1</f>
        <v>0.51595744680851086</v>
      </c>
      <c r="BC324" s="731"/>
      <c r="BD324" s="832"/>
      <c r="BE324" s="646"/>
    </row>
    <row r="325" spans="2:57" ht="13.5" thickBot="1">
      <c r="B325" s="46"/>
      <c r="C325" s="46"/>
      <c r="E325" s="46"/>
      <c r="F325" s="46"/>
      <c r="G325" s="46"/>
      <c r="H325" s="26"/>
      <c r="S325" s="573"/>
      <c r="T325" s="74"/>
      <c r="U325" s="19"/>
      <c r="V325" s="19"/>
      <c r="W325" s="19"/>
      <c r="X325" s="9"/>
      <c r="Z325" s="9"/>
      <c r="AA325" s="9"/>
      <c r="AB325" s="9"/>
      <c r="AC325" s="20"/>
      <c r="AD325" s="20"/>
      <c r="AE325" s="19"/>
      <c r="AT325" s="1458" t="s">
        <v>2851</v>
      </c>
      <c r="AU325" s="643" t="s">
        <v>143</v>
      </c>
      <c r="AV325" s="493">
        <v>100</v>
      </c>
      <c r="AW325" s="420"/>
      <c r="BA325" s="15"/>
      <c r="BC325" s="420"/>
    </row>
    <row r="326" spans="2:57" ht="13.5" thickBot="1">
      <c r="B326" s="46"/>
      <c r="C326" s="46"/>
      <c r="E326" s="46"/>
      <c r="F326" s="46"/>
      <c r="G326" s="46"/>
      <c r="H326" s="26"/>
      <c r="S326" s="573"/>
      <c r="T326" s="74"/>
      <c r="U326" s="19"/>
      <c r="V326" s="19"/>
      <c r="W326" s="19"/>
      <c r="X326" s="9"/>
      <c r="Z326" s="9"/>
      <c r="AA326" s="9"/>
      <c r="AB326" s="9"/>
      <c r="AC326" s="20"/>
      <c r="AD326" s="20"/>
      <c r="AE326" s="19"/>
      <c r="AT326" s="495">
        <v>35</v>
      </c>
      <c r="AU326" s="640">
        <f ca="1">(AV325-AV309)/AV311</f>
        <v>544.95459236326121</v>
      </c>
      <c r="AV326" s="641" t="s">
        <v>845</v>
      </c>
      <c r="AW326" s="217" t="s">
        <v>2782</v>
      </c>
      <c r="AX326" s="428"/>
      <c r="AY326" s="231" t="s">
        <v>2752</v>
      </c>
      <c r="AZ326" s="217" t="s">
        <v>2776</v>
      </c>
      <c r="BA326" s="217" t="s">
        <v>2776</v>
      </c>
      <c r="BB326" s="592" t="s">
        <v>2776</v>
      </c>
      <c r="BC326" s="420"/>
    </row>
    <row r="327" spans="2:57">
      <c r="B327" s="46"/>
      <c r="C327" s="46"/>
      <c r="E327" s="46"/>
      <c r="F327" s="46"/>
      <c r="G327" s="46"/>
      <c r="H327" s="26"/>
      <c r="S327" s="573"/>
      <c r="T327" s="74"/>
      <c r="U327" s="19"/>
      <c r="V327" s="19"/>
      <c r="W327" s="19"/>
      <c r="X327" s="9"/>
      <c r="Z327" s="9"/>
      <c r="AA327" s="9"/>
      <c r="AB327" s="9"/>
      <c r="AC327" s="20"/>
      <c r="AD327" s="20"/>
      <c r="AE327" s="19"/>
      <c r="AU327" s="640">
        <f ca="1">AU326/365.25</f>
        <v>1.4920043596530081</v>
      </c>
      <c r="AV327" s="591" t="s">
        <v>514</v>
      </c>
      <c r="AW327" s="420"/>
      <c r="AX327" s="420" t="s">
        <v>2807</v>
      </c>
      <c r="AY327" s="11" t="s">
        <v>2744</v>
      </c>
      <c r="AZ327" s="420">
        <v>500</v>
      </c>
      <c r="BA327" s="11">
        <v>3000</v>
      </c>
      <c r="BB327" s="236">
        <v>10000</v>
      </c>
      <c r="BC327" s="420"/>
    </row>
    <row r="328" spans="2:57">
      <c r="B328" s="46"/>
      <c r="C328" s="46"/>
      <c r="E328" s="46"/>
      <c r="F328" s="46"/>
      <c r="G328" s="46"/>
      <c r="H328" s="26"/>
      <c r="S328" s="573"/>
      <c r="T328" s="74"/>
      <c r="U328" s="19"/>
      <c r="V328" s="19"/>
      <c r="W328" s="19"/>
      <c r="X328" s="9"/>
      <c r="Z328" s="9"/>
      <c r="AA328" s="9"/>
      <c r="AB328" s="9"/>
      <c r="AC328" s="20"/>
      <c r="AD328" s="20"/>
      <c r="AE328" s="19"/>
      <c r="AU328" s="221">
        <f ca="1">TODAY()+365.25*AU327</f>
        <v>43316.954592363261</v>
      </c>
      <c r="AV328" s="591"/>
      <c r="AW328" s="175" t="s">
        <v>2773</v>
      </c>
      <c r="AX328" s="645">
        <v>70</v>
      </c>
      <c r="AY328" s="20">
        <f>$AX$328*AX309</f>
        <v>17.5</v>
      </c>
      <c r="AZ328" s="20">
        <f>$AX$328*AX310</f>
        <v>23.1</v>
      </c>
      <c r="BA328" s="20">
        <f>$AX$328*AX311</f>
        <v>25.2</v>
      </c>
      <c r="BB328" s="186">
        <f>$AX$328*AX312</f>
        <v>26.6</v>
      </c>
      <c r="BC328" s="420"/>
    </row>
    <row r="329" spans="2:57">
      <c r="B329" s="46"/>
      <c r="C329" s="46"/>
      <c r="E329" s="46"/>
      <c r="F329" s="46"/>
      <c r="G329" s="46"/>
      <c r="H329" s="26"/>
      <c r="S329" s="573"/>
      <c r="T329" s="74"/>
      <c r="U329" s="19"/>
      <c r="V329" s="19"/>
      <c r="W329" s="19"/>
      <c r="X329" s="9"/>
      <c r="Z329" s="9"/>
      <c r="AA329" s="9"/>
      <c r="AB329" s="9"/>
      <c r="AC329" s="20"/>
      <c r="AD329" s="20"/>
      <c r="AE329" s="19"/>
      <c r="AU329" s="224"/>
      <c r="AV329" s="236"/>
      <c r="AW329" s="175" t="s">
        <v>2774</v>
      </c>
      <c r="AX329" s="645">
        <v>0</v>
      </c>
      <c r="AY329" s="19">
        <f>$AX$329*AX315</f>
        <v>0</v>
      </c>
      <c r="AZ329" s="19">
        <f>$AX$329*AX316</f>
        <v>0</v>
      </c>
      <c r="BA329" s="19">
        <f>$AX$329*AX317</f>
        <v>0</v>
      </c>
      <c r="BB329" s="234">
        <f>$AX$329*AX318</f>
        <v>0</v>
      </c>
      <c r="BC329" s="420"/>
    </row>
    <row r="330" spans="2:57">
      <c r="B330" s="46"/>
      <c r="C330" s="46"/>
      <c r="E330" s="46"/>
      <c r="F330" s="46"/>
      <c r="G330" s="46"/>
      <c r="H330" s="26"/>
      <c r="S330" s="573"/>
      <c r="T330" s="74"/>
      <c r="U330" s="19"/>
      <c r="V330" s="19"/>
      <c r="W330" s="19"/>
      <c r="X330" s="9"/>
      <c r="Z330" s="9"/>
      <c r="AA330" s="9"/>
      <c r="AB330" s="9"/>
      <c r="AC330" s="20"/>
      <c r="AD330" s="20"/>
      <c r="AE330" s="19"/>
      <c r="AU330" s="224" t="s">
        <v>2708</v>
      </c>
      <c r="AV330" s="236" t="s">
        <v>1096</v>
      </c>
      <c r="AW330" s="175" t="s">
        <v>2775</v>
      </c>
      <c r="AX330" s="645">
        <v>1</v>
      </c>
      <c r="AY330" s="19">
        <f>$AX$330*AX321</f>
        <v>1.88</v>
      </c>
      <c r="AZ330" s="19">
        <f>$AX$330*AX322</f>
        <v>2.48</v>
      </c>
      <c r="BA330" s="19">
        <f>$AX$330*AX323</f>
        <v>2.7</v>
      </c>
      <c r="BB330" s="234">
        <f>$AX$330*AX324</f>
        <v>2.85</v>
      </c>
      <c r="BC330" s="420"/>
    </row>
    <row r="331" spans="2:57">
      <c r="B331" s="46"/>
      <c r="C331" s="46"/>
      <c r="E331" s="46"/>
      <c r="F331" s="46"/>
      <c r="G331" s="46"/>
      <c r="H331" s="26"/>
      <c r="S331" s="573"/>
      <c r="T331" s="74"/>
      <c r="U331" s="19"/>
      <c r="V331" s="19"/>
      <c r="W331" s="19"/>
      <c r="X331" s="9"/>
      <c r="Z331" s="9"/>
      <c r="AA331" s="9"/>
      <c r="AB331" s="9"/>
      <c r="AC331" s="20"/>
      <c r="AD331" s="20"/>
      <c r="AE331" s="19"/>
      <c r="AU331" s="564">
        <v>100</v>
      </c>
      <c r="AV331" s="234">
        <f>AU331*12</f>
        <v>1200</v>
      </c>
      <c r="AW331" s="420"/>
      <c r="AX331" s="7">
        <f>SUM(AX328:AX330)</f>
        <v>71</v>
      </c>
      <c r="AY331" s="21">
        <f>SUM(AY328:AY330)</f>
        <v>19.38</v>
      </c>
      <c r="AZ331" s="21">
        <f t="shared" ref="AZ331:BB331" si="1158">SUM(AZ328:AZ330)</f>
        <v>25.580000000000002</v>
      </c>
      <c r="BA331" s="21">
        <f t="shared" si="1158"/>
        <v>27.9</v>
      </c>
      <c r="BB331" s="909">
        <f t="shared" si="1158"/>
        <v>29.450000000000003</v>
      </c>
      <c r="BC331" s="420"/>
    </row>
    <row r="332" spans="2:57" ht="13.5" thickBot="1">
      <c r="B332" s="46"/>
      <c r="C332" s="46"/>
      <c r="E332" s="46"/>
      <c r="F332" s="46"/>
      <c r="G332" s="46"/>
      <c r="H332" s="26"/>
      <c r="X332" s="9"/>
      <c r="Z332" s="9"/>
      <c r="AA332" s="9"/>
      <c r="AB332" s="9"/>
      <c r="AC332" s="20"/>
      <c r="AD332" s="20"/>
      <c r="AE332" s="19"/>
      <c r="AU332" s="224"/>
      <c r="AV332" s="236"/>
      <c r="AW332" s="238"/>
      <c r="AX332" s="238"/>
      <c r="AY332" s="408" t="s">
        <v>1652</v>
      </c>
      <c r="AZ332" s="432">
        <f>AZ331-AY331</f>
        <v>6.2000000000000028</v>
      </c>
      <c r="BA332" s="432">
        <f>BA331-AY331</f>
        <v>8.52</v>
      </c>
      <c r="BB332" s="223">
        <f>BB331-AY331</f>
        <v>10.070000000000004</v>
      </c>
      <c r="BC332" s="420"/>
    </row>
    <row r="333" spans="2:57" ht="13.5" thickBot="1">
      <c r="B333" s="46"/>
      <c r="C333" s="46"/>
      <c r="E333" s="46"/>
      <c r="F333" s="46"/>
      <c r="G333" s="46"/>
      <c r="H333" s="26"/>
      <c r="Z333" s="9"/>
      <c r="AA333" s="9"/>
      <c r="AB333" s="9"/>
      <c r="AC333" s="20"/>
      <c r="AD333" s="20"/>
      <c r="AE333" s="19"/>
      <c r="AU333" s="445" t="s">
        <v>2709</v>
      </c>
      <c r="AV333" s="236"/>
      <c r="AW333" s="420"/>
      <c r="AZ333" s="15"/>
      <c r="BC333" s="420"/>
    </row>
    <row r="334" spans="2:57">
      <c r="B334" s="46"/>
      <c r="C334" s="46"/>
      <c r="E334" s="46"/>
      <c r="F334" s="46"/>
      <c r="G334" s="46"/>
      <c r="H334" s="26"/>
      <c r="Z334" s="9"/>
      <c r="AA334" s="9"/>
      <c r="AB334" s="9"/>
      <c r="AC334" s="20"/>
      <c r="AD334" s="20"/>
      <c r="AE334" s="19"/>
      <c r="AU334" s="224" t="s">
        <v>2497</v>
      </c>
      <c r="AV334" s="453">
        <f ca="1">($AU$331/$AV$313)*AV315</f>
        <v>31068.927300737658</v>
      </c>
      <c r="AW334" s="217" t="s">
        <v>2779</v>
      </c>
      <c r="AX334" s="428"/>
      <c r="AY334" s="428"/>
      <c r="AZ334" s="429"/>
      <c r="BA334" s="231" t="s">
        <v>2752</v>
      </c>
      <c r="BB334" s="217" t="s">
        <v>2785</v>
      </c>
      <c r="BC334" s="217" t="s">
        <v>2785</v>
      </c>
      <c r="BD334" s="217" t="s">
        <v>2785</v>
      </c>
    </row>
    <row r="335" spans="2:57">
      <c r="B335" s="46"/>
      <c r="C335" s="46"/>
      <c r="E335" s="46"/>
      <c r="F335" s="46"/>
      <c r="G335" s="46"/>
      <c r="H335" s="26"/>
      <c r="Z335" s="9"/>
      <c r="AA335" s="9"/>
      <c r="AB335" s="9"/>
      <c r="AC335" s="20"/>
      <c r="AD335" s="20"/>
      <c r="AE335" s="19"/>
      <c r="AU335" s="224" t="s">
        <v>2498</v>
      </c>
      <c r="AV335" s="453">
        <f ca="1">($AU$331/$AV$313)*AV316</f>
        <v>32601.276109708993</v>
      </c>
      <c r="AW335" s="420"/>
      <c r="AY335" s="420" t="s">
        <v>2778</v>
      </c>
      <c r="AZ335" s="420" t="s">
        <v>2777</v>
      </c>
      <c r="BA335" s="11" t="s">
        <v>2744</v>
      </c>
      <c r="BB335" s="420">
        <v>500</v>
      </c>
      <c r="BC335" s="11">
        <v>3000</v>
      </c>
      <c r="BD335" s="236">
        <v>10000</v>
      </c>
    </row>
    <row r="336" spans="2:57">
      <c r="B336" s="46"/>
      <c r="C336" s="46"/>
      <c r="E336" s="46"/>
      <c r="F336" s="46"/>
      <c r="G336" s="46"/>
      <c r="H336" s="26"/>
      <c r="Z336" s="9"/>
      <c r="AA336" s="9"/>
      <c r="AB336" s="9"/>
      <c r="AC336" s="20"/>
      <c r="AD336" s="20"/>
      <c r="AE336" s="19"/>
      <c r="AU336" s="224" t="s">
        <v>2499</v>
      </c>
      <c r="AV336" s="453">
        <f ca="1">($AU$331/$AV$313)*AV317</f>
        <v>2043.1317452951139</v>
      </c>
      <c r="AW336" s="420" t="s">
        <v>2780</v>
      </c>
      <c r="AX336" s="175" t="s">
        <v>2773</v>
      </c>
      <c r="AY336" s="15">
        <f>AX328/$AX$331</f>
        <v>0.9859154929577465</v>
      </c>
      <c r="AZ336" s="12">
        <f>$AW$337*AY336</f>
        <v>98.591549295774655</v>
      </c>
      <c r="BA336" s="19">
        <f>$AZ$336*$AX$309</f>
        <v>24.647887323943664</v>
      </c>
      <c r="BB336" s="19">
        <f>$AZ$336*$AX$310</f>
        <v>32.535211267605639</v>
      </c>
      <c r="BC336" s="19">
        <f>$AZ$336*$AX$311</f>
        <v>35.492957746478872</v>
      </c>
      <c r="BD336" s="234">
        <f>$AZ$336*$AX$312</f>
        <v>37.464788732394368</v>
      </c>
    </row>
    <row r="337" spans="2:60">
      <c r="B337" s="46"/>
      <c r="C337" s="46"/>
      <c r="E337" s="46"/>
      <c r="F337" s="46"/>
      <c r="G337" s="46"/>
      <c r="H337" s="26"/>
      <c r="Z337" s="9"/>
      <c r="AA337" s="9"/>
      <c r="AB337" s="9"/>
      <c r="AC337" s="20"/>
      <c r="AD337" s="20"/>
      <c r="AE337" s="19"/>
      <c r="AU337" s="224" t="s">
        <v>2681</v>
      </c>
      <c r="AV337" s="453">
        <f ca="1">($AU$331/$AV$313)*AV318</f>
        <v>65713.335155741763</v>
      </c>
      <c r="AW337" s="715">
        <v>100</v>
      </c>
      <c r="AX337" s="175" t="s">
        <v>2774</v>
      </c>
      <c r="AY337" s="15">
        <f>AX329/$AX$331</f>
        <v>0</v>
      </c>
      <c r="AZ337" s="12">
        <f>$AW$337*AY337</f>
        <v>0</v>
      </c>
      <c r="BA337" s="19">
        <f>$AZ$337*$AX$315</f>
        <v>0</v>
      </c>
      <c r="BB337" s="19">
        <f>$AZ$337*$AX$316</f>
        <v>0</v>
      </c>
      <c r="BC337" s="19">
        <f>$AZ$337*$AX$317</f>
        <v>0</v>
      </c>
      <c r="BD337" s="234">
        <f>$AZ$337*$AX$318</f>
        <v>0</v>
      </c>
    </row>
    <row r="338" spans="2:60">
      <c r="B338" s="46"/>
      <c r="C338" s="46"/>
      <c r="E338" s="46"/>
      <c r="F338" s="46"/>
      <c r="G338" s="46"/>
      <c r="H338" s="26"/>
      <c r="Z338" s="9"/>
      <c r="AA338" s="9"/>
      <c r="AB338" s="9"/>
      <c r="AC338" s="20"/>
      <c r="AD338" s="20"/>
      <c r="AE338" s="19"/>
      <c r="AU338" s="224"/>
      <c r="AV338" s="236"/>
      <c r="AW338" s="420"/>
      <c r="AX338" s="175" t="s">
        <v>2775</v>
      </c>
      <c r="AY338" s="15">
        <f>AX330/$AX$331</f>
        <v>1.4084507042253521E-2</v>
      </c>
      <c r="AZ338" s="12">
        <f>$AW$337*AY338</f>
        <v>1.4084507042253522</v>
      </c>
      <c r="BA338" s="19">
        <f>$AZ$338*$AX$321</f>
        <v>2.647887323943662</v>
      </c>
      <c r="BB338" s="19">
        <f>$AZ$338*$AX$322</f>
        <v>3.4929577464788735</v>
      </c>
      <c r="BC338" s="19">
        <f>$AZ$338*$AX$323</f>
        <v>3.8028169014084514</v>
      </c>
      <c r="BD338" s="234">
        <f>$AZ$338*$AX$324</f>
        <v>4.0140845070422539</v>
      </c>
    </row>
    <row r="339" spans="2:60">
      <c r="B339" s="46"/>
      <c r="C339" s="46"/>
      <c r="E339" s="46"/>
      <c r="F339" s="46"/>
      <c r="G339" s="46"/>
      <c r="H339" s="26"/>
      <c r="Z339" s="9"/>
      <c r="AA339" s="9"/>
      <c r="AB339" s="9"/>
      <c r="AC339" s="20"/>
      <c r="AD339" s="20"/>
      <c r="AE339" s="19"/>
      <c r="AU339" s="224" t="s">
        <v>2753</v>
      </c>
      <c r="AV339" s="236" t="s">
        <v>2755</v>
      </c>
      <c r="AW339" s="420"/>
      <c r="AY339" s="18">
        <f>SUM(AY336:AY338)</f>
        <v>1</v>
      </c>
      <c r="AZ339" s="1410">
        <f>SUM(AZ336:AZ338)</f>
        <v>100.00000000000001</v>
      </c>
      <c r="BA339" s="1411">
        <f t="shared" ref="BA339:BD339" si="1159">SUM(BA336:BA338)</f>
        <v>27.295774647887328</v>
      </c>
      <c r="BB339" s="1411">
        <f t="shared" si="1159"/>
        <v>36.028169014084511</v>
      </c>
      <c r="BC339" s="1411">
        <f t="shared" si="1159"/>
        <v>39.29577464788732</v>
      </c>
      <c r="BD339" s="1412">
        <f t="shared" si="1159"/>
        <v>41.478873239436624</v>
      </c>
    </row>
    <row r="340" spans="2:60">
      <c r="B340" s="46"/>
      <c r="C340" s="46"/>
      <c r="E340" s="46"/>
      <c r="F340" s="46"/>
      <c r="G340" s="46"/>
      <c r="H340" s="26"/>
      <c r="Z340" s="9"/>
      <c r="AA340" s="9"/>
      <c r="AB340" s="9"/>
      <c r="AC340" s="20"/>
      <c r="AD340" s="20"/>
      <c r="AE340" s="19"/>
      <c r="AU340" s="569">
        <f ca="1">AV337-AV318</f>
        <v>62754.335155741763</v>
      </c>
      <c r="AV340" s="453">
        <f ca="1">AU340/AU343</f>
        <v>171.81200590209929</v>
      </c>
      <c r="AW340" s="420"/>
      <c r="AZ340" s="15"/>
      <c r="BA340" s="15" t="s">
        <v>1652</v>
      </c>
      <c r="BB340" s="19">
        <f>BB339-BA339</f>
        <v>8.7323943661971839</v>
      </c>
      <c r="BC340" s="19">
        <f>BC339-BA339</f>
        <v>11.999999999999993</v>
      </c>
      <c r="BD340" s="186">
        <f>BD339-BA339</f>
        <v>14.183098591549296</v>
      </c>
      <c r="BH340" s="26"/>
    </row>
    <row r="341" spans="2:60" ht="13.5" thickBot="1">
      <c r="B341" s="46"/>
      <c r="C341" s="46"/>
      <c r="E341" s="46"/>
      <c r="F341" s="46"/>
      <c r="G341" s="46"/>
      <c r="H341" s="26"/>
      <c r="Z341" s="9"/>
      <c r="AA341" s="9"/>
      <c r="AB341" s="9"/>
      <c r="AC341" s="20"/>
      <c r="AD341" s="20"/>
      <c r="AE341" s="19"/>
      <c r="AU341" s="569"/>
      <c r="AV341" s="236"/>
      <c r="AW341" s="238"/>
      <c r="AX341" s="238"/>
      <c r="AY341" s="238"/>
      <c r="AZ341" s="1413" t="s">
        <v>2781</v>
      </c>
      <c r="BA341" s="432">
        <f>$AV$309+BA339</f>
        <v>46.675774647887323</v>
      </c>
      <c r="BB341" s="432">
        <f>$AV$309+BB339</f>
        <v>55.408169014084507</v>
      </c>
      <c r="BC341" s="432">
        <f>$AV$309+BC339</f>
        <v>58.675774647887323</v>
      </c>
      <c r="BD341" s="232">
        <f>$AV$309+BD339</f>
        <v>60.858873239436619</v>
      </c>
      <c r="BH341" s="26"/>
    </row>
    <row r="342" spans="2:60">
      <c r="E342" s="46"/>
      <c r="F342" s="46"/>
      <c r="G342" s="46"/>
      <c r="H342" s="26"/>
      <c r="Z342" s="9"/>
      <c r="AA342" s="9"/>
      <c r="AB342" s="9"/>
      <c r="AC342" s="20"/>
      <c r="AD342" s="20"/>
      <c r="AE342" s="19"/>
      <c r="AU342" s="569" t="s">
        <v>2754</v>
      </c>
      <c r="AV342" s="236" t="s">
        <v>10</v>
      </c>
      <c r="BH342" s="26"/>
    </row>
    <row r="343" spans="2:60">
      <c r="E343" s="46"/>
      <c r="F343" s="46"/>
      <c r="G343" s="46"/>
      <c r="H343" s="26"/>
      <c r="Z343" s="9"/>
      <c r="AA343" s="9"/>
      <c r="AB343" s="9"/>
      <c r="AC343" s="20"/>
      <c r="AD343" s="20"/>
      <c r="AE343" s="19"/>
      <c r="AU343" s="559">
        <v>365.25</v>
      </c>
      <c r="AV343" s="714">
        <f ca="1">TODAY()+AU343</f>
        <v>43137.25</v>
      </c>
      <c r="AW343" s="176" t="s">
        <v>2786</v>
      </c>
      <c r="AX343" s="176" t="s">
        <v>2790</v>
      </c>
      <c r="BD343" s="11"/>
    </row>
    <row r="344" spans="2:60">
      <c r="E344" s="46"/>
      <c r="F344" s="46"/>
      <c r="G344" s="46"/>
      <c r="H344" s="26"/>
      <c r="Z344" s="9"/>
      <c r="AA344" s="9"/>
      <c r="AB344" s="9"/>
      <c r="AC344" s="20"/>
      <c r="AD344" s="20"/>
      <c r="AE344" s="19"/>
      <c r="AU344" s="709"/>
      <c r="AV344" s="654"/>
      <c r="AW344" s="176" t="s">
        <v>2787</v>
      </c>
      <c r="AX344" s="176" t="s">
        <v>2791</v>
      </c>
    </row>
    <row r="345" spans="2:60">
      <c r="E345" s="46"/>
      <c r="F345" s="46"/>
      <c r="G345" s="46"/>
      <c r="H345" s="26"/>
      <c r="Z345" s="9"/>
      <c r="AA345" s="9"/>
      <c r="AB345" s="9"/>
      <c r="AC345" s="20"/>
      <c r="AE345" s="19"/>
      <c r="AU345" s="224" t="s">
        <v>2756</v>
      </c>
      <c r="AV345" s="591" t="s">
        <v>2784</v>
      </c>
      <c r="AW345" s="176" t="s">
        <v>2788</v>
      </c>
      <c r="AX345" s="176" t="s">
        <v>2792</v>
      </c>
    </row>
    <row r="346" spans="2:60" ht="13.5" thickBot="1">
      <c r="E346" s="46"/>
      <c r="F346" s="46"/>
      <c r="G346" s="46"/>
      <c r="H346" s="26"/>
      <c r="Z346" s="9"/>
      <c r="AA346" s="9"/>
      <c r="AB346" s="9"/>
      <c r="AC346" s="20"/>
      <c r="AU346" s="1414">
        <f ca="1">AV334-AV315</f>
        <v>29669.927300737658</v>
      </c>
      <c r="AV346" s="1389">
        <f ca="1">AU346/AU343</f>
        <v>81.231833814476815</v>
      </c>
      <c r="AW346" s="176" t="s">
        <v>2789</v>
      </c>
      <c r="AX346" s="176" t="s">
        <v>2829</v>
      </c>
    </row>
    <row r="347" spans="2:60">
      <c r="E347" s="46"/>
      <c r="F347" s="46"/>
      <c r="G347" s="46"/>
      <c r="H347" s="26"/>
      <c r="Z347" s="9"/>
      <c r="AA347" s="9"/>
      <c r="AB347" s="9"/>
    </row>
    <row r="348" spans="2:60" ht="13.5" thickBot="1">
      <c r="E348" s="46"/>
      <c r="F348" s="46"/>
      <c r="G348" s="46"/>
      <c r="H348" s="26"/>
      <c r="Z348" s="9"/>
      <c r="AA348" s="9"/>
      <c r="AB348" s="9"/>
      <c r="AT348" s="420" t="s">
        <v>514</v>
      </c>
    </row>
    <row r="349" spans="2:60">
      <c r="E349" s="46"/>
      <c r="F349" s="46"/>
      <c r="G349" s="46"/>
      <c r="H349" s="26"/>
      <c r="Z349" s="9"/>
      <c r="AA349" s="9"/>
      <c r="AB349" s="9"/>
      <c r="AT349" s="16">
        <f ca="1">AV350/365.25</f>
        <v>1.6427104722792608E-2</v>
      </c>
      <c r="AU349" s="989" t="s">
        <v>2441</v>
      </c>
      <c r="AV349" s="1449" t="s">
        <v>2821</v>
      </c>
      <c r="AW349" s="216" t="s">
        <v>2727</v>
      </c>
      <c r="AX349" s="428"/>
      <c r="AY349" s="217" t="s">
        <v>2808</v>
      </c>
      <c r="AZ349" s="428"/>
      <c r="BA349" s="428"/>
      <c r="BB349" s="235"/>
    </row>
    <row r="350" spans="2:60">
      <c r="E350" s="46"/>
      <c r="F350" s="46"/>
      <c r="G350" s="46"/>
      <c r="H350" s="26"/>
      <c r="Z350" s="9"/>
      <c r="AA350" s="9"/>
      <c r="AB350" s="9"/>
      <c r="AU350" s="219">
        <v>42766</v>
      </c>
      <c r="AV350" s="65">
        <f ca="1">DATEDIF(AU350,A4,"D")</f>
        <v>6</v>
      </c>
      <c r="AW350" s="445" t="s">
        <v>2805</v>
      </c>
      <c r="AX350" s="7" t="s">
        <v>2806</v>
      </c>
      <c r="AY350" s="648">
        <f>33/100</f>
        <v>0.33</v>
      </c>
      <c r="AZ350" s="7" t="s">
        <v>2822</v>
      </c>
      <c r="BA350" s="7" t="s">
        <v>2778</v>
      </c>
      <c r="BB350" s="632" t="s">
        <v>2847</v>
      </c>
    </row>
    <row r="351" spans="2:60">
      <c r="E351" s="46"/>
      <c r="F351" s="46"/>
      <c r="G351" s="46"/>
      <c r="H351" s="26"/>
      <c r="AU351" s="219" t="s">
        <v>456</v>
      </c>
      <c r="AV351" s="30">
        <v>0</v>
      </c>
      <c r="AW351" s="1457" t="s">
        <v>2801</v>
      </c>
      <c r="AX351" s="30">
        <v>19</v>
      </c>
      <c r="AY351" s="19">
        <f>$AY$350*AX351</f>
        <v>6.2700000000000005</v>
      </c>
      <c r="AZ351" s="645">
        <v>0</v>
      </c>
      <c r="BA351" s="15" t="e">
        <f>AZ351/$AZ$355</f>
        <v>#DIV/0!</v>
      </c>
      <c r="BB351" s="234">
        <f>AZ351*AY351</f>
        <v>0</v>
      </c>
    </row>
    <row r="352" spans="2:60">
      <c r="E352" s="46"/>
      <c r="F352" s="46"/>
      <c r="G352" s="46"/>
      <c r="H352" s="26"/>
      <c r="AU352" s="224" t="s">
        <v>2783</v>
      </c>
      <c r="AV352" s="16">
        <f ca="1">AZ355/AV350</f>
        <v>0</v>
      </c>
      <c r="AW352" s="1457" t="s">
        <v>2802</v>
      </c>
      <c r="AX352" s="30">
        <v>49</v>
      </c>
      <c r="AY352" s="19">
        <f>$AY$350*AX352</f>
        <v>16.170000000000002</v>
      </c>
      <c r="AZ352" s="645">
        <v>0</v>
      </c>
      <c r="BA352" s="15" t="e">
        <f>AZ352/$AZ$355</f>
        <v>#DIV/0!</v>
      </c>
      <c r="BB352" s="234">
        <f t="shared" ref="BB352:BB354" si="1160">AZ352*AY352</f>
        <v>0</v>
      </c>
    </row>
    <row r="353" spans="5:54">
      <c r="E353" s="46"/>
      <c r="F353" s="46"/>
      <c r="G353" s="46"/>
      <c r="H353" s="26"/>
      <c r="AT353" s="19"/>
      <c r="AU353" s="221" t="s">
        <v>434</v>
      </c>
      <c r="AV353" s="29">
        <f ca="1">AV351/AV350</f>
        <v>0</v>
      </c>
      <c r="AW353" s="1457" t="s">
        <v>2803</v>
      </c>
      <c r="AX353" s="30">
        <v>79</v>
      </c>
      <c r="AY353" s="19">
        <f>$AY$350*AX353</f>
        <v>26.07</v>
      </c>
      <c r="AZ353" s="645">
        <v>0</v>
      </c>
      <c r="BA353" s="15" t="e">
        <f>AZ353/$AZ$355</f>
        <v>#DIV/0!</v>
      </c>
      <c r="BB353" s="234">
        <f t="shared" si="1160"/>
        <v>0</v>
      </c>
    </row>
    <row r="354" spans="5:54">
      <c r="E354" s="46"/>
      <c r="F354" s="46"/>
      <c r="G354" s="46"/>
      <c r="H354" s="26"/>
      <c r="AU354" s="225" t="s">
        <v>2442</v>
      </c>
      <c r="AV354" s="20">
        <f ca="1">AV353*365.25</f>
        <v>0</v>
      </c>
      <c r="AW354" s="224" t="s">
        <v>2804</v>
      </c>
      <c r="AX354" s="30">
        <v>199</v>
      </c>
      <c r="AY354" s="19">
        <f>$AY$350*AX354</f>
        <v>65.67</v>
      </c>
      <c r="AZ354" s="645">
        <v>0</v>
      </c>
      <c r="BA354" s="15" t="e">
        <f>AZ354/$AZ$355</f>
        <v>#DIV/0!</v>
      </c>
      <c r="BB354" s="234">
        <f t="shared" si="1160"/>
        <v>0</v>
      </c>
    </row>
    <row r="355" spans="5:54">
      <c r="E355" s="46"/>
      <c r="F355" s="46"/>
      <c r="G355" s="46"/>
      <c r="H355" s="26"/>
      <c r="AU355" s="225" t="s">
        <v>2443</v>
      </c>
      <c r="AV355" s="20">
        <f ca="1">AV354/12</f>
        <v>0</v>
      </c>
      <c r="AW355" s="709"/>
      <c r="AZ355" s="7">
        <f>SUM(AZ351:AZ354)</f>
        <v>0</v>
      </c>
      <c r="BA355" s="18" t="e">
        <f>AZ355/$AZ$355</f>
        <v>#DIV/0!</v>
      </c>
      <c r="BB355" s="909">
        <f>SUM(BB351:BB354)</f>
        <v>0</v>
      </c>
    </row>
    <row r="356" spans="5:54">
      <c r="E356" s="46"/>
      <c r="F356" s="46"/>
      <c r="G356" s="46"/>
      <c r="H356" s="26"/>
      <c r="AT356" s="176" t="s">
        <v>2713</v>
      </c>
      <c r="AU356" s="709"/>
      <c r="AW356" s="445" t="s">
        <v>2825</v>
      </c>
      <c r="AX356" s="7" t="s">
        <v>2805</v>
      </c>
      <c r="AY356" s="7" t="s">
        <v>2777</v>
      </c>
      <c r="AZ356" s="7" t="s">
        <v>2785</v>
      </c>
      <c r="BB356" s="236"/>
    </row>
    <row r="357" spans="5:54">
      <c r="E357" s="46"/>
      <c r="F357" s="46"/>
      <c r="G357" s="46"/>
      <c r="H357" s="26"/>
      <c r="AT357" s="420">
        <f>ROUND(AV359*AV361,0)</f>
        <v>10</v>
      </c>
      <c r="AU357" s="709" t="s">
        <v>2497</v>
      </c>
      <c r="AV357" s="895">
        <v>29</v>
      </c>
      <c r="AW357" s="916">
        <v>100</v>
      </c>
      <c r="AX357" s="183" t="s">
        <v>2801</v>
      </c>
      <c r="AY357" s="593" t="e">
        <f>$AW$357*BA351</f>
        <v>#DIV/0!</v>
      </c>
      <c r="AZ357" s="19" t="e">
        <f>AY357*AY351</f>
        <v>#DIV/0!</v>
      </c>
      <c r="BB357" s="236"/>
    </row>
    <row r="358" spans="5:54">
      <c r="E358" s="46"/>
      <c r="F358" s="46"/>
      <c r="G358" s="46"/>
      <c r="H358" s="26"/>
      <c r="AT358" s="420">
        <f>ROUND(AV359*(1-AV361),0)</f>
        <v>13</v>
      </c>
      <c r="AU358" s="709" t="s">
        <v>2498</v>
      </c>
      <c r="AV358" s="895">
        <v>36</v>
      </c>
      <c r="AW358" s="709"/>
      <c r="AX358" s="183" t="s">
        <v>2802</v>
      </c>
      <c r="AY358" s="593" t="e">
        <f>$AW$357*BA352</f>
        <v>#DIV/0!</v>
      </c>
      <c r="AZ358" s="19" t="e">
        <f>AY358*AY352</f>
        <v>#DIV/0!</v>
      </c>
      <c r="BB358" s="236"/>
    </row>
    <row r="359" spans="5:54">
      <c r="E359" s="46"/>
      <c r="F359" s="46"/>
      <c r="G359" s="46"/>
      <c r="H359" s="26"/>
      <c r="AU359" s="709" t="s">
        <v>2499</v>
      </c>
      <c r="AV359" s="1428">
        <v>23</v>
      </c>
      <c r="AW359" s="709"/>
      <c r="AX359" s="183" t="s">
        <v>2803</v>
      </c>
      <c r="AY359" s="593" t="e">
        <f>$AW$357*BA353</f>
        <v>#DIV/0!</v>
      </c>
      <c r="AZ359" s="19" t="e">
        <f>AY359*AY353</f>
        <v>#DIV/0!</v>
      </c>
      <c r="BB359" s="236"/>
    </row>
    <row r="360" spans="5:54">
      <c r="E360" s="46"/>
      <c r="F360" s="46"/>
      <c r="G360" s="46"/>
      <c r="H360" s="26"/>
      <c r="AU360" s="709" t="s">
        <v>2681</v>
      </c>
      <c r="AV360" s="707">
        <f>SUM(AV357:AV359)</f>
        <v>88</v>
      </c>
      <c r="AW360" s="709"/>
      <c r="AX360" s="420" t="s">
        <v>2804</v>
      </c>
      <c r="AY360" s="593" t="e">
        <f>$AW$357*BA354</f>
        <v>#DIV/0!</v>
      </c>
      <c r="AZ360" s="19" t="e">
        <f>AY360*AY354</f>
        <v>#DIV/0!</v>
      </c>
      <c r="BB360" s="236"/>
    </row>
    <row r="361" spans="5:54">
      <c r="E361" s="46"/>
      <c r="F361" s="46"/>
      <c r="G361" s="46"/>
      <c r="H361" s="26"/>
      <c r="AT361" s="420" t="s">
        <v>304</v>
      </c>
      <c r="AU361" s="709" t="s">
        <v>2682</v>
      </c>
      <c r="AV361" s="894">
        <f>AV357/(AV360-AV359)</f>
        <v>0.44615384615384618</v>
      </c>
      <c r="AW361" s="709"/>
      <c r="AY361" s="1450" t="e">
        <f>SUM(AY357:AY360)</f>
        <v>#DIV/0!</v>
      </c>
      <c r="AZ361" s="21" t="e">
        <f>SUM(AZ357:AZ360)</f>
        <v>#DIV/0!</v>
      </c>
      <c r="BB361" s="236"/>
    </row>
    <row r="362" spans="5:54">
      <c r="E362" s="46"/>
      <c r="F362" s="46"/>
      <c r="G362" s="46"/>
      <c r="H362" s="26"/>
      <c r="AU362" s="709" t="s">
        <v>2823</v>
      </c>
      <c r="AV362" s="990">
        <f>AV351/AV357</f>
        <v>0</v>
      </c>
      <c r="AW362" s="709"/>
      <c r="BB362" s="236"/>
    </row>
    <row r="363" spans="5:54">
      <c r="E363" s="46"/>
      <c r="F363" s="46"/>
      <c r="G363" s="46"/>
      <c r="H363" s="26"/>
      <c r="AU363" s="709" t="s">
        <v>2824</v>
      </c>
      <c r="AV363" s="1429">
        <f ca="1">AV360/AV350</f>
        <v>14.666666666666666</v>
      </c>
      <c r="AW363" s="709"/>
      <c r="BB363" s="236"/>
    </row>
    <row r="364" spans="5:54" ht="13.5" thickBot="1">
      <c r="E364" s="46"/>
      <c r="F364" s="46"/>
      <c r="G364" s="46"/>
      <c r="H364" s="26"/>
      <c r="AU364" s="710" t="s">
        <v>2793</v>
      </c>
      <c r="AV364" s="1430">
        <f ca="1">AV357/AV350</f>
        <v>4.833333333333333</v>
      </c>
      <c r="AW364" s="710"/>
      <c r="AX364" s="238"/>
      <c r="AY364" s="238"/>
      <c r="AZ364" s="238"/>
      <c r="BA364" s="238"/>
      <c r="BB364" s="646"/>
    </row>
    <row r="365" spans="5:54">
      <c r="E365" s="46"/>
      <c r="F365" s="46"/>
      <c r="G365" s="46"/>
      <c r="H365" s="26"/>
    </row>
    <row r="366" spans="5:54">
      <c r="E366" s="46"/>
      <c r="F366" s="46"/>
      <c r="G366" s="46"/>
      <c r="H366" s="26"/>
    </row>
    <row r="367" spans="5:54">
      <c r="E367" s="46"/>
      <c r="F367" s="46"/>
      <c r="G367" s="46"/>
      <c r="H367" s="26"/>
      <c r="AU367" s="176" t="s">
        <v>2826</v>
      </c>
      <c r="AV367" s="491">
        <f>AV309+AV351</f>
        <v>19.38</v>
      </c>
    </row>
    <row r="368" spans="5:54">
      <c r="E368" s="46"/>
      <c r="F368" s="46"/>
      <c r="G368" s="46"/>
      <c r="H368" s="26"/>
      <c r="AU368" s="176" t="s">
        <v>2827</v>
      </c>
      <c r="AV368" s="1429">
        <f ca="1">(AX331+AZ355)/(AV308+AV350)</f>
        <v>0.51824817518248179</v>
      </c>
    </row>
    <row r="369" spans="5:48">
      <c r="E369" s="46"/>
      <c r="F369" s="46"/>
      <c r="G369" s="46"/>
      <c r="H369" s="26"/>
      <c r="AU369" s="176" t="s">
        <v>434</v>
      </c>
      <c r="AV369" s="1451">
        <f ca="1">AV367/AV308</f>
        <v>0.14793893129770991</v>
      </c>
    </row>
    <row r="370" spans="5:48">
      <c r="E370" s="46"/>
      <c r="F370" s="46"/>
      <c r="G370" s="46"/>
      <c r="H370" s="26"/>
      <c r="AU370" s="176" t="s">
        <v>2442</v>
      </c>
      <c r="AV370" s="491">
        <f ca="1">AV369*365.25</f>
        <v>54.034694656488547</v>
      </c>
    </row>
    <row r="371" spans="5:48">
      <c r="E371" s="46"/>
      <c r="F371" s="46"/>
      <c r="G371" s="46"/>
      <c r="H371" s="26"/>
      <c r="AU371" s="176" t="s">
        <v>2443</v>
      </c>
      <c r="AV371" s="491">
        <f ca="1">AV370/12</f>
        <v>4.5028912213740453</v>
      </c>
    </row>
    <row r="372" spans="5:48">
      <c r="E372" s="46"/>
      <c r="F372" s="46"/>
      <c r="G372" s="46"/>
      <c r="H372" s="26"/>
      <c r="AU372" s="176" t="s">
        <v>2831</v>
      </c>
      <c r="AV372" s="707">
        <f>AV315+AV357</f>
        <v>1428</v>
      </c>
    </row>
    <row r="373" spans="5:48">
      <c r="E373" s="46"/>
      <c r="F373" s="46"/>
      <c r="G373" s="46"/>
      <c r="H373" s="26"/>
      <c r="AU373" s="176" t="s">
        <v>2832</v>
      </c>
      <c r="AV373" s="707">
        <f>AV316+AV358</f>
        <v>1504</v>
      </c>
    </row>
    <row r="374" spans="5:48">
      <c r="E374" s="46"/>
      <c r="F374" s="46"/>
      <c r="G374" s="46"/>
      <c r="H374" s="26"/>
      <c r="AU374" s="176" t="s">
        <v>2833</v>
      </c>
      <c r="AV374" s="176">
        <f>AV317+AV359</f>
        <v>115</v>
      </c>
    </row>
    <row r="375" spans="5:48">
      <c r="E375" s="46"/>
      <c r="F375" s="46"/>
      <c r="G375" s="46"/>
      <c r="H375" s="26"/>
      <c r="AU375" s="176" t="s">
        <v>2834</v>
      </c>
      <c r="AV375" s="707">
        <f>AV318+AV360</f>
        <v>3047</v>
      </c>
    </row>
    <row r="376" spans="5:48">
      <c r="E376" s="46"/>
      <c r="F376" s="46"/>
      <c r="G376" s="46"/>
      <c r="H376" s="26"/>
      <c r="AU376" s="176" t="s">
        <v>2835</v>
      </c>
      <c r="AV376" s="894">
        <f>AV372/(AV375-AV374)</f>
        <v>0.48703956343792632</v>
      </c>
    </row>
    <row r="377" spans="5:48">
      <c r="E377" s="46"/>
      <c r="F377" s="46"/>
      <c r="G377" s="46"/>
      <c r="H377" s="26"/>
    </row>
    <row r="378" spans="5:48">
      <c r="E378" s="46"/>
      <c r="F378" s="46"/>
      <c r="G378" s="46"/>
      <c r="H378" s="26"/>
      <c r="AT378" s="19"/>
    </row>
    <row r="379" spans="5:48">
      <c r="E379" s="46"/>
      <c r="F379" s="46"/>
      <c r="G379" s="46"/>
      <c r="H379" s="26"/>
    </row>
    <row r="380" spans="5:48">
      <c r="E380" s="46"/>
      <c r="F380" s="46"/>
      <c r="G380" s="46"/>
      <c r="H380" s="26"/>
    </row>
    <row r="381" spans="5:48">
      <c r="E381" s="46"/>
      <c r="F381" s="46"/>
      <c r="G381" s="46"/>
      <c r="H381" s="26"/>
    </row>
    <row r="382" spans="5:48">
      <c r="E382" s="46"/>
      <c r="F382" s="46"/>
      <c r="G382" s="46"/>
      <c r="H382" s="26"/>
    </row>
    <row r="383" spans="5:48">
      <c r="E383" s="46"/>
      <c r="F383" s="46"/>
      <c r="G383" s="46"/>
      <c r="H383" s="26"/>
    </row>
    <row r="384" spans="5:48">
      <c r="E384" s="46"/>
      <c r="F384" s="46"/>
      <c r="G384" s="46"/>
      <c r="H384" s="26"/>
    </row>
    <row r="385" spans="5:48">
      <c r="E385" s="46"/>
      <c r="F385" s="46"/>
      <c r="G385" s="46"/>
      <c r="H385" s="26"/>
    </row>
    <row r="386" spans="5:48" ht="13.5" thickBot="1">
      <c r="E386" s="46"/>
      <c r="F386" s="46"/>
      <c r="G386" s="46"/>
      <c r="H386" s="26"/>
    </row>
    <row r="387" spans="5:48">
      <c r="E387" s="46"/>
      <c r="F387" s="46"/>
      <c r="G387" s="46"/>
      <c r="H387" s="26"/>
      <c r="AU387" s="754" t="s">
        <v>1255</v>
      </c>
      <c r="AV387" s="755" t="e">
        <f>AV152+AV226+AV241+AV218+AV251+AV233+AV259+AV267+AV275+AV283+AV289+AV188+AV297+AV367</f>
        <v>#REF!</v>
      </c>
    </row>
    <row r="388" spans="5:48">
      <c r="E388" s="46"/>
      <c r="F388" s="46"/>
      <c r="G388" s="46"/>
      <c r="H388" s="26"/>
      <c r="AU388" s="709"/>
      <c r="AV388" s="654"/>
    </row>
    <row r="389" spans="5:48">
      <c r="E389" s="46"/>
      <c r="F389" s="46"/>
      <c r="G389" s="46"/>
      <c r="H389" s="26"/>
      <c r="AU389" s="709" t="s">
        <v>1499</v>
      </c>
      <c r="AV389" s="756">
        <f>MIN(AU145,AU225,AU240,AU217,AU250,AU232,AU258,AU266,AU274,AU288,AU181,AU296,AU308)</f>
        <v>41825</v>
      </c>
    </row>
    <row r="390" spans="5:48">
      <c r="E390" s="46"/>
      <c r="F390" s="46"/>
      <c r="G390" s="46"/>
      <c r="H390" s="26"/>
      <c r="AU390" s="709" t="s">
        <v>1500</v>
      </c>
      <c r="AV390" s="654">
        <f ca="1">DATEDIF(AV389,A4,"D")</f>
        <v>947</v>
      </c>
    </row>
    <row r="391" spans="5:48">
      <c r="E391" s="46"/>
      <c r="F391" s="46"/>
      <c r="G391" s="46"/>
      <c r="H391" s="26"/>
      <c r="AU391" s="709" t="s">
        <v>434</v>
      </c>
      <c r="AV391" s="940" t="e">
        <f ca="1">AV387/AV390</f>
        <v>#REF!</v>
      </c>
    </row>
    <row r="392" spans="5:48">
      <c r="E392" s="46"/>
      <c r="F392" s="46"/>
      <c r="G392" s="46"/>
      <c r="H392" s="26"/>
      <c r="AU392" s="709" t="s">
        <v>1501</v>
      </c>
      <c r="AV392" s="757" t="e">
        <f ca="1">AV391*365.25</f>
        <v>#REF!</v>
      </c>
    </row>
    <row r="393" spans="5:48" ht="13.5" thickBot="1">
      <c r="E393" s="46"/>
      <c r="F393" s="46"/>
      <c r="G393" s="46"/>
      <c r="H393" s="26"/>
      <c r="AU393" s="710" t="s">
        <v>1502</v>
      </c>
      <c r="AV393" s="655" t="e">
        <f ca="1">AV392/12</f>
        <v>#REF!</v>
      </c>
    </row>
    <row r="394" spans="5:48" ht="13.5" thickBot="1">
      <c r="E394" s="46"/>
      <c r="F394" s="46"/>
      <c r="G394" s="46"/>
      <c r="H394" s="26"/>
    </row>
    <row r="395" spans="5:48">
      <c r="E395" s="46"/>
      <c r="F395" s="46"/>
      <c r="G395" s="46"/>
      <c r="H395" s="26"/>
      <c r="AU395" s="794">
        <v>50000</v>
      </c>
      <c r="AV395" s="631" t="s">
        <v>1605</v>
      </c>
    </row>
    <row r="396" spans="5:48">
      <c r="E396" s="46"/>
      <c r="F396" s="46"/>
      <c r="G396" s="46"/>
      <c r="H396" s="26"/>
      <c r="AU396" s="795">
        <f>AU395/365.25</f>
        <v>136.89253935660506</v>
      </c>
      <c r="AV396" s="654" t="s">
        <v>1606</v>
      </c>
    </row>
    <row r="397" spans="5:48">
      <c r="E397" s="46"/>
      <c r="F397" s="46"/>
      <c r="G397" s="46"/>
      <c r="H397" s="26"/>
      <c r="AU397" s="796" t="e">
        <f ca="1">AY113/AU396</f>
        <v>#REF!</v>
      </c>
      <c r="AV397" s="654" t="s">
        <v>1601</v>
      </c>
    </row>
    <row r="398" spans="5:48" ht="13.5" thickBot="1">
      <c r="E398" s="46"/>
      <c r="F398" s="46"/>
      <c r="G398" s="46"/>
      <c r="H398" s="26"/>
      <c r="AU398" s="797" t="e">
        <f ca="1">SUM(AY113:AY127)/AU396</f>
        <v>#REF!</v>
      </c>
      <c r="AV398" s="798" t="s">
        <v>1600</v>
      </c>
    </row>
    <row r="399" spans="5:48">
      <c r="E399" s="46"/>
      <c r="F399" s="46"/>
      <c r="G399" s="46"/>
      <c r="H399" s="26"/>
    </row>
    <row r="400" spans="5:48" ht="13.5" thickBot="1">
      <c r="E400" s="46"/>
      <c r="F400" s="46"/>
      <c r="G400" s="46"/>
      <c r="H400" s="26"/>
    </row>
    <row r="401" spans="5:70">
      <c r="E401" s="46"/>
      <c r="F401" s="46"/>
      <c r="G401" s="46"/>
      <c r="H401" s="26"/>
      <c r="AU401" s="881" t="s">
        <v>1628</v>
      </c>
      <c r="AV401" s="880"/>
      <c r="AW401" s="708"/>
      <c r="AX401" s="235" t="s">
        <v>2174</v>
      </c>
    </row>
    <row r="402" spans="5:70">
      <c r="E402" s="46"/>
      <c r="F402" s="46"/>
      <c r="G402" s="46"/>
      <c r="H402" s="26"/>
      <c r="AU402" s="709"/>
      <c r="AV402" s="491"/>
      <c r="AX402" s="236" t="s">
        <v>2175</v>
      </c>
    </row>
    <row r="403" spans="5:70">
      <c r="E403" s="46"/>
      <c r="F403" s="46"/>
      <c r="G403" s="46"/>
      <c r="H403" s="26"/>
      <c r="AU403" s="709" t="s">
        <v>1608</v>
      </c>
      <c r="AV403" s="176" t="s">
        <v>1609</v>
      </c>
      <c r="AW403" s="176" t="s">
        <v>1610</v>
      </c>
      <c r="AX403" s="236" t="s">
        <v>2176</v>
      </c>
    </row>
    <row r="404" spans="5:70">
      <c r="E404" s="46"/>
      <c r="F404" s="46"/>
      <c r="G404" s="46"/>
      <c r="H404" s="26"/>
      <c r="AU404" s="709" t="s">
        <v>1611</v>
      </c>
      <c r="AV404" s="491" t="s">
        <v>1614</v>
      </c>
      <c r="AW404" s="176" t="s">
        <v>1616</v>
      </c>
      <c r="AX404" s="236" t="s">
        <v>2177</v>
      </c>
      <c r="BQ404" s="420"/>
    </row>
    <row r="405" spans="5:70">
      <c r="E405" s="46"/>
      <c r="F405" s="46"/>
      <c r="G405" s="46"/>
      <c r="H405" s="26"/>
      <c r="AU405" s="709" t="s">
        <v>1612</v>
      </c>
      <c r="AV405" s="176" t="s">
        <v>1615</v>
      </c>
      <c r="AW405" s="176" t="s">
        <v>1617</v>
      </c>
      <c r="AX405" s="236" t="s">
        <v>2178</v>
      </c>
      <c r="BQ405" s="420"/>
    </row>
    <row r="406" spans="5:70">
      <c r="E406" s="46"/>
      <c r="F406" s="46"/>
      <c r="G406" s="46"/>
      <c r="H406" s="26"/>
      <c r="AU406" s="709" t="s">
        <v>1613</v>
      </c>
      <c r="AV406" s="176" t="s">
        <v>1735</v>
      </c>
      <c r="AW406" s="176" t="s">
        <v>1618</v>
      </c>
      <c r="AX406" s="236" t="s">
        <v>2179</v>
      </c>
      <c r="BQ406" s="420"/>
    </row>
    <row r="407" spans="5:70">
      <c r="E407" s="46"/>
      <c r="F407" s="46"/>
      <c r="G407" s="46"/>
      <c r="H407" s="26"/>
      <c r="AU407" s="709"/>
      <c r="AX407" s="236" t="s">
        <v>2180</v>
      </c>
      <c r="BQ407" s="420"/>
    </row>
    <row r="408" spans="5:70">
      <c r="E408" s="46"/>
      <c r="F408" s="46"/>
      <c r="G408" s="46"/>
      <c r="H408" s="26"/>
      <c r="AU408" s="709" t="s">
        <v>1619</v>
      </c>
      <c r="AX408" s="236"/>
      <c r="BO408" s="19"/>
      <c r="BP408" s="16"/>
      <c r="BQ408" s="420"/>
      <c r="BR408" s="420"/>
    </row>
    <row r="409" spans="5:70">
      <c r="E409" s="46"/>
      <c r="F409" s="46"/>
      <c r="G409" s="46"/>
      <c r="H409" s="26"/>
      <c r="AU409" s="709" t="s">
        <v>1620</v>
      </c>
      <c r="AV409" s="176" t="s">
        <v>1904</v>
      </c>
      <c r="AX409" s="236" t="s">
        <v>2423</v>
      </c>
      <c r="BO409" s="19"/>
      <c r="BP409" s="16"/>
      <c r="BQ409" s="420"/>
      <c r="BR409" s="420"/>
    </row>
    <row r="410" spans="5:70">
      <c r="E410" s="46"/>
      <c r="F410" s="46"/>
      <c r="G410" s="46"/>
      <c r="H410" s="26"/>
      <c r="AU410" s="709" t="s">
        <v>1621</v>
      </c>
      <c r="AX410" s="236" t="s">
        <v>2424</v>
      </c>
      <c r="BO410" s="19"/>
      <c r="BP410" s="16"/>
      <c r="BQ410" s="420"/>
      <c r="BR410" s="420"/>
    </row>
    <row r="411" spans="5:70">
      <c r="E411" s="46"/>
      <c r="F411" s="46"/>
      <c r="G411" s="46"/>
      <c r="H411" s="26"/>
      <c r="AU411" s="709" t="s">
        <v>1622</v>
      </c>
      <c r="AX411" s="236" t="s">
        <v>2425</v>
      </c>
      <c r="BO411" s="19"/>
      <c r="BP411" s="16"/>
      <c r="BQ411" s="420"/>
      <c r="BR411" s="420"/>
    </row>
    <row r="412" spans="5:70">
      <c r="E412" s="46"/>
      <c r="F412" s="46"/>
      <c r="G412" s="46"/>
      <c r="H412" s="26"/>
      <c r="AU412" s="709" t="s">
        <v>1623</v>
      </c>
      <c r="AW412" s="176" t="s">
        <v>2168</v>
      </c>
      <c r="AX412" s="236" t="s">
        <v>2431</v>
      </c>
      <c r="BO412" s="19"/>
      <c r="BP412" s="16"/>
      <c r="BQ412" s="16"/>
      <c r="BR412" s="420"/>
    </row>
    <row r="413" spans="5:70">
      <c r="E413" s="46"/>
      <c r="F413" s="46"/>
      <c r="G413" s="46"/>
      <c r="H413" s="26"/>
      <c r="AU413" s="709" t="s">
        <v>1624</v>
      </c>
      <c r="AW413" s="176" t="s">
        <v>2169</v>
      </c>
      <c r="AX413" s="236"/>
      <c r="BO413" s="19"/>
      <c r="BP413" s="16"/>
      <c r="BR413" s="420"/>
    </row>
    <row r="414" spans="5:70">
      <c r="E414" s="46"/>
      <c r="F414" s="46"/>
      <c r="G414" s="46"/>
      <c r="H414" s="26"/>
      <c r="AU414" s="709" t="s">
        <v>1625</v>
      </c>
      <c r="AW414" s="176" t="s">
        <v>1328</v>
      </c>
      <c r="AX414" s="927" t="s">
        <v>2724</v>
      </c>
      <c r="BP414" s="16"/>
      <c r="BR414" s="420"/>
    </row>
    <row r="415" spans="5:70">
      <c r="E415" s="46"/>
      <c r="F415" s="46"/>
      <c r="G415" s="46"/>
      <c r="H415" s="26"/>
      <c r="AU415" s="709" t="s">
        <v>1626</v>
      </c>
      <c r="AW415" s="176" t="s">
        <v>2170</v>
      </c>
      <c r="AX415" s="927" t="s">
        <v>2725</v>
      </c>
      <c r="BP415" s="19"/>
      <c r="BR415" s="420"/>
    </row>
    <row r="416" spans="5:70">
      <c r="E416" s="46"/>
      <c r="F416" s="46"/>
      <c r="G416" s="46"/>
      <c r="H416" s="26"/>
      <c r="AU416" s="709" t="s">
        <v>1627</v>
      </c>
      <c r="AW416" s="176" t="s">
        <v>2171</v>
      </c>
      <c r="AX416" s="927" t="s">
        <v>2726</v>
      </c>
      <c r="BR416" s="420"/>
    </row>
    <row r="417" spans="5:237">
      <c r="E417" s="46"/>
      <c r="F417" s="46"/>
      <c r="G417" s="46"/>
      <c r="H417" s="26"/>
      <c r="AU417" s="709" t="s">
        <v>1773</v>
      </c>
      <c r="AW417" s="176" t="s">
        <v>2172</v>
      </c>
      <c r="AX417" s="927" t="s">
        <v>2727</v>
      </c>
    </row>
    <row r="418" spans="5:237">
      <c r="E418" s="46"/>
      <c r="F418" s="46"/>
      <c r="G418" s="46"/>
      <c r="H418" s="26"/>
      <c r="AU418" s="709" t="s">
        <v>1776</v>
      </c>
      <c r="AW418" s="176" t="s">
        <v>2718</v>
      </c>
      <c r="AX418" s="236" t="s">
        <v>2728</v>
      </c>
    </row>
    <row r="419" spans="5:237">
      <c r="E419" s="46"/>
      <c r="F419" s="46"/>
      <c r="G419" s="46"/>
      <c r="H419" s="26"/>
      <c r="AU419" s="709" t="s">
        <v>1787</v>
      </c>
      <c r="AW419" s="176" t="s">
        <v>2693</v>
      </c>
      <c r="AX419" s="236"/>
      <c r="BU419" s="540"/>
      <c r="BW419" s="10"/>
      <c r="BX419" s="10"/>
      <c r="BY419" s="540"/>
      <c r="BZ419" s="420"/>
      <c r="CA419" s="10"/>
      <c r="CB419" s="10"/>
      <c r="CC419" s="540"/>
      <c r="CD419" s="420"/>
      <c r="CE419" s="10"/>
      <c r="CF419" s="10"/>
      <c r="CG419" s="540"/>
      <c r="CH419" s="420"/>
      <c r="CI419" s="10"/>
      <c r="CJ419" s="10"/>
      <c r="CK419" s="540"/>
      <c r="CL419" s="420"/>
      <c r="CM419" s="10"/>
      <c r="CN419" s="10"/>
      <c r="CO419" s="540"/>
      <c r="CP419" s="420"/>
      <c r="CQ419" s="10"/>
      <c r="CR419" s="10"/>
      <c r="CS419" s="540"/>
      <c r="CT419" s="420"/>
      <c r="CU419" s="10"/>
      <c r="CV419" s="10"/>
      <c r="CW419" s="540"/>
      <c r="CX419" s="420"/>
      <c r="CY419" s="10"/>
      <c r="CZ419" s="10"/>
      <c r="DA419" s="540"/>
      <c r="DB419" s="420"/>
      <c r="DC419" s="10"/>
      <c r="DD419" s="10"/>
      <c r="DE419" s="540"/>
      <c r="DF419" s="420"/>
      <c r="DG419" s="10"/>
      <c r="DH419" s="10"/>
      <c r="DI419" s="540"/>
      <c r="DJ419" s="420"/>
      <c r="DK419" s="10"/>
      <c r="DL419" s="10"/>
      <c r="DM419" s="540"/>
      <c r="DN419" s="420"/>
      <c r="DO419" s="10"/>
      <c r="DP419" s="10"/>
      <c r="DQ419" s="540"/>
      <c r="DR419" s="420"/>
      <c r="DS419" s="10"/>
      <c r="DT419" s="10"/>
      <c r="DU419" s="540"/>
      <c r="DV419" s="420"/>
      <c r="DW419" s="10"/>
      <c r="DX419" s="10"/>
      <c r="DY419" s="540"/>
      <c r="DZ419" s="420"/>
      <c r="EA419" s="10"/>
      <c r="EB419" s="10"/>
      <c r="EC419" s="539"/>
      <c r="ED419" s="19"/>
      <c r="EE419" s="10"/>
      <c r="EF419" s="10"/>
      <c r="EG419" s="539"/>
      <c r="EH419" s="19"/>
      <c r="EI419" s="10"/>
      <c r="EJ419" s="10"/>
      <c r="EK419" s="539"/>
      <c r="EL419" s="19"/>
      <c r="EM419" s="10"/>
      <c r="EN419" s="10"/>
      <c r="EO419" s="539"/>
      <c r="EP419" s="19"/>
      <c r="EQ419" s="10"/>
      <c r="ER419" s="10"/>
      <c r="ES419" s="539"/>
      <c r="ET419" s="19"/>
      <c r="EU419" s="10"/>
      <c r="EV419" s="10"/>
      <c r="EW419" s="539"/>
      <c r="EX419" s="19"/>
      <c r="EY419" s="10"/>
      <c r="EZ419" s="10"/>
      <c r="FA419" s="539"/>
      <c r="FB419" s="19"/>
      <c r="FC419" s="10"/>
      <c r="FD419" s="10"/>
      <c r="FE419" s="539"/>
      <c r="FF419" s="19"/>
      <c r="FG419" s="10"/>
      <c r="FH419" s="10"/>
      <c r="FI419" s="539"/>
      <c r="FJ419" s="19"/>
      <c r="FK419" s="10"/>
      <c r="FL419" s="10"/>
      <c r="FM419" s="539"/>
      <c r="FN419" s="19"/>
      <c r="FO419" s="10"/>
      <c r="FP419" s="10"/>
      <c r="FQ419" s="539"/>
      <c r="FR419" s="19"/>
      <c r="FS419" s="10"/>
      <c r="FT419" s="10"/>
      <c r="FU419" s="539"/>
      <c r="FV419" s="19"/>
      <c r="FW419" s="10"/>
      <c r="FX419" s="10"/>
      <c r="FY419" s="539"/>
      <c r="FZ419" s="19"/>
      <c r="GA419" s="10"/>
      <c r="GB419" s="10"/>
      <c r="GC419" s="539"/>
      <c r="GD419" s="19"/>
      <c r="GE419" s="10"/>
      <c r="GF419" s="10"/>
      <c r="GG419" s="539"/>
      <c r="GH419" s="19"/>
      <c r="GI419" s="10"/>
      <c r="GJ419" s="10"/>
      <c r="GK419" s="539"/>
      <c r="GL419" s="16"/>
      <c r="GM419" s="10"/>
      <c r="GN419" s="10"/>
      <c r="GO419" s="541"/>
      <c r="GP419" s="16"/>
      <c r="GQ419" s="10"/>
      <c r="GR419" s="10"/>
      <c r="GS419" s="541"/>
      <c r="GT419" s="16"/>
      <c r="GU419" s="10"/>
      <c r="GV419" s="10"/>
      <c r="GW419" s="541"/>
      <c r="GX419" s="16"/>
      <c r="GY419" s="10"/>
      <c r="GZ419" s="10"/>
      <c r="HA419" s="541"/>
      <c r="HB419" s="16"/>
      <c r="HC419" s="10"/>
      <c r="HD419" s="10"/>
      <c r="HE419" s="541"/>
      <c r="HF419" s="16"/>
      <c r="HG419" s="10"/>
      <c r="HH419" s="10"/>
      <c r="HI419" s="541"/>
      <c r="HJ419" s="16"/>
      <c r="HK419" s="10"/>
      <c r="HL419" s="10"/>
      <c r="HM419" s="541"/>
      <c r="HN419" s="16"/>
      <c r="HO419" s="10"/>
      <c r="HP419" s="10"/>
      <c r="HQ419" s="539"/>
      <c r="HR419" s="19"/>
      <c r="HS419" s="10"/>
      <c r="HT419" s="10"/>
      <c r="HU419" s="539"/>
      <c r="HV419" s="420"/>
      <c r="HW419" s="10"/>
      <c r="HX419" s="10"/>
      <c r="HY419" s="539"/>
      <c r="HZ419" s="420"/>
      <c r="IA419" s="420"/>
    </row>
    <row r="420" spans="5:237">
      <c r="E420" s="46"/>
      <c r="F420" s="46"/>
      <c r="G420" s="46"/>
      <c r="H420" s="26"/>
      <c r="AU420" s="709" t="s">
        <v>1786</v>
      </c>
      <c r="AW420" s="176" t="s">
        <v>2712</v>
      </c>
      <c r="AX420" s="236"/>
      <c r="BU420" s="540"/>
      <c r="BW420" s="10"/>
      <c r="BX420" s="10"/>
      <c r="BY420" s="540"/>
      <c r="BZ420" s="420"/>
      <c r="CA420" s="10"/>
      <c r="CB420" s="10"/>
      <c r="CC420" s="540"/>
      <c r="CD420" s="420"/>
      <c r="CE420" s="10"/>
      <c r="CF420" s="10"/>
      <c r="CG420" s="540"/>
      <c r="CH420" s="420"/>
      <c r="CI420" s="10"/>
      <c r="CJ420" s="10"/>
      <c r="CK420" s="540"/>
      <c r="CL420" s="420"/>
      <c r="CM420" s="10"/>
      <c r="CN420" s="10"/>
      <c r="CO420" s="540"/>
      <c r="CP420" s="420"/>
      <c r="CQ420" s="10"/>
      <c r="CR420" s="10"/>
      <c r="CS420" s="540"/>
      <c r="CT420" s="420"/>
      <c r="CU420" s="10"/>
      <c r="CV420" s="10"/>
      <c r="CW420" s="540"/>
      <c r="CX420" s="420"/>
      <c r="CY420" s="10"/>
      <c r="CZ420" s="10"/>
      <c r="DA420" s="540"/>
      <c r="DB420" s="420"/>
      <c r="DC420" s="10"/>
      <c r="DD420" s="10"/>
      <c r="DE420" s="540"/>
      <c r="DF420" s="420"/>
      <c r="DG420" s="10"/>
      <c r="DH420" s="10"/>
      <c r="DI420" s="540"/>
      <c r="DJ420" s="420"/>
      <c r="DK420" s="10"/>
      <c r="DL420" s="10"/>
      <c r="DM420" s="540"/>
      <c r="DN420" s="420"/>
      <c r="DO420" s="10"/>
      <c r="DP420" s="10"/>
      <c r="DQ420" s="540"/>
      <c r="DR420" s="420"/>
      <c r="DS420" s="10"/>
      <c r="DT420" s="10"/>
      <c r="DU420" s="540"/>
      <c r="DV420" s="420"/>
      <c r="DW420" s="10"/>
      <c r="DX420" s="10"/>
      <c r="DY420" s="540"/>
      <c r="DZ420" s="420"/>
      <c r="EA420" s="10"/>
      <c r="EB420" s="10"/>
      <c r="EC420" s="539"/>
      <c r="ED420" s="19"/>
      <c r="EE420" s="10"/>
      <c r="EF420" s="10"/>
      <c r="EG420" s="539"/>
      <c r="EH420" s="19"/>
      <c r="EI420" s="10"/>
      <c r="EJ420" s="10"/>
      <c r="EK420" s="539"/>
      <c r="EL420" s="19"/>
      <c r="EM420" s="10"/>
      <c r="EN420" s="10"/>
      <c r="EO420" s="539"/>
      <c r="EP420" s="19"/>
      <c r="EQ420" s="10"/>
      <c r="ER420" s="10"/>
      <c r="ES420" s="539"/>
      <c r="ET420" s="19"/>
      <c r="EU420" s="10"/>
      <c r="EV420" s="10"/>
      <c r="EW420" s="539"/>
      <c r="EX420" s="19"/>
      <c r="EY420" s="10"/>
      <c r="EZ420" s="10"/>
      <c r="FA420" s="539"/>
      <c r="FB420" s="19"/>
      <c r="FC420" s="10"/>
      <c r="FD420" s="10"/>
      <c r="FE420" s="539"/>
      <c r="FF420" s="19"/>
      <c r="FG420" s="10"/>
      <c r="FH420" s="10"/>
      <c r="FI420" s="539"/>
      <c r="FJ420" s="19"/>
      <c r="FK420" s="10"/>
      <c r="FL420" s="10"/>
      <c r="FM420" s="539"/>
      <c r="FN420" s="19"/>
      <c r="FO420" s="10"/>
      <c r="FP420" s="10"/>
      <c r="FQ420" s="539"/>
      <c r="FR420" s="19"/>
      <c r="FS420" s="10"/>
      <c r="FT420" s="10"/>
      <c r="FU420" s="539"/>
      <c r="FV420" s="19"/>
      <c r="FW420" s="10"/>
      <c r="FX420" s="10"/>
      <c r="FY420" s="539"/>
      <c r="FZ420" s="19"/>
      <c r="GA420" s="10"/>
      <c r="GB420" s="10"/>
      <c r="GC420" s="539"/>
      <c r="GD420" s="19"/>
      <c r="GE420" s="10"/>
      <c r="GF420" s="10"/>
      <c r="GG420" s="539"/>
      <c r="GH420" s="19"/>
      <c r="GI420" s="10"/>
      <c r="GJ420" s="10"/>
      <c r="GK420" s="539"/>
      <c r="GL420" s="16"/>
      <c r="GM420" s="10"/>
      <c r="GN420" s="10"/>
      <c r="GO420" s="541"/>
      <c r="GP420" s="16"/>
      <c r="GQ420" s="10"/>
      <c r="GR420" s="10"/>
      <c r="GS420" s="541"/>
      <c r="GT420" s="16"/>
      <c r="GU420" s="10"/>
      <c r="GV420" s="10"/>
      <c r="GW420" s="541"/>
      <c r="GX420" s="16"/>
      <c r="GY420" s="10"/>
      <c r="GZ420" s="10"/>
      <c r="HA420" s="541"/>
      <c r="HB420" s="16"/>
      <c r="HC420" s="10"/>
      <c r="HD420" s="10"/>
      <c r="HE420" s="541"/>
      <c r="HF420" s="16"/>
      <c r="HG420" s="10"/>
      <c r="HH420" s="10"/>
      <c r="HI420" s="541"/>
      <c r="HJ420" s="16"/>
      <c r="HK420" s="10"/>
      <c r="HL420" s="10"/>
      <c r="HM420" s="541"/>
      <c r="HN420" s="16"/>
      <c r="HO420" s="10"/>
      <c r="HP420" s="10"/>
      <c r="HQ420" s="539"/>
      <c r="HR420" s="19"/>
      <c r="HS420" s="10"/>
      <c r="HT420" s="10"/>
      <c r="HU420" s="539"/>
      <c r="HV420" s="420"/>
      <c r="HW420" s="10"/>
      <c r="HX420" s="10"/>
      <c r="HY420" s="539"/>
      <c r="HZ420" s="420"/>
      <c r="IA420" s="420"/>
    </row>
    <row r="421" spans="5:237" ht="13.5" thickBot="1">
      <c r="E421" s="46"/>
      <c r="F421" s="46"/>
      <c r="G421" s="46"/>
      <c r="H421" s="26"/>
      <c r="AU421" s="710" t="s">
        <v>1795</v>
      </c>
      <c r="AV421" s="712"/>
      <c r="AW421" s="712" t="s">
        <v>1988</v>
      </c>
      <c r="AX421" s="646"/>
      <c r="BU421" s="540"/>
      <c r="BW421" s="10"/>
      <c r="BX421" s="10"/>
      <c r="BY421" s="540"/>
      <c r="BZ421" s="420"/>
      <c r="CA421" s="10"/>
      <c r="CB421" s="10"/>
      <c r="CC421" s="540"/>
      <c r="CD421" s="420"/>
      <c r="CE421" s="10"/>
      <c r="CF421" s="10"/>
      <c r="CG421" s="540"/>
      <c r="CH421" s="420"/>
      <c r="CI421" s="10"/>
      <c r="CJ421" s="10"/>
      <c r="CK421" s="540"/>
      <c r="CL421" s="420"/>
      <c r="CM421" s="10"/>
      <c r="CN421" s="10"/>
      <c r="CO421" s="540"/>
      <c r="CP421" s="420"/>
      <c r="CQ421" s="10"/>
      <c r="CR421" s="10"/>
      <c r="CS421" s="540"/>
      <c r="CT421" s="420"/>
      <c r="CU421" s="10"/>
      <c r="CV421" s="10"/>
      <c r="CW421" s="540"/>
      <c r="CX421" s="420"/>
      <c r="CY421" s="10"/>
      <c r="CZ421" s="10"/>
      <c r="DA421" s="540"/>
      <c r="DB421" s="420"/>
      <c r="DC421" s="10"/>
      <c r="DD421" s="10"/>
      <c r="DE421" s="540"/>
      <c r="DF421" s="420"/>
      <c r="DG421" s="10"/>
      <c r="DH421" s="10"/>
      <c r="DI421" s="540"/>
      <c r="DJ421" s="420"/>
      <c r="DK421" s="10"/>
      <c r="DL421" s="10"/>
      <c r="DM421" s="540"/>
      <c r="DN421" s="420"/>
      <c r="DO421" s="10"/>
      <c r="DP421" s="10"/>
      <c r="DQ421" s="540"/>
      <c r="DR421" s="420"/>
      <c r="DS421" s="10"/>
      <c r="DT421" s="10"/>
      <c r="DU421" s="540"/>
      <c r="DV421" s="420"/>
      <c r="DW421" s="10"/>
      <c r="DX421" s="10"/>
      <c r="DY421" s="540"/>
      <c r="DZ421" s="420"/>
      <c r="EA421" s="10"/>
      <c r="EB421" s="10"/>
      <c r="EC421" s="539"/>
      <c r="ED421" s="19"/>
      <c r="EE421" s="10"/>
      <c r="EF421" s="10"/>
      <c r="EG421" s="539"/>
      <c r="EH421" s="19"/>
      <c r="EI421" s="10"/>
      <c r="EJ421" s="10"/>
      <c r="EK421" s="539"/>
      <c r="EL421" s="19"/>
      <c r="EM421" s="10"/>
      <c r="EN421" s="10"/>
      <c r="EO421" s="539"/>
      <c r="EP421" s="19"/>
      <c r="EQ421" s="10"/>
      <c r="ER421" s="10"/>
      <c r="ES421" s="539"/>
      <c r="ET421" s="19"/>
      <c r="EU421" s="10"/>
      <c r="EV421" s="10"/>
      <c r="EW421" s="539"/>
      <c r="EX421" s="19"/>
      <c r="EY421" s="10"/>
      <c r="EZ421" s="10"/>
      <c r="FA421" s="539"/>
      <c r="FB421" s="19"/>
      <c r="FC421" s="10"/>
      <c r="FD421" s="10"/>
      <c r="FE421" s="539"/>
      <c r="FF421" s="19"/>
      <c r="FG421" s="10"/>
      <c r="FH421" s="10"/>
      <c r="FI421" s="539"/>
      <c r="FJ421" s="19"/>
      <c r="FK421" s="10"/>
      <c r="FL421" s="10"/>
      <c r="FM421" s="539"/>
      <c r="FN421" s="19"/>
      <c r="FO421" s="10"/>
      <c r="FP421" s="10"/>
      <c r="FQ421" s="539"/>
      <c r="FR421" s="19"/>
      <c r="FS421" s="10"/>
      <c r="FT421" s="10"/>
      <c r="FU421" s="539"/>
      <c r="FV421" s="19"/>
      <c r="FW421" s="10"/>
      <c r="FX421" s="10"/>
      <c r="FY421" s="539"/>
      <c r="FZ421" s="19"/>
      <c r="GA421" s="10"/>
      <c r="GB421" s="10"/>
      <c r="GC421" s="539"/>
      <c r="GD421" s="19"/>
      <c r="GE421" s="10"/>
      <c r="GF421" s="10"/>
      <c r="GG421" s="539"/>
      <c r="GH421" s="19"/>
      <c r="GI421" s="10"/>
      <c r="GJ421" s="10"/>
      <c r="GK421" s="539"/>
      <c r="GL421" s="16"/>
      <c r="GM421" s="10"/>
      <c r="GN421" s="10"/>
      <c r="GO421" s="541"/>
      <c r="GP421" s="16"/>
      <c r="GQ421" s="10"/>
      <c r="GR421" s="10"/>
      <c r="GS421" s="541"/>
      <c r="GT421" s="16"/>
      <c r="GU421" s="10"/>
      <c r="GV421" s="10"/>
      <c r="GW421" s="541"/>
      <c r="GX421" s="16"/>
      <c r="GY421" s="10"/>
      <c r="GZ421" s="10"/>
      <c r="HA421" s="541"/>
      <c r="HB421" s="16"/>
      <c r="HC421" s="10"/>
      <c r="HD421" s="10"/>
      <c r="HE421" s="541"/>
      <c r="HF421" s="16"/>
      <c r="HG421" s="10"/>
      <c r="HH421" s="10"/>
      <c r="HI421" s="541"/>
      <c r="HJ421" s="16"/>
      <c r="HK421" s="10"/>
      <c r="HL421" s="10"/>
      <c r="HM421" s="541"/>
      <c r="HN421" s="16"/>
      <c r="HO421" s="10"/>
      <c r="HP421" s="10"/>
      <c r="HQ421" s="539"/>
      <c r="HR421" s="19"/>
      <c r="HS421" s="10"/>
      <c r="HT421" s="10"/>
      <c r="HU421" s="539"/>
      <c r="HV421" s="420"/>
      <c r="HW421" s="10"/>
      <c r="HX421" s="10"/>
      <c r="HY421" s="539"/>
      <c r="HZ421" s="420"/>
      <c r="IA421" s="420"/>
    </row>
    <row r="422" spans="5:237">
      <c r="E422" s="46"/>
      <c r="F422" s="46"/>
      <c r="G422" s="46"/>
      <c r="H422" s="26"/>
      <c r="AX422" s="19"/>
      <c r="AY422" s="19"/>
      <c r="AZ422" s="19"/>
      <c r="BQ422" s="420"/>
      <c r="BU422" s="540"/>
      <c r="BW422" s="10"/>
      <c r="BX422" s="10"/>
      <c r="BY422" s="540"/>
      <c r="BZ422" s="420"/>
      <c r="CA422" s="10"/>
      <c r="CB422" s="10"/>
      <c r="CC422" s="540"/>
      <c r="CD422" s="420"/>
      <c r="CE422" s="10"/>
      <c r="CF422" s="10"/>
      <c r="CG422" s="540"/>
      <c r="CH422" s="420"/>
      <c r="CI422" s="10"/>
      <c r="CJ422" s="10"/>
      <c r="CK422" s="540"/>
      <c r="CL422" s="420"/>
      <c r="CM422" s="10"/>
      <c r="CN422" s="10"/>
      <c r="CO422" s="540"/>
      <c r="CP422" s="420"/>
      <c r="CQ422" s="10"/>
      <c r="CR422" s="10"/>
      <c r="CS422" s="540"/>
      <c r="CT422" s="420"/>
      <c r="CU422" s="10"/>
      <c r="CV422" s="10"/>
      <c r="CW422" s="540"/>
      <c r="CX422" s="420"/>
      <c r="CY422" s="10"/>
      <c r="CZ422" s="10"/>
      <c r="DA422" s="540"/>
      <c r="DB422" s="420"/>
      <c r="DC422" s="10"/>
      <c r="DD422" s="10"/>
      <c r="DE422" s="540"/>
      <c r="DF422" s="420"/>
      <c r="DG422" s="10"/>
      <c r="DH422" s="10"/>
      <c r="DI422" s="540"/>
      <c r="DJ422" s="420"/>
      <c r="DK422" s="10"/>
      <c r="DL422" s="10"/>
      <c r="DM422" s="540"/>
      <c r="DN422" s="420"/>
      <c r="DO422" s="10"/>
      <c r="DP422" s="10"/>
      <c r="DQ422" s="540"/>
      <c r="DR422" s="420"/>
      <c r="DS422" s="10"/>
      <c r="DT422" s="10"/>
      <c r="DU422" s="540"/>
      <c r="DV422" s="420"/>
      <c r="DW422" s="10"/>
      <c r="DX422" s="10"/>
      <c r="DY422" s="540"/>
      <c r="DZ422" s="420"/>
      <c r="EA422" s="10"/>
      <c r="EB422" s="10"/>
      <c r="EC422" s="539"/>
      <c r="ED422" s="19"/>
      <c r="EE422" s="10"/>
      <c r="EF422" s="10"/>
      <c r="EG422" s="539"/>
      <c r="EH422" s="19"/>
      <c r="EI422" s="10"/>
      <c r="EJ422" s="10"/>
      <c r="EK422" s="539"/>
      <c r="EL422" s="19"/>
      <c r="EM422" s="10"/>
      <c r="EN422" s="10"/>
      <c r="EO422" s="539"/>
      <c r="EP422" s="19"/>
      <c r="EQ422" s="10"/>
      <c r="ER422" s="10"/>
      <c r="ES422" s="539"/>
      <c r="ET422" s="19"/>
      <c r="EU422" s="10"/>
      <c r="EV422" s="10"/>
      <c r="EW422" s="539"/>
      <c r="EX422" s="19"/>
      <c r="EY422" s="10"/>
      <c r="EZ422" s="10"/>
      <c r="FA422" s="539"/>
      <c r="FB422" s="19"/>
      <c r="FC422" s="10"/>
      <c r="FD422" s="10"/>
      <c r="FE422" s="539"/>
      <c r="FF422" s="19"/>
      <c r="FG422" s="10"/>
      <c r="FH422" s="10"/>
      <c r="FI422" s="539"/>
      <c r="FJ422" s="19"/>
      <c r="FK422" s="10"/>
      <c r="FL422" s="10"/>
      <c r="FM422" s="539"/>
      <c r="FN422" s="19"/>
      <c r="FO422" s="10"/>
      <c r="FP422" s="10"/>
      <c r="FQ422" s="539"/>
      <c r="FR422" s="19"/>
      <c r="FS422" s="10"/>
      <c r="FT422" s="10"/>
      <c r="FU422" s="539"/>
      <c r="FV422" s="19"/>
      <c r="FW422" s="10"/>
      <c r="FX422" s="10"/>
      <c r="FY422" s="539"/>
      <c r="FZ422" s="19"/>
      <c r="GA422" s="10"/>
      <c r="GB422" s="10"/>
      <c r="GC422" s="539"/>
      <c r="GD422" s="19"/>
      <c r="GE422" s="10"/>
      <c r="GF422" s="10"/>
      <c r="GG422" s="539"/>
      <c r="GH422" s="19"/>
      <c r="GI422" s="10"/>
      <c r="GJ422" s="10"/>
      <c r="GK422" s="539"/>
      <c r="GL422" s="16"/>
      <c r="GM422" s="10"/>
      <c r="GN422" s="10"/>
      <c r="GO422" s="541"/>
      <c r="GP422" s="16"/>
      <c r="GQ422" s="10"/>
      <c r="GR422" s="10"/>
      <c r="GS422" s="541"/>
      <c r="GT422" s="16"/>
      <c r="GU422" s="10"/>
      <c r="GV422" s="10"/>
      <c r="GW422" s="541"/>
      <c r="GX422" s="16"/>
      <c r="GY422" s="10"/>
      <c r="GZ422" s="10"/>
      <c r="HA422" s="541"/>
      <c r="HB422" s="16"/>
      <c r="HC422" s="10"/>
      <c r="HD422" s="10"/>
      <c r="HE422" s="541"/>
      <c r="HF422" s="16"/>
      <c r="HG422" s="10"/>
      <c r="HH422" s="10"/>
      <c r="HI422" s="541"/>
      <c r="HJ422" s="16"/>
      <c r="HK422" s="10"/>
      <c r="HL422" s="10"/>
      <c r="HM422" s="541"/>
      <c r="HN422" s="16"/>
      <c r="HO422" s="10"/>
      <c r="HP422" s="10"/>
      <c r="HQ422" s="539"/>
      <c r="HR422" s="19"/>
      <c r="HS422" s="10"/>
      <c r="HT422" s="10"/>
      <c r="HU422" s="539"/>
      <c r="HV422" s="420"/>
      <c r="HW422" s="10"/>
      <c r="HX422" s="10"/>
      <c r="HY422" s="539"/>
      <c r="HZ422" s="420"/>
      <c r="IA422" s="420"/>
    </row>
    <row r="423" spans="5:237" ht="13.5" thickBot="1">
      <c r="E423" s="46"/>
      <c r="F423" s="46"/>
      <c r="G423" s="46"/>
      <c r="H423" s="26"/>
      <c r="AX423" s="21"/>
      <c r="AY423" s="21"/>
      <c r="AZ423" s="19"/>
      <c r="BQ423" s="420"/>
      <c r="BU423" s="540"/>
      <c r="BW423" s="10"/>
      <c r="BX423" s="10"/>
      <c r="BY423" s="540"/>
      <c r="BZ423" s="420"/>
      <c r="CA423" s="10"/>
      <c r="CB423" s="10"/>
      <c r="CC423" s="540"/>
      <c r="CD423" s="420"/>
      <c r="CE423" s="10"/>
      <c r="CF423" s="10"/>
      <c r="CG423" s="540"/>
      <c r="CH423" s="420"/>
      <c r="CI423" s="10"/>
      <c r="CJ423" s="10"/>
      <c r="CK423" s="540"/>
      <c r="CL423" s="420"/>
      <c r="CM423" s="10"/>
      <c r="CN423" s="10"/>
      <c r="CO423" s="540"/>
      <c r="CP423" s="420"/>
      <c r="CQ423" s="10"/>
      <c r="CR423" s="10"/>
      <c r="CS423" s="540"/>
      <c r="CT423" s="420"/>
      <c r="CU423" s="10"/>
      <c r="CV423" s="10"/>
      <c r="CW423" s="540"/>
      <c r="CX423" s="420"/>
      <c r="CY423" s="10"/>
      <c r="CZ423" s="10"/>
      <c r="DA423" s="540"/>
      <c r="DB423" s="420"/>
      <c r="DC423" s="10"/>
      <c r="DD423" s="10"/>
      <c r="DE423" s="540"/>
      <c r="DF423" s="420"/>
      <c r="DG423" s="10"/>
      <c r="DH423" s="10"/>
      <c r="DI423" s="540"/>
      <c r="DJ423" s="420"/>
      <c r="DK423" s="10"/>
      <c r="DL423" s="10"/>
      <c r="DM423" s="540"/>
      <c r="DN423" s="420"/>
      <c r="DO423" s="10"/>
      <c r="DP423" s="10"/>
      <c r="DQ423" s="540"/>
      <c r="DR423" s="420"/>
      <c r="DS423" s="10"/>
      <c r="DT423" s="10"/>
      <c r="DU423" s="540"/>
      <c r="DV423" s="420"/>
      <c r="DW423" s="10"/>
      <c r="DX423" s="10"/>
      <c r="DY423" s="540"/>
      <c r="DZ423" s="420"/>
      <c r="EA423" s="10"/>
      <c r="EB423" s="10"/>
      <c r="EC423" s="539"/>
      <c r="ED423" s="19"/>
      <c r="EE423" s="10"/>
      <c r="EF423" s="10"/>
      <c r="EG423" s="539"/>
      <c r="EH423" s="19"/>
      <c r="EI423" s="10"/>
      <c r="EJ423" s="10"/>
      <c r="EK423" s="539"/>
      <c r="EL423" s="19"/>
      <c r="EM423" s="10"/>
      <c r="EN423" s="10"/>
      <c r="EO423" s="539"/>
      <c r="EP423" s="19"/>
      <c r="EQ423" s="10"/>
      <c r="ER423" s="10"/>
      <c r="ES423" s="539"/>
      <c r="ET423" s="19"/>
      <c r="EU423" s="10"/>
      <c r="EV423" s="10"/>
      <c r="EW423" s="539"/>
      <c r="EX423" s="19"/>
      <c r="EY423" s="10"/>
      <c r="EZ423" s="10"/>
      <c r="FA423" s="539"/>
      <c r="FB423" s="19"/>
      <c r="FC423" s="10"/>
      <c r="FD423" s="10"/>
      <c r="FE423" s="539"/>
      <c r="FF423" s="19"/>
      <c r="FG423" s="10"/>
      <c r="FH423" s="10"/>
      <c r="FI423" s="539"/>
      <c r="FJ423" s="19"/>
      <c r="FK423" s="10"/>
      <c r="FL423" s="10"/>
      <c r="FM423" s="539"/>
      <c r="FN423" s="19"/>
      <c r="FO423" s="10"/>
      <c r="FP423" s="10"/>
      <c r="FQ423" s="539"/>
      <c r="FR423" s="19"/>
      <c r="FS423" s="10"/>
      <c r="FT423" s="10"/>
      <c r="FU423" s="539"/>
      <c r="FV423" s="19"/>
      <c r="FW423" s="10"/>
      <c r="FX423" s="10"/>
      <c r="FY423" s="539"/>
      <c r="FZ423" s="19"/>
      <c r="GA423" s="10"/>
      <c r="GB423" s="10"/>
      <c r="GC423" s="539"/>
      <c r="GD423" s="19"/>
      <c r="GE423" s="10"/>
      <c r="GF423" s="10"/>
      <c r="GG423" s="539"/>
      <c r="GH423" s="19"/>
      <c r="GI423" s="10"/>
      <c r="GJ423" s="10"/>
      <c r="GK423" s="539"/>
      <c r="GL423" s="16"/>
      <c r="GM423" s="10"/>
      <c r="GN423" s="10"/>
      <c r="GO423" s="541"/>
      <c r="GP423" s="16"/>
      <c r="GQ423" s="10"/>
      <c r="GR423" s="10"/>
      <c r="GS423" s="541"/>
      <c r="GT423" s="16"/>
      <c r="GU423" s="10"/>
      <c r="GV423" s="10"/>
      <c r="GW423" s="541"/>
      <c r="GX423" s="16"/>
      <c r="GY423" s="10"/>
      <c r="GZ423" s="10"/>
      <c r="HA423" s="541"/>
      <c r="HB423" s="16"/>
      <c r="HC423" s="10"/>
      <c r="HD423" s="10"/>
      <c r="HE423" s="541"/>
      <c r="HF423" s="16"/>
      <c r="HG423" s="10"/>
      <c r="HH423" s="10"/>
      <c r="HI423" s="541"/>
      <c r="HJ423" s="16"/>
      <c r="HK423" s="10"/>
      <c r="HL423" s="10"/>
      <c r="HM423" s="541"/>
      <c r="HN423" s="16"/>
      <c r="HO423" s="10"/>
      <c r="HP423" s="10"/>
      <c r="HQ423" s="539"/>
      <c r="HR423" s="19"/>
      <c r="HS423" s="10"/>
      <c r="HT423" s="10"/>
      <c r="HU423" s="539"/>
      <c r="HV423" s="420"/>
      <c r="HW423" s="10"/>
      <c r="HX423" s="10"/>
      <c r="HY423" s="539"/>
      <c r="HZ423" s="420"/>
      <c r="IA423" s="420"/>
    </row>
    <row r="424" spans="5:237" ht="13.5" thickBot="1">
      <c r="E424" s="46"/>
      <c r="F424" s="46"/>
      <c r="G424" s="46"/>
      <c r="H424" s="26"/>
      <c r="AU424" s="773" t="s">
        <v>1807</v>
      </c>
      <c r="AV424" s="428"/>
      <c r="AW424" s="995" t="s">
        <v>1880</v>
      </c>
      <c r="AX424" s="428" t="s">
        <v>430</v>
      </c>
      <c r="AY424" s="235"/>
      <c r="AZ424" s="986" t="s">
        <v>1869</v>
      </c>
      <c r="BB424" s="773" t="s">
        <v>2494</v>
      </c>
      <c r="BC424" s="428"/>
      <c r="BD424" s="235"/>
      <c r="BQ424" s="420"/>
      <c r="BU424" s="540"/>
      <c r="BW424" s="10"/>
      <c r="BX424" s="10"/>
      <c r="BY424" s="540"/>
      <c r="BZ424" s="420"/>
      <c r="CA424" s="10"/>
      <c r="CB424" s="10"/>
      <c r="CC424" s="540"/>
      <c r="CD424" s="420"/>
      <c r="CE424" s="10"/>
      <c r="CF424" s="10"/>
      <c r="CG424" s="540"/>
      <c r="CH424" s="420"/>
      <c r="CI424" s="10"/>
      <c r="CJ424" s="10"/>
      <c r="CK424" s="540"/>
      <c r="CL424" s="420"/>
      <c r="CM424" s="10"/>
      <c r="CN424" s="10"/>
      <c r="CO424" s="540"/>
      <c r="CP424" s="420"/>
      <c r="CQ424" s="10"/>
      <c r="CR424" s="10"/>
      <c r="CS424" s="540"/>
      <c r="CT424" s="420"/>
      <c r="CU424" s="10"/>
      <c r="CV424" s="10"/>
      <c r="CW424" s="540"/>
      <c r="CX424" s="420"/>
      <c r="CY424" s="10"/>
      <c r="CZ424" s="10"/>
      <c r="DA424" s="540"/>
      <c r="DB424" s="420"/>
      <c r="DC424" s="10"/>
      <c r="DD424" s="10"/>
      <c r="DE424" s="540"/>
      <c r="DF424" s="420"/>
      <c r="DG424" s="10"/>
      <c r="DH424" s="10"/>
      <c r="DI424" s="540"/>
      <c r="DJ424" s="420"/>
      <c r="DK424" s="10"/>
      <c r="DL424" s="10"/>
      <c r="DM424" s="540"/>
      <c r="DN424" s="420"/>
      <c r="DO424" s="10"/>
      <c r="DP424" s="10"/>
      <c r="DQ424" s="540"/>
      <c r="DR424" s="420"/>
      <c r="DS424" s="10"/>
      <c r="DT424" s="10"/>
      <c r="DU424" s="540"/>
      <c r="DV424" s="420"/>
      <c r="DW424" s="10"/>
      <c r="DX424" s="10"/>
      <c r="DY424" s="540"/>
      <c r="DZ424" s="420"/>
      <c r="EA424" s="10"/>
      <c r="EB424" s="10"/>
      <c r="EC424" s="539"/>
      <c r="ED424" s="19"/>
      <c r="EE424" s="10"/>
      <c r="EF424" s="10"/>
      <c r="EG424" s="539"/>
      <c r="EH424" s="19"/>
      <c r="EI424" s="10"/>
      <c r="EJ424" s="10"/>
      <c r="EK424" s="539"/>
      <c r="EL424" s="19"/>
      <c r="EM424" s="10"/>
      <c r="EN424" s="10"/>
      <c r="EO424" s="539"/>
      <c r="EP424" s="19"/>
      <c r="EQ424" s="10"/>
      <c r="ER424" s="10"/>
      <c r="ES424" s="539"/>
      <c r="ET424" s="19"/>
      <c r="EU424" s="10"/>
      <c r="EV424" s="10"/>
      <c r="EW424" s="539"/>
      <c r="EX424" s="19"/>
      <c r="EY424" s="10"/>
      <c r="EZ424" s="10"/>
      <c r="FA424" s="539"/>
      <c r="FB424" s="19"/>
      <c r="FC424" s="10"/>
      <c r="FD424" s="10"/>
      <c r="FE424" s="539"/>
      <c r="FF424" s="19"/>
      <c r="FG424" s="10"/>
      <c r="FH424" s="10"/>
      <c r="FI424" s="539"/>
      <c r="FJ424" s="19"/>
      <c r="FK424" s="10"/>
      <c r="FL424" s="10"/>
      <c r="FM424" s="539"/>
      <c r="FN424" s="19"/>
      <c r="FO424" s="10"/>
      <c r="FP424" s="10"/>
      <c r="FQ424" s="539"/>
      <c r="FR424" s="19"/>
      <c r="FS424" s="10"/>
      <c r="FT424" s="10"/>
      <c r="FU424" s="539"/>
      <c r="FV424" s="19"/>
      <c r="FW424" s="10"/>
      <c r="FX424" s="10"/>
      <c r="FY424" s="539"/>
      <c r="FZ424" s="19"/>
      <c r="GA424" s="10"/>
      <c r="GB424" s="10"/>
      <c r="GC424" s="539"/>
      <c r="GD424" s="19"/>
      <c r="GE424" s="10"/>
      <c r="GF424" s="10"/>
      <c r="GG424" s="539"/>
      <c r="GH424" s="19"/>
      <c r="GI424" s="10"/>
      <c r="GJ424" s="10"/>
      <c r="GK424" s="539"/>
      <c r="GL424" s="16"/>
      <c r="GM424" s="10"/>
      <c r="GN424" s="10"/>
      <c r="GO424" s="541"/>
      <c r="GP424" s="16"/>
      <c r="GQ424" s="10"/>
      <c r="GR424" s="10"/>
      <c r="GS424" s="541"/>
      <c r="GT424" s="16"/>
      <c r="GU424" s="10"/>
      <c r="GV424" s="10"/>
      <c r="GW424" s="541"/>
      <c r="GX424" s="16"/>
      <c r="GY424" s="10"/>
      <c r="GZ424" s="10"/>
      <c r="HA424" s="541"/>
      <c r="HB424" s="16"/>
      <c r="HC424" s="10"/>
      <c r="HD424" s="10"/>
      <c r="HE424" s="541"/>
      <c r="HF424" s="16"/>
      <c r="HG424" s="10"/>
      <c r="HH424" s="10"/>
      <c r="HI424" s="541"/>
      <c r="HJ424" s="16"/>
      <c r="HK424" s="10"/>
      <c r="HL424" s="10"/>
      <c r="HM424" s="541"/>
      <c r="HN424" s="16"/>
      <c r="HO424" s="10"/>
      <c r="HP424" s="10"/>
      <c r="HQ424" s="539"/>
      <c r="HR424" s="19"/>
      <c r="HS424" s="10"/>
      <c r="HT424" s="10"/>
      <c r="HU424" s="539"/>
      <c r="HV424" s="420"/>
      <c r="HW424" s="10"/>
      <c r="HX424" s="10"/>
      <c r="HY424" s="539"/>
      <c r="HZ424" s="420"/>
      <c r="IA424" s="420"/>
      <c r="IC424" s="539"/>
    </row>
    <row r="425" spans="5:237">
      <c r="E425" s="46"/>
      <c r="F425" s="46"/>
      <c r="G425" s="46"/>
      <c r="H425" s="26"/>
      <c r="AU425" s="709"/>
      <c r="AW425" s="46">
        <v>42405</v>
      </c>
      <c r="AX425" s="996">
        <v>42692</v>
      </c>
      <c r="AY425" s="236" t="s">
        <v>1415</v>
      </c>
      <c r="AZ425" s="800" t="s">
        <v>1870</v>
      </c>
      <c r="BB425" s="1294" t="s">
        <v>2616</v>
      </c>
      <c r="BC425" s="46">
        <v>42676</v>
      </c>
      <c r="BD425" s="236"/>
      <c r="BQ425" s="420"/>
      <c r="BU425" s="540"/>
      <c r="BW425" s="10"/>
      <c r="BX425" s="10"/>
      <c r="BY425" s="540"/>
      <c r="BZ425" s="420"/>
      <c r="CA425" s="10"/>
      <c r="CB425" s="10"/>
      <c r="CC425" s="540"/>
      <c r="CD425" s="420"/>
      <c r="CE425" s="10"/>
      <c r="CF425" s="10"/>
      <c r="CG425" s="540"/>
      <c r="CH425" s="420"/>
      <c r="CI425" s="10"/>
      <c r="CJ425" s="10"/>
      <c r="CK425" s="540"/>
      <c r="CL425" s="420"/>
      <c r="CM425" s="10"/>
      <c r="CN425" s="10"/>
      <c r="CO425" s="540"/>
      <c r="CP425" s="420"/>
      <c r="CQ425" s="10"/>
      <c r="CR425" s="10"/>
      <c r="CS425" s="540"/>
      <c r="CT425" s="420"/>
      <c r="CU425" s="10"/>
      <c r="CV425" s="10"/>
      <c r="CW425" s="540"/>
      <c r="CX425" s="420"/>
      <c r="CY425" s="10"/>
      <c r="CZ425" s="10"/>
      <c r="DA425" s="540"/>
      <c r="DB425" s="420"/>
      <c r="DC425" s="10"/>
      <c r="DD425" s="10"/>
      <c r="DE425" s="540"/>
      <c r="DF425" s="420"/>
      <c r="DG425" s="10"/>
      <c r="DH425" s="10"/>
      <c r="DI425" s="540"/>
      <c r="DJ425" s="420"/>
      <c r="DK425" s="10"/>
      <c r="DL425" s="10"/>
      <c r="DM425" s="540"/>
      <c r="DN425" s="420"/>
      <c r="DO425" s="10"/>
      <c r="DP425" s="10"/>
      <c r="DQ425" s="540"/>
      <c r="DR425" s="420"/>
      <c r="DS425" s="10"/>
      <c r="DT425" s="10"/>
      <c r="DU425" s="540"/>
      <c r="DV425" s="420"/>
      <c r="DW425" s="10"/>
      <c r="DX425" s="10"/>
      <c r="DY425" s="540"/>
      <c r="DZ425" s="420"/>
      <c r="EA425" s="10"/>
      <c r="EB425" s="10"/>
      <c r="EC425" s="539"/>
      <c r="ED425" s="19"/>
      <c r="EE425" s="10"/>
      <c r="EF425" s="10"/>
      <c r="EG425" s="539"/>
      <c r="EH425" s="19"/>
      <c r="EI425" s="10"/>
      <c r="EJ425" s="10"/>
      <c r="EK425" s="539"/>
      <c r="EL425" s="19"/>
      <c r="EM425" s="10"/>
      <c r="EN425" s="10"/>
      <c r="EO425" s="539"/>
      <c r="EP425" s="19"/>
      <c r="EQ425" s="10"/>
      <c r="ER425" s="10"/>
      <c r="ES425" s="539"/>
      <c r="ET425" s="19"/>
      <c r="EU425" s="10"/>
      <c r="EV425" s="10"/>
      <c r="EW425" s="539"/>
      <c r="EX425" s="19"/>
      <c r="EY425" s="10"/>
      <c r="EZ425" s="10"/>
      <c r="FA425" s="539"/>
      <c r="FB425" s="19"/>
      <c r="FC425" s="10"/>
      <c r="FD425" s="10"/>
      <c r="FE425" s="539"/>
      <c r="FF425" s="19"/>
      <c r="FG425" s="10"/>
      <c r="FH425" s="10"/>
      <c r="FI425" s="539"/>
      <c r="FJ425" s="19"/>
      <c r="FK425" s="10"/>
      <c r="FL425" s="10"/>
      <c r="FM425" s="539"/>
      <c r="FN425" s="19"/>
      <c r="FO425" s="10"/>
      <c r="FP425" s="10"/>
      <c r="FQ425" s="539"/>
      <c r="FR425" s="19"/>
      <c r="FS425" s="10"/>
      <c r="FT425" s="10"/>
      <c r="FU425" s="539"/>
      <c r="FV425" s="19"/>
      <c r="FW425" s="10"/>
      <c r="FX425" s="10"/>
      <c r="FY425" s="539"/>
      <c r="FZ425" s="19"/>
      <c r="GA425" s="10"/>
      <c r="GB425" s="10"/>
      <c r="GC425" s="539"/>
      <c r="GD425" s="19"/>
      <c r="GE425" s="10"/>
      <c r="GF425" s="10"/>
      <c r="GG425" s="539"/>
      <c r="GH425" s="19"/>
      <c r="GI425" s="10"/>
      <c r="GJ425" s="10"/>
      <c r="GK425" s="539"/>
      <c r="GL425" s="16"/>
      <c r="GM425" s="10"/>
      <c r="GN425" s="10"/>
      <c r="GO425" s="541"/>
      <c r="GP425" s="16"/>
      <c r="GQ425" s="10"/>
      <c r="GR425" s="10"/>
      <c r="GS425" s="541"/>
      <c r="GT425" s="16"/>
      <c r="GU425" s="10"/>
      <c r="GV425" s="10"/>
      <c r="GW425" s="541"/>
      <c r="GX425" s="16"/>
      <c r="GY425" s="10"/>
      <c r="GZ425" s="10"/>
      <c r="HA425" s="541"/>
      <c r="HB425" s="16"/>
      <c r="HC425" s="10"/>
      <c r="HD425" s="10"/>
      <c r="HE425" s="541"/>
      <c r="HF425" s="16"/>
      <c r="HG425" s="10"/>
      <c r="HH425" s="10"/>
      <c r="HI425" s="541"/>
      <c r="HJ425" s="16"/>
      <c r="HK425" s="10"/>
      <c r="HL425" s="10"/>
      <c r="HM425" s="541"/>
      <c r="HN425" s="16"/>
      <c r="HO425" s="10"/>
      <c r="HP425" s="10"/>
      <c r="HQ425" s="539"/>
      <c r="HR425" s="19"/>
      <c r="HS425" s="10"/>
      <c r="HT425" s="10"/>
      <c r="HU425" s="539"/>
      <c r="HV425" s="420"/>
      <c r="HW425" s="10"/>
      <c r="HX425" s="10"/>
      <c r="HY425" s="539"/>
      <c r="HZ425" s="420"/>
      <c r="IA425" s="420"/>
      <c r="IC425" s="539"/>
    </row>
    <row r="426" spans="5:237" ht="13.5" thickBot="1">
      <c r="E426" s="46"/>
      <c r="F426" s="46"/>
      <c r="G426" s="46"/>
      <c r="H426" s="26"/>
      <c r="AU426" s="709" t="s">
        <v>1808</v>
      </c>
      <c r="AV426" s="7" t="s">
        <v>1823</v>
      </c>
      <c r="AW426" s="420"/>
      <c r="AY426" s="236"/>
      <c r="AZ426" s="985">
        <f>DATEDIF(AW425,AX425,"D")</f>
        <v>287</v>
      </c>
      <c r="BB426" s="433" t="s">
        <v>2484</v>
      </c>
      <c r="BC426" s="715">
        <v>42309</v>
      </c>
      <c r="BD426" s="236" t="s">
        <v>2489</v>
      </c>
      <c r="BQ426" s="420"/>
      <c r="BR426" s="420"/>
      <c r="BU426" s="540"/>
      <c r="BW426" s="10"/>
      <c r="BX426" s="10"/>
      <c r="BY426" s="540"/>
      <c r="BZ426" s="420"/>
      <c r="CA426" s="10"/>
      <c r="CB426" s="10"/>
      <c r="CC426" s="540"/>
      <c r="CD426" s="420"/>
      <c r="CE426" s="10"/>
      <c r="CF426" s="10"/>
      <c r="CG426" s="540"/>
      <c r="CH426" s="420"/>
      <c r="CI426" s="10"/>
      <c r="CJ426" s="10"/>
      <c r="CK426" s="540"/>
      <c r="CL426" s="420"/>
      <c r="CM426" s="10"/>
      <c r="CN426" s="10"/>
      <c r="CO426" s="540"/>
      <c r="CP426" s="420"/>
      <c r="CQ426" s="10"/>
      <c r="CR426" s="10"/>
      <c r="CS426" s="540"/>
      <c r="CT426" s="420"/>
      <c r="CU426" s="10"/>
      <c r="CV426" s="10"/>
      <c r="CW426" s="540"/>
      <c r="CX426" s="420"/>
      <c r="CY426" s="10"/>
      <c r="CZ426" s="10"/>
      <c r="DA426" s="540"/>
      <c r="DB426" s="420"/>
      <c r="DC426" s="10"/>
      <c r="DD426" s="10"/>
      <c r="DE426" s="540"/>
      <c r="DF426" s="420"/>
      <c r="DG426" s="10"/>
      <c r="DH426" s="10"/>
      <c r="DI426" s="540"/>
      <c r="DJ426" s="420"/>
      <c r="DK426" s="10"/>
      <c r="DL426" s="10"/>
      <c r="DM426" s="540"/>
      <c r="DN426" s="420"/>
      <c r="DO426" s="10"/>
      <c r="DP426" s="10"/>
      <c r="DQ426" s="540"/>
      <c r="DR426" s="420"/>
      <c r="DS426" s="10"/>
      <c r="DT426" s="10"/>
      <c r="DU426" s="540"/>
      <c r="DV426" s="420"/>
      <c r="DW426" s="10"/>
      <c r="DX426" s="10"/>
      <c r="DY426" s="540"/>
      <c r="DZ426" s="420"/>
      <c r="EA426" s="10"/>
      <c r="EB426" s="10"/>
      <c r="EC426" s="539"/>
      <c r="ED426" s="19"/>
      <c r="EE426" s="10"/>
      <c r="EF426" s="10"/>
      <c r="EG426" s="539"/>
      <c r="EH426" s="19"/>
      <c r="EI426" s="10"/>
      <c r="EJ426" s="10"/>
      <c r="EK426" s="539"/>
      <c r="EL426" s="19"/>
      <c r="EM426" s="10"/>
      <c r="EN426" s="10"/>
      <c r="EO426" s="539"/>
      <c r="EP426" s="19"/>
      <c r="EQ426" s="10"/>
      <c r="ER426" s="10"/>
      <c r="ES426" s="539"/>
      <c r="ET426" s="19"/>
      <c r="EU426" s="10"/>
      <c r="EV426" s="10"/>
      <c r="EW426" s="539"/>
      <c r="EX426" s="19"/>
      <c r="EY426" s="10"/>
      <c r="EZ426" s="10"/>
      <c r="FA426" s="539"/>
      <c r="FB426" s="19"/>
      <c r="FC426" s="10"/>
      <c r="FD426" s="10"/>
      <c r="FE426" s="539"/>
      <c r="FF426" s="19"/>
      <c r="FG426" s="10"/>
      <c r="FH426" s="10"/>
      <c r="FI426" s="539"/>
      <c r="FJ426" s="19"/>
      <c r="FK426" s="10"/>
      <c r="FL426" s="10"/>
      <c r="FM426" s="539"/>
      <c r="FN426" s="19"/>
      <c r="FO426" s="10"/>
      <c r="FP426" s="10"/>
      <c r="FQ426" s="539"/>
      <c r="FR426" s="19"/>
      <c r="FS426" s="10"/>
      <c r="FT426" s="10"/>
      <c r="FU426" s="539"/>
      <c r="FV426" s="19"/>
      <c r="FW426" s="10"/>
      <c r="FX426" s="10"/>
      <c r="FY426" s="539"/>
      <c r="FZ426" s="19"/>
      <c r="GA426" s="10"/>
      <c r="GB426" s="10"/>
      <c r="GC426" s="539"/>
      <c r="GD426" s="19"/>
      <c r="GE426" s="10"/>
      <c r="GF426" s="10"/>
      <c r="GG426" s="539"/>
      <c r="GH426" s="19"/>
      <c r="GI426" s="10"/>
      <c r="GJ426" s="10"/>
      <c r="GK426" s="539"/>
      <c r="GL426" s="16"/>
      <c r="GM426" s="10"/>
      <c r="GN426" s="10"/>
      <c r="GO426" s="541"/>
      <c r="GP426" s="16"/>
      <c r="GQ426" s="10"/>
      <c r="GR426" s="10"/>
      <c r="GS426" s="541"/>
      <c r="GT426" s="16"/>
      <c r="GU426" s="10"/>
      <c r="GV426" s="10"/>
      <c r="GW426" s="541"/>
      <c r="GX426" s="16"/>
      <c r="GY426" s="10"/>
      <c r="GZ426" s="10"/>
      <c r="HA426" s="541"/>
      <c r="HB426" s="16"/>
      <c r="HC426" s="10"/>
      <c r="HD426" s="10"/>
      <c r="HE426" s="541"/>
      <c r="HF426" s="16"/>
      <c r="HG426" s="10"/>
      <c r="HH426" s="10"/>
      <c r="HI426" s="541"/>
      <c r="HJ426" s="16"/>
      <c r="HK426" s="10"/>
      <c r="HL426" s="10"/>
      <c r="HM426" s="541"/>
      <c r="HN426" s="16"/>
      <c r="HO426" s="10"/>
      <c r="HP426" s="10"/>
      <c r="HQ426" s="539"/>
      <c r="HR426" s="19"/>
      <c r="HS426" s="10"/>
      <c r="HT426" s="10"/>
      <c r="HU426" s="539"/>
      <c r="HV426" s="420"/>
      <c r="HW426" s="10"/>
      <c r="HX426" s="10"/>
      <c r="HY426" s="539"/>
      <c r="HZ426" s="420"/>
      <c r="IA426" s="420"/>
      <c r="IC426" s="539"/>
    </row>
    <row r="427" spans="5:237">
      <c r="E427" s="46"/>
      <c r="F427" s="46"/>
      <c r="G427" s="46"/>
      <c r="H427" s="26"/>
      <c r="AU427" s="709" t="s">
        <v>1809</v>
      </c>
      <c r="AV427" s="176" t="s">
        <v>1818</v>
      </c>
      <c r="AW427" s="19">
        <v>1709</v>
      </c>
      <c r="AX427" s="30">
        <v>2084</v>
      </c>
      <c r="AY427" s="591">
        <f>(AX427-AW427)/AW427</f>
        <v>0.21942656524283208</v>
      </c>
      <c r="AZ427" s="234">
        <f>(AX427-AW427)/$AZ$426</f>
        <v>1.3066202090592334</v>
      </c>
      <c r="BB427" s="433" t="s">
        <v>2485</v>
      </c>
      <c r="BC427" s="715">
        <v>253</v>
      </c>
      <c r="BD427" s="236" t="s">
        <v>1815</v>
      </c>
      <c r="BQ427" s="420"/>
      <c r="BR427" s="420"/>
      <c r="BV427" s="540"/>
      <c r="BW427" s="420"/>
      <c r="BX427" s="10"/>
      <c r="BZ427" s="540"/>
      <c r="CA427" s="420"/>
      <c r="CB427" s="10"/>
      <c r="CD427" s="540"/>
      <c r="CE427" s="420"/>
      <c r="CF427" s="10"/>
      <c r="CH427" s="540"/>
      <c r="CI427" s="420"/>
      <c r="CJ427" s="10"/>
      <c r="CL427" s="540"/>
      <c r="CM427" s="420"/>
      <c r="CN427" s="10"/>
      <c r="CP427" s="540"/>
      <c r="CQ427" s="420"/>
      <c r="CR427" s="10"/>
      <c r="CT427" s="540"/>
      <c r="CU427" s="420"/>
      <c r="CV427" s="10"/>
      <c r="CX427" s="540"/>
      <c r="CY427" s="420"/>
      <c r="CZ427" s="10"/>
      <c r="DB427" s="540"/>
      <c r="DC427" s="420"/>
      <c r="DD427" s="10"/>
      <c r="DF427" s="540"/>
      <c r="DG427" s="420"/>
      <c r="DH427" s="10"/>
      <c r="DJ427" s="540"/>
      <c r="DK427" s="420"/>
      <c r="DL427" s="10"/>
      <c r="DN427" s="540"/>
      <c r="DO427" s="420"/>
      <c r="DP427" s="10"/>
      <c r="DR427" s="540"/>
      <c r="DS427" s="420"/>
      <c r="DT427" s="10"/>
      <c r="DV427" s="540"/>
      <c r="DW427" s="420"/>
      <c r="DX427" s="10"/>
      <c r="DZ427" s="540"/>
      <c r="EA427" s="420"/>
      <c r="EB427" s="10"/>
      <c r="ED427" s="539"/>
      <c r="EE427" s="19"/>
      <c r="EF427" s="10"/>
      <c r="EH427" s="539"/>
      <c r="EI427" s="19"/>
      <c r="EJ427" s="10"/>
      <c r="EL427" s="539"/>
      <c r="EM427" s="19"/>
      <c r="EN427" s="10"/>
      <c r="EP427" s="539"/>
      <c r="EQ427" s="19"/>
      <c r="ER427" s="10"/>
      <c r="ET427" s="539"/>
      <c r="EU427" s="19"/>
      <c r="EV427" s="10"/>
      <c r="EX427" s="539"/>
      <c r="EY427" s="19"/>
      <c r="EZ427" s="10"/>
      <c r="FB427" s="539"/>
      <c r="FC427" s="19"/>
      <c r="FD427" s="10"/>
      <c r="FF427" s="539"/>
      <c r="FG427" s="19"/>
      <c r="FH427" s="10"/>
      <c r="FJ427" s="539"/>
      <c r="FK427" s="19"/>
      <c r="FL427" s="10"/>
      <c r="FN427" s="539"/>
      <c r="FO427" s="19"/>
      <c r="FP427" s="10"/>
      <c r="FR427" s="539"/>
      <c r="FS427" s="19"/>
      <c r="FT427" s="10"/>
      <c r="FV427" s="539"/>
      <c r="FW427" s="19"/>
      <c r="FX427" s="10"/>
      <c r="FZ427" s="539"/>
      <c r="GA427" s="19"/>
      <c r="GB427" s="10"/>
      <c r="GD427" s="539"/>
      <c r="GE427" s="19"/>
      <c r="GF427" s="10"/>
      <c r="GH427" s="539"/>
      <c r="GI427" s="19"/>
      <c r="GJ427" s="10"/>
      <c r="GL427" s="539"/>
      <c r="GM427" s="16"/>
      <c r="GN427" s="10"/>
      <c r="GP427" s="541"/>
      <c r="GQ427" s="16"/>
      <c r="GR427" s="10"/>
      <c r="GT427" s="541"/>
      <c r="GU427" s="16"/>
      <c r="GV427" s="10"/>
      <c r="GX427" s="541"/>
      <c r="GY427" s="16"/>
      <c r="GZ427" s="10"/>
      <c r="HB427" s="541"/>
      <c r="HC427" s="16"/>
      <c r="HD427" s="10"/>
      <c r="HF427" s="541"/>
      <c r="HG427" s="16"/>
      <c r="HH427" s="10"/>
      <c r="HJ427" s="541"/>
      <c r="HK427" s="16"/>
      <c r="HL427" s="10"/>
      <c r="HN427" s="541"/>
      <c r="HO427" s="16"/>
      <c r="HP427" s="10"/>
      <c r="HR427" s="539"/>
      <c r="HS427" s="19"/>
      <c r="HT427" s="10"/>
      <c r="HV427" s="539"/>
      <c r="HW427" s="420"/>
      <c r="HX427" s="10"/>
      <c r="HZ427" s="539"/>
    </row>
    <row r="428" spans="5:237">
      <c r="E428" s="46"/>
      <c r="F428" s="46"/>
      <c r="G428" s="46"/>
      <c r="H428" s="26"/>
      <c r="AU428" s="709" t="s">
        <v>1810</v>
      </c>
      <c r="AV428" s="176" t="s">
        <v>1819</v>
      </c>
      <c r="AW428" s="19">
        <v>130</v>
      </c>
      <c r="AX428" s="30">
        <v>150</v>
      </c>
      <c r="AY428" s="591">
        <f>(AX428-AW428)/AW428</f>
        <v>0.15384615384615385</v>
      </c>
      <c r="AZ428" s="234">
        <f>(AX428-AW428)/$AZ$426</f>
        <v>6.968641114982578E-2</v>
      </c>
      <c r="BB428" s="575" t="s">
        <v>2486</v>
      </c>
      <c r="BC428" s="1298">
        <v>42676</v>
      </c>
      <c r="BD428" s="236" t="s">
        <v>2489</v>
      </c>
      <c r="BQ428" s="420"/>
      <c r="BR428" s="420"/>
    </row>
    <row r="429" spans="5:237">
      <c r="E429" s="46"/>
      <c r="F429" s="46"/>
      <c r="G429" s="46"/>
      <c r="H429" s="26"/>
      <c r="AU429" s="709" t="s">
        <v>1811</v>
      </c>
      <c r="AV429" s="176" t="s">
        <v>1820</v>
      </c>
      <c r="AW429" s="19">
        <v>2395.2800000000002</v>
      </c>
      <c r="AX429" s="30">
        <v>398.54</v>
      </c>
      <c r="AY429" s="591">
        <f>(AX429-AW429)/AW429</f>
        <v>-0.83361444173541299</v>
      </c>
      <c r="AZ429" s="234">
        <f>(AX429-AW429)/$AZ$426</f>
        <v>-6.9572822299651573</v>
      </c>
      <c r="BB429" s="575" t="s">
        <v>2487</v>
      </c>
      <c r="BC429" s="1298">
        <v>632</v>
      </c>
      <c r="BD429" s="236" t="s">
        <v>1815</v>
      </c>
      <c r="BQ429" s="16"/>
      <c r="BR429" s="19"/>
    </row>
    <row r="430" spans="5:237">
      <c r="E430" s="46"/>
      <c r="F430" s="46"/>
      <c r="G430" s="46"/>
      <c r="H430" s="26"/>
      <c r="AU430" s="709" t="s">
        <v>1829</v>
      </c>
      <c r="AV430" s="176" t="s">
        <v>1821</v>
      </c>
      <c r="AW430" s="19">
        <v>0</v>
      </c>
      <c r="AX430" s="30">
        <v>0</v>
      </c>
      <c r="AY430" s="591" t="e">
        <f>(AX430-AW430)/AW430</f>
        <v>#DIV/0!</v>
      </c>
      <c r="AZ430" s="234">
        <f>(AX430-AW430)/$AZ$426</f>
        <v>0</v>
      </c>
      <c r="BB430" s="219" t="s">
        <v>2488</v>
      </c>
      <c r="BC430" s="9">
        <f>(BC429-BC427)/(BC428-BC426)</f>
        <v>1.0326975476839237</v>
      </c>
      <c r="BD430" s="236" t="s">
        <v>2495</v>
      </c>
      <c r="BQ430" s="16"/>
      <c r="BR430" s="19"/>
    </row>
    <row r="431" spans="5:237">
      <c r="E431" s="46"/>
      <c r="F431" s="46"/>
      <c r="G431" s="46"/>
      <c r="H431" s="26"/>
      <c r="AU431" s="709" t="s">
        <v>1812</v>
      </c>
      <c r="AV431" s="176" t="s">
        <v>1822</v>
      </c>
      <c r="AW431" s="19">
        <v>8.9499999999999993</v>
      </c>
      <c r="AX431" s="30">
        <v>240</v>
      </c>
      <c r="AY431" s="591">
        <f>(AX431-AW431)/AW431</f>
        <v>25.815642458100562</v>
      </c>
      <c r="AZ431" s="234">
        <f>(AX431-AW431)/$AZ$426</f>
        <v>0.80505226480836245</v>
      </c>
      <c r="BB431" s="226" t="s">
        <v>2490</v>
      </c>
      <c r="BC431" s="11">
        <f>BC427-BC430*BC426</f>
        <v>-43439.400544959128</v>
      </c>
      <c r="BD431" s="236"/>
      <c r="BQ431" s="16"/>
      <c r="BR431" s="19"/>
    </row>
    <row r="432" spans="5:237">
      <c r="E432" s="46"/>
      <c r="F432" s="46"/>
      <c r="G432" s="46"/>
      <c r="H432" s="26"/>
      <c r="AU432" s="709" t="s">
        <v>1813</v>
      </c>
      <c r="AV432" s="420"/>
      <c r="AW432" s="19"/>
      <c r="AX432" s="20"/>
      <c r="AY432" s="591"/>
      <c r="AZ432" s="236"/>
      <c r="BB432" s="224"/>
      <c r="BC432" s="420"/>
      <c r="BD432" s="236"/>
      <c r="BP432" s="19"/>
      <c r="BR432" s="19"/>
    </row>
    <row r="433" spans="5:236">
      <c r="E433" s="46"/>
      <c r="F433" s="46"/>
      <c r="G433" s="46"/>
      <c r="H433" s="26"/>
      <c r="AU433" s="709" t="s">
        <v>1922</v>
      </c>
      <c r="AV433" s="946" t="s">
        <v>472</v>
      </c>
      <c r="AW433" s="19">
        <f>AVERAGE(AW427:AW431)</f>
        <v>848.64600000000007</v>
      </c>
      <c r="AX433" s="19">
        <f>AVERAGE(AX427:AX431)</f>
        <v>574.50800000000004</v>
      </c>
      <c r="AY433" s="591">
        <f>(AX433-AW433)/AW433</f>
        <v>-0.32302986168555559</v>
      </c>
      <c r="AZ433" s="234">
        <f>(AX433-AW433)/$AZ$426</f>
        <v>-0.95518466898954713</v>
      </c>
      <c r="BB433" s="224" t="s">
        <v>2492</v>
      </c>
      <c r="BC433" s="10">
        <f>BC425+365.25</f>
        <v>43041.25</v>
      </c>
      <c r="BD433" s="236" t="s">
        <v>2493</v>
      </c>
      <c r="BP433" s="19"/>
      <c r="BR433" s="19"/>
    </row>
    <row r="434" spans="5:236">
      <c r="E434" s="46"/>
      <c r="F434" s="46"/>
      <c r="G434" s="46"/>
      <c r="H434" s="26"/>
      <c r="AU434" s="709" t="s">
        <v>1923</v>
      </c>
      <c r="AV434" s="946" t="s">
        <v>474</v>
      </c>
      <c r="AW434" s="19">
        <f>MEDIAN(AW427:AW431)</f>
        <v>130</v>
      </c>
      <c r="AX434" s="19">
        <f>MEDIAN(AX427:AX431)</f>
        <v>240</v>
      </c>
      <c r="AY434" s="591">
        <f>(AX434-AW434)/AW434</f>
        <v>0.84615384615384615</v>
      </c>
      <c r="AZ434" s="234">
        <f>(AX434-AW434)/$AZ$426</f>
        <v>0.38327526132404183</v>
      </c>
      <c r="BB434" s="224" t="s">
        <v>2491</v>
      </c>
      <c r="BC434" s="12">
        <f>BC430*BC433+BC431</f>
        <v>1009.1927792915521</v>
      </c>
      <c r="BD434" s="236" t="s">
        <v>2496</v>
      </c>
      <c r="BP434" s="19"/>
      <c r="BR434" s="420"/>
    </row>
    <row r="435" spans="5:236" ht="13.5" thickBot="1">
      <c r="E435" s="46"/>
      <c r="F435" s="46"/>
      <c r="G435" s="46"/>
      <c r="H435" s="26"/>
      <c r="AU435" s="709"/>
      <c r="AV435" s="420"/>
      <c r="AW435" s="420"/>
      <c r="AX435" s="11"/>
      <c r="AY435" s="591"/>
      <c r="AZ435" s="236"/>
      <c r="BB435" s="441"/>
      <c r="BC435" s="238"/>
      <c r="BD435" s="646"/>
      <c r="BR435" s="420"/>
    </row>
    <row r="436" spans="5:236">
      <c r="E436" s="46"/>
      <c r="F436" s="46"/>
      <c r="G436" s="46"/>
      <c r="H436" s="26"/>
      <c r="AU436" s="445" t="s">
        <v>1957</v>
      </c>
      <c r="AV436" s="7" t="s">
        <v>1814</v>
      </c>
      <c r="AW436" s="420"/>
      <c r="AX436" s="11"/>
      <c r="AY436" s="591"/>
      <c r="AZ436" s="236"/>
      <c r="BC436" s="20"/>
      <c r="BR436" s="420"/>
    </row>
    <row r="437" spans="5:236">
      <c r="E437" s="46"/>
      <c r="F437" s="46"/>
      <c r="G437" s="46"/>
      <c r="H437" s="26"/>
      <c r="AU437" s="709"/>
      <c r="AV437" s="176" t="s">
        <v>1815</v>
      </c>
      <c r="AW437" s="12">
        <v>1589081</v>
      </c>
      <c r="AX437" s="715">
        <v>1831267</v>
      </c>
      <c r="AY437" s="591">
        <f>(AX437-AW437)/AW437</f>
        <v>0.15240632793419592</v>
      </c>
      <c r="AZ437" s="553">
        <f>(AX437-AW437)/$AZ$426</f>
        <v>843.85365853658539</v>
      </c>
      <c r="BC437" s="20"/>
      <c r="BS437" s="19"/>
      <c r="BT437" s="16"/>
      <c r="BW437" s="420"/>
      <c r="BY437" s="540"/>
      <c r="BZ437" s="420"/>
      <c r="CA437" s="10"/>
      <c r="CB437" s="10"/>
      <c r="CC437" s="540"/>
      <c r="CD437" s="420"/>
      <c r="CE437" s="10"/>
      <c r="CF437" s="10"/>
      <c r="CG437" s="540"/>
      <c r="CH437" s="420"/>
      <c r="CI437" s="10"/>
      <c r="CJ437" s="10"/>
      <c r="CK437" s="540"/>
      <c r="CL437" s="420"/>
      <c r="CM437" s="10"/>
      <c r="CN437" s="10"/>
      <c r="CO437" s="540"/>
      <c r="CP437" s="420"/>
      <c r="CQ437" s="10"/>
      <c r="CR437" s="10"/>
      <c r="CS437" s="540"/>
      <c r="CT437" s="420"/>
      <c r="CU437" s="10"/>
      <c r="CV437" s="10"/>
      <c r="CW437" s="540"/>
      <c r="CX437" s="420"/>
      <c r="CY437" s="10"/>
      <c r="CZ437" s="10"/>
      <c r="DA437" s="540"/>
      <c r="DB437" s="420"/>
      <c r="DC437" s="10"/>
      <c r="DD437" s="10"/>
      <c r="DE437" s="540"/>
      <c r="DF437" s="420"/>
      <c r="DG437" s="10"/>
      <c r="DH437" s="10"/>
      <c r="DI437" s="540"/>
      <c r="DJ437" s="420"/>
      <c r="DK437" s="10"/>
      <c r="DL437" s="10"/>
      <c r="DM437" s="540"/>
      <c r="DN437" s="420"/>
      <c r="DO437" s="10"/>
      <c r="DP437" s="10"/>
      <c r="DQ437" s="540"/>
      <c r="DR437" s="420"/>
      <c r="DS437" s="10"/>
      <c r="DT437" s="10"/>
      <c r="DU437" s="540"/>
      <c r="DV437" s="420"/>
      <c r="DW437" s="10"/>
      <c r="DX437" s="10"/>
      <c r="DY437" s="540"/>
      <c r="DZ437" s="420"/>
      <c r="EA437" s="10"/>
      <c r="EB437" s="10"/>
      <c r="EC437" s="540"/>
      <c r="ED437" s="420"/>
      <c r="EE437" s="10"/>
      <c r="EF437" s="10"/>
      <c r="EG437" s="539"/>
      <c r="EH437" s="19"/>
      <c r="EI437" s="10"/>
      <c r="EJ437" s="10"/>
      <c r="EK437" s="539"/>
      <c r="EL437" s="19"/>
      <c r="EM437" s="10"/>
      <c r="EN437" s="10"/>
      <c r="EO437" s="539"/>
      <c r="EP437" s="19"/>
      <c r="EQ437" s="10"/>
      <c r="ER437" s="10"/>
      <c r="ES437" s="539"/>
      <c r="ET437" s="19"/>
      <c r="EU437" s="10"/>
      <c r="EV437" s="10"/>
      <c r="EW437" s="539"/>
      <c r="EX437" s="19"/>
      <c r="EY437" s="10"/>
      <c r="EZ437" s="10"/>
      <c r="FA437" s="539"/>
      <c r="FB437" s="19"/>
      <c r="FC437" s="10"/>
      <c r="FD437" s="10"/>
      <c r="FE437" s="539"/>
      <c r="FF437" s="19"/>
      <c r="FG437" s="10"/>
      <c r="FH437" s="10"/>
      <c r="FI437" s="539"/>
      <c r="FJ437" s="19"/>
      <c r="FK437" s="10"/>
      <c r="FL437" s="10"/>
      <c r="FM437" s="539"/>
      <c r="FN437" s="19"/>
      <c r="FO437" s="10"/>
      <c r="FP437" s="10"/>
      <c r="FQ437" s="539"/>
      <c r="FR437" s="19"/>
      <c r="FS437" s="10"/>
      <c r="FT437" s="10"/>
      <c r="FU437" s="539"/>
      <c r="FV437" s="19"/>
      <c r="FW437" s="10"/>
      <c r="FX437" s="10"/>
      <c r="FY437" s="539"/>
      <c r="FZ437" s="19"/>
      <c r="GA437" s="10"/>
      <c r="GB437" s="10"/>
      <c r="GC437" s="539"/>
      <c r="GD437" s="19"/>
      <c r="GE437" s="10"/>
      <c r="GF437" s="10"/>
      <c r="GG437" s="539"/>
      <c r="GH437" s="19"/>
      <c r="GI437" s="10"/>
      <c r="GJ437" s="10"/>
      <c r="GK437" s="539"/>
      <c r="GL437" s="19"/>
      <c r="GM437" s="10"/>
      <c r="GN437" s="10"/>
      <c r="GO437" s="539"/>
      <c r="GP437" s="16"/>
      <c r="GQ437" s="10"/>
      <c r="GR437" s="10"/>
      <c r="GS437" s="541"/>
      <c r="GT437" s="16"/>
      <c r="GU437" s="10"/>
      <c r="GV437" s="10"/>
      <c r="GW437" s="541"/>
      <c r="GX437" s="16"/>
      <c r="GY437" s="10"/>
      <c r="GZ437" s="10"/>
      <c r="HA437" s="541"/>
      <c r="HB437" s="16"/>
      <c r="HC437" s="10"/>
      <c r="HD437" s="10"/>
      <c r="HE437" s="541"/>
      <c r="HF437" s="16"/>
      <c r="HG437" s="10"/>
      <c r="HH437" s="10"/>
      <c r="HI437" s="541"/>
      <c r="HJ437" s="16"/>
      <c r="HK437" s="10"/>
      <c r="HL437" s="10"/>
      <c r="HM437" s="541"/>
      <c r="HN437" s="16"/>
      <c r="HO437" s="10"/>
      <c r="HP437" s="10"/>
      <c r="HQ437" s="541"/>
      <c r="HR437" s="16"/>
      <c r="HS437" s="10"/>
      <c r="HT437" s="10"/>
      <c r="HU437" s="539"/>
      <c r="HV437" s="19"/>
      <c r="HW437" s="10"/>
      <c r="HX437" s="10"/>
      <c r="HY437" s="539"/>
      <c r="HZ437" s="420"/>
      <c r="IA437" s="10"/>
      <c r="IB437" s="10"/>
    </row>
    <row r="438" spans="5:236">
      <c r="E438" s="46"/>
      <c r="F438" s="46"/>
      <c r="G438" s="46"/>
      <c r="H438" s="26"/>
      <c r="AU438" s="709"/>
      <c r="AV438" s="176" t="s">
        <v>1816</v>
      </c>
      <c r="AW438" s="12">
        <v>2936883</v>
      </c>
      <c r="AX438" s="715">
        <v>3335183</v>
      </c>
      <c r="AY438" s="591">
        <f>(AX438-AW438)/AW438</f>
        <v>0.13561997532758371</v>
      </c>
      <c r="AZ438" s="553">
        <f>(AX438-AW438)/$AZ$426</f>
        <v>1387.8048780487804</v>
      </c>
      <c r="BC438" s="27"/>
      <c r="BS438" s="19"/>
      <c r="BT438" s="16"/>
      <c r="BW438" s="420"/>
      <c r="BY438" s="540"/>
      <c r="BZ438" s="420"/>
      <c r="CA438" s="10"/>
      <c r="CB438" s="10"/>
      <c r="CC438" s="540"/>
      <c r="CD438" s="420"/>
      <c r="CE438" s="10"/>
      <c r="CF438" s="10"/>
      <c r="CG438" s="540"/>
      <c r="CH438" s="420"/>
      <c r="CI438" s="10"/>
      <c r="CJ438" s="10"/>
      <c r="CK438" s="540"/>
      <c r="CL438" s="420"/>
      <c r="CM438" s="10"/>
      <c r="CN438" s="10"/>
      <c r="CO438" s="540"/>
      <c r="CP438" s="420"/>
      <c r="CQ438" s="10"/>
      <c r="CR438" s="10"/>
      <c r="CS438" s="540"/>
      <c r="CT438" s="420"/>
      <c r="CU438" s="10"/>
      <c r="CV438" s="10"/>
      <c r="CW438" s="540"/>
      <c r="CX438" s="420"/>
      <c r="CY438" s="10"/>
      <c r="CZ438" s="10"/>
      <c r="DA438" s="540"/>
      <c r="DB438" s="420"/>
      <c r="DC438" s="10"/>
      <c r="DD438" s="10"/>
      <c r="DE438" s="540"/>
      <c r="DF438" s="420"/>
      <c r="DG438" s="10"/>
      <c r="DH438" s="10"/>
      <c r="DI438" s="540"/>
      <c r="DJ438" s="420"/>
      <c r="DK438" s="10"/>
      <c r="DL438" s="10"/>
      <c r="DM438" s="540"/>
      <c r="DN438" s="420"/>
      <c r="DO438" s="10"/>
      <c r="DP438" s="10"/>
      <c r="DQ438" s="540"/>
      <c r="DR438" s="420"/>
      <c r="DS438" s="10"/>
      <c r="DT438" s="10"/>
      <c r="DU438" s="540"/>
      <c r="DV438" s="420"/>
      <c r="DW438" s="10"/>
      <c r="DX438" s="10"/>
      <c r="DY438" s="540"/>
      <c r="DZ438" s="420"/>
      <c r="EA438" s="10"/>
      <c r="EB438" s="10"/>
      <c r="EC438" s="540"/>
      <c r="ED438" s="420"/>
      <c r="EE438" s="10"/>
      <c r="EF438" s="10"/>
      <c r="EG438" s="539"/>
      <c r="EH438" s="19"/>
      <c r="EI438" s="10"/>
      <c r="EJ438" s="10"/>
      <c r="EK438" s="539"/>
      <c r="EL438" s="19"/>
      <c r="EM438" s="10"/>
      <c r="EN438" s="10"/>
      <c r="EO438" s="539"/>
      <c r="EP438" s="19"/>
      <c r="EQ438" s="10"/>
      <c r="ER438" s="10"/>
      <c r="ES438" s="539"/>
      <c r="ET438" s="19"/>
      <c r="EU438" s="10"/>
      <c r="EV438" s="10"/>
      <c r="EW438" s="539"/>
      <c r="EX438" s="19"/>
      <c r="EY438" s="10"/>
      <c r="EZ438" s="10"/>
      <c r="FA438" s="539"/>
      <c r="FB438" s="19"/>
      <c r="FC438" s="10"/>
      <c r="FD438" s="10"/>
      <c r="FE438" s="539"/>
      <c r="FF438" s="19"/>
      <c r="FG438" s="10"/>
      <c r="FH438" s="10"/>
      <c r="FI438" s="539"/>
      <c r="FJ438" s="19"/>
      <c r="FK438" s="10"/>
      <c r="FL438" s="10"/>
      <c r="FM438" s="539"/>
      <c r="FN438" s="19"/>
      <c r="FO438" s="10"/>
      <c r="FP438" s="10"/>
      <c r="FQ438" s="539"/>
      <c r="FR438" s="19"/>
      <c r="FS438" s="10"/>
      <c r="FT438" s="10"/>
      <c r="FU438" s="539"/>
      <c r="FV438" s="19"/>
      <c r="FW438" s="10"/>
      <c r="FX438" s="10"/>
      <c r="FY438" s="539"/>
      <c r="FZ438" s="19"/>
      <c r="GA438" s="10"/>
      <c r="GB438" s="10"/>
      <c r="GC438" s="539"/>
      <c r="GD438" s="19"/>
      <c r="GE438" s="10"/>
      <c r="GF438" s="10"/>
      <c r="GG438" s="539"/>
      <c r="GH438" s="19"/>
      <c r="GI438" s="10"/>
      <c r="GJ438" s="10"/>
      <c r="GK438" s="539"/>
      <c r="GL438" s="19"/>
      <c r="GM438" s="10"/>
      <c r="GN438" s="10"/>
      <c r="GO438" s="539"/>
      <c r="GP438" s="16"/>
      <c r="GQ438" s="10"/>
      <c r="GR438" s="10"/>
      <c r="GS438" s="541"/>
      <c r="GT438" s="16"/>
      <c r="GU438" s="10"/>
      <c r="GV438" s="10"/>
      <c r="GW438" s="541"/>
      <c r="GX438" s="16"/>
      <c r="GY438" s="10"/>
      <c r="GZ438" s="10"/>
      <c r="HA438" s="541"/>
      <c r="HB438" s="16"/>
      <c r="HC438" s="10"/>
      <c r="HD438" s="10"/>
      <c r="HE438" s="541"/>
      <c r="HF438" s="16"/>
      <c r="HG438" s="10"/>
      <c r="HH438" s="10"/>
      <c r="HI438" s="541"/>
      <c r="HJ438" s="16"/>
      <c r="HK438" s="10"/>
      <c r="HL438" s="10"/>
      <c r="HM438" s="541"/>
      <c r="HN438" s="16"/>
      <c r="HO438" s="10"/>
      <c r="HP438" s="10"/>
      <c r="HQ438" s="541"/>
      <c r="HR438" s="16"/>
      <c r="HS438" s="10"/>
      <c r="HT438" s="10"/>
      <c r="HU438" s="539"/>
      <c r="HV438" s="19"/>
      <c r="HW438" s="10"/>
      <c r="HX438" s="10"/>
      <c r="HY438" s="539"/>
      <c r="HZ438" s="420"/>
      <c r="IA438" s="10"/>
      <c r="IB438" s="10"/>
    </row>
    <row r="439" spans="5:236" ht="13.5" thickBot="1">
      <c r="E439" s="46"/>
      <c r="F439" s="46"/>
      <c r="G439" s="46"/>
      <c r="H439" s="26"/>
      <c r="AU439" s="710"/>
      <c r="AV439" s="712" t="s">
        <v>1817</v>
      </c>
      <c r="AW439" s="407">
        <v>1215301</v>
      </c>
      <c r="AX439" s="716">
        <v>1488503</v>
      </c>
      <c r="AY439" s="628">
        <f>(AX439-AW439)/AW439</f>
        <v>0.22480192149928288</v>
      </c>
      <c r="AZ439" s="901">
        <f>(AX439-AW439)/$AZ$426</f>
        <v>951.92334494773525</v>
      </c>
      <c r="BC439" s="20"/>
      <c r="BS439" s="19"/>
      <c r="BT439" s="16"/>
      <c r="BW439" s="420"/>
      <c r="BY439" s="540"/>
      <c r="BZ439" s="420"/>
      <c r="CA439" s="10"/>
      <c r="CB439" s="10"/>
      <c r="CC439" s="540"/>
      <c r="CD439" s="420"/>
      <c r="CE439" s="10"/>
      <c r="CF439" s="10"/>
      <c r="CG439" s="540"/>
      <c r="CH439" s="420"/>
      <c r="CI439" s="10"/>
      <c r="CJ439" s="10"/>
      <c r="CK439" s="540"/>
      <c r="CL439" s="420"/>
      <c r="CM439" s="10"/>
      <c r="CN439" s="10"/>
      <c r="CO439" s="540"/>
      <c r="CP439" s="420"/>
      <c r="CQ439" s="10"/>
      <c r="CR439" s="10"/>
      <c r="CS439" s="540"/>
      <c r="CT439" s="420"/>
      <c r="CU439" s="10"/>
      <c r="CV439" s="10"/>
      <c r="CW439" s="540"/>
      <c r="CX439" s="420"/>
      <c r="CY439" s="10"/>
      <c r="CZ439" s="10"/>
      <c r="DA439" s="540"/>
      <c r="DB439" s="420"/>
      <c r="DC439" s="10"/>
      <c r="DD439" s="10"/>
      <c r="DE439" s="540"/>
      <c r="DF439" s="420"/>
      <c r="DG439" s="10"/>
      <c r="DH439" s="10"/>
      <c r="DI439" s="540"/>
      <c r="DJ439" s="420"/>
      <c r="DK439" s="10"/>
      <c r="DL439" s="10"/>
      <c r="DM439" s="540"/>
      <c r="DN439" s="420"/>
      <c r="DO439" s="10"/>
      <c r="DP439" s="10"/>
      <c r="DQ439" s="540"/>
      <c r="DR439" s="420"/>
      <c r="DS439" s="10"/>
      <c r="DT439" s="10"/>
      <c r="DU439" s="540"/>
      <c r="DV439" s="420"/>
      <c r="DW439" s="10"/>
      <c r="DX439" s="10"/>
      <c r="DY439" s="540"/>
      <c r="DZ439" s="420"/>
      <c r="EA439" s="10"/>
      <c r="EB439" s="10"/>
      <c r="EC439" s="540"/>
      <c r="ED439" s="420"/>
      <c r="EE439" s="10"/>
      <c r="EF439" s="10"/>
      <c r="EG439" s="539"/>
      <c r="EH439" s="19"/>
      <c r="EI439" s="10"/>
      <c r="EJ439" s="10"/>
      <c r="EK439" s="539"/>
      <c r="EL439" s="19"/>
      <c r="EM439" s="10"/>
      <c r="EN439" s="10"/>
      <c r="EO439" s="539"/>
      <c r="EP439" s="19"/>
      <c r="EQ439" s="10"/>
      <c r="ER439" s="10"/>
      <c r="ES439" s="539"/>
      <c r="ET439" s="19"/>
      <c r="EU439" s="10"/>
      <c r="EV439" s="10"/>
      <c r="EW439" s="539"/>
      <c r="EX439" s="19"/>
      <c r="EY439" s="10"/>
      <c r="EZ439" s="10"/>
      <c r="FA439" s="539"/>
      <c r="FB439" s="19"/>
      <c r="FC439" s="10"/>
      <c r="FD439" s="10"/>
      <c r="FE439" s="539"/>
      <c r="FF439" s="19"/>
      <c r="FG439" s="10"/>
      <c r="FH439" s="10"/>
      <c r="FI439" s="539"/>
      <c r="FJ439" s="19"/>
      <c r="FK439" s="10"/>
      <c r="FL439" s="10"/>
      <c r="FM439" s="539"/>
      <c r="FN439" s="19"/>
      <c r="FO439" s="10"/>
      <c r="FP439" s="10"/>
      <c r="FQ439" s="539"/>
      <c r="FR439" s="19"/>
      <c r="FS439" s="10"/>
      <c r="FT439" s="10"/>
      <c r="FU439" s="539"/>
      <c r="FV439" s="19"/>
      <c r="FW439" s="10"/>
      <c r="FX439" s="10"/>
      <c r="FY439" s="539"/>
      <c r="FZ439" s="19"/>
      <c r="GA439" s="10"/>
      <c r="GB439" s="10"/>
      <c r="GC439" s="539"/>
      <c r="GD439" s="19"/>
      <c r="GE439" s="10"/>
      <c r="GF439" s="10"/>
      <c r="GG439" s="539"/>
      <c r="GH439" s="19"/>
      <c r="GI439" s="10"/>
      <c r="GJ439" s="10"/>
      <c r="GK439" s="539"/>
      <c r="GL439" s="19"/>
      <c r="GM439" s="10"/>
      <c r="GN439" s="10"/>
      <c r="GO439" s="539"/>
      <c r="GP439" s="16"/>
      <c r="GQ439" s="10"/>
      <c r="GR439" s="10"/>
      <c r="GS439" s="541"/>
      <c r="GT439" s="16"/>
      <c r="GU439" s="10"/>
      <c r="GV439" s="10"/>
      <c r="GW439" s="541"/>
      <c r="GX439" s="16"/>
      <c r="GY439" s="10"/>
      <c r="GZ439" s="10"/>
      <c r="HA439" s="541"/>
      <c r="HB439" s="16"/>
      <c r="HC439" s="10"/>
      <c r="HD439" s="10"/>
      <c r="HE439" s="541"/>
      <c r="HF439" s="16"/>
      <c r="HG439" s="10"/>
      <c r="HH439" s="10"/>
      <c r="HI439" s="541"/>
      <c r="HJ439" s="16"/>
      <c r="HK439" s="10"/>
      <c r="HL439" s="10"/>
      <c r="HM439" s="541"/>
      <c r="HN439" s="16"/>
      <c r="HO439" s="10"/>
      <c r="HP439" s="10"/>
      <c r="HQ439" s="541"/>
      <c r="HR439" s="16"/>
      <c r="HS439" s="10"/>
      <c r="HT439" s="10"/>
      <c r="HU439" s="539"/>
      <c r="HV439" s="19"/>
      <c r="HW439" s="10"/>
      <c r="HX439" s="10"/>
      <c r="HY439" s="539"/>
      <c r="HZ439" s="420"/>
      <c r="IA439" s="10"/>
      <c r="IB439" s="10"/>
    </row>
    <row r="440" spans="5:236">
      <c r="E440" s="46"/>
      <c r="F440" s="46"/>
      <c r="G440" s="46"/>
      <c r="H440" s="26"/>
      <c r="BC440" s="20"/>
      <c r="BS440" s="16"/>
      <c r="BW440" s="420"/>
      <c r="BX440" s="540"/>
      <c r="BY440" s="420"/>
      <c r="CA440" s="10"/>
      <c r="CB440" s="540"/>
      <c r="CC440" s="420"/>
      <c r="CE440" s="10"/>
      <c r="CF440" s="540"/>
      <c r="CG440" s="420"/>
      <c r="CI440" s="10"/>
      <c r="CJ440" s="540"/>
      <c r="CK440" s="420"/>
      <c r="CM440" s="10"/>
      <c r="CN440" s="540"/>
      <c r="CO440" s="420"/>
      <c r="CQ440" s="10"/>
      <c r="CR440" s="540"/>
      <c r="CS440" s="420"/>
      <c r="CU440" s="10"/>
      <c r="CV440" s="540"/>
      <c r="CW440" s="420"/>
      <c r="CY440" s="10"/>
      <c r="CZ440" s="540"/>
      <c r="DA440" s="420"/>
      <c r="DC440" s="10"/>
      <c r="DD440" s="540"/>
      <c r="DE440" s="420"/>
      <c r="DG440" s="10"/>
      <c r="DH440" s="540"/>
      <c r="DI440" s="420"/>
      <c r="DK440" s="10"/>
      <c r="DL440" s="540"/>
      <c r="DM440" s="420"/>
      <c r="DO440" s="10"/>
      <c r="DP440" s="540"/>
      <c r="DQ440" s="420"/>
      <c r="DS440" s="10"/>
      <c r="DT440" s="540"/>
      <c r="DU440" s="420"/>
      <c r="DW440" s="10"/>
      <c r="DX440" s="540"/>
      <c r="DY440" s="420"/>
      <c r="EA440" s="10"/>
      <c r="EB440" s="540"/>
      <c r="EC440" s="420"/>
      <c r="EE440" s="10"/>
      <c r="EF440" s="539"/>
      <c r="EG440" s="19"/>
      <c r="EI440" s="10"/>
      <c r="EJ440" s="539"/>
      <c r="EK440" s="19"/>
      <c r="EM440" s="10"/>
      <c r="EN440" s="539"/>
      <c r="EO440" s="19"/>
      <c r="EQ440" s="10"/>
      <c r="ER440" s="539"/>
      <c r="ES440" s="19"/>
      <c r="EU440" s="10"/>
      <c r="EV440" s="539"/>
      <c r="EW440" s="19"/>
      <c r="EY440" s="10"/>
      <c r="EZ440" s="539"/>
      <c r="FA440" s="19"/>
      <c r="FC440" s="10"/>
      <c r="FD440" s="539"/>
      <c r="FE440" s="19"/>
      <c r="FG440" s="10"/>
      <c r="FH440" s="539"/>
      <c r="FI440" s="19"/>
      <c r="FK440" s="10"/>
      <c r="FL440" s="539"/>
      <c r="FM440" s="19"/>
      <c r="FO440" s="10"/>
      <c r="FP440" s="539"/>
      <c r="FQ440" s="19"/>
      <c r="FS440" s="10"/>
      <c r="FT440" s="539"/>
      <c r="FU440" s="19"/>
      <c r="FW440" s="10"/>
      <c r="FX440" s="539"/>
      <c r="FY440" s="19"/>
      <c r="GA440" s="10"/>
      <c r="GB440" s="539"/>
      <c r="GC440" s="19"/>
      <c r="GE440" s="10"/>
      <c r="GF440" s="539"/>
      <c r="GG440" s="19"/>
      <c r="GI440" s="10"/>
      <c r="GJ440" s="539"/>
      <c r="GK440" s="19"/>
      <c r="GM440" s="10"/>
      <c r="GN440" s="539"/>
      <c r="GO440" s="16"/>
      <c r="GQ440" s="10"/>
      <c r="GR440" s="541"/>
      <c r="GS440" s="16"/>
      <c r="GU440" s="10"/>
      <c r="GV440" s="541"/>
      <c r="GW440" s="16"/>
      <c r="GY440" s="10"/>
      <c r="GZ440" s="541"/>
      <c r="HA440" s="16"/>
      <c r="HC440" s="10"/>
      <c r="HD440" s="541"/>
      <c r="HE440" s="16"/>
      <c r="HG440" s="10"/>
      <c r="HH440" s="541"/>
      <c r="HI440" s="16"/>
      <c r="HK440" s="10"/>
      <c r="HL440" s="541"/>
      <c r="HM440" s="16"/>
      <c r="HO440" s="10"/>
      <c r="HP440" s="541"/>
      <c r="HQ440" s="16"/>
      <c r="HS440" s="10"/>
      <c r="HT440" s="539"/>
      <c r="HU440" s="19"/>
      <c r="HW440" s="10"/>
      <c r="HX440" s="539"/>
      <c r="HY440" s="420"/>
      <c r="IA440" s="10"/>
      <c r="IB440" s="539"/>
    </row>
    <row r="441" spans="5:236">
      <c r="E441" s="46"/>
      <c r="F441" s="46"/>
      <c r="G441" s="46"/>
      <c r="H441" s="26"/>
      <c r="BC441" s="20"/>
      <c r="BS441" s="16"/>
      <c r="BW441" s="420"/>
      <c r="BX441" s="540"/>
      <c r="BY441" s="420"/>
      <c r="CA441" s="10"/>
      <c r="CB441" s="540"/>
      <c r="CC441" s="420"/>
      <c r="CE441" s="10"/>
      <c r="CF441" s="540"/>
      <c r="CG441" s="420"/>
      <c r="CI441" s="10"/>
      <c r="CJ441" s="540"/>
      <c r="CK441" s="420"/>
      <c r="CM441" s="10"/>
      <c r="CN441" s="540"/>
      <c r="CO441" s="420"/>
      <c r="CQ441" s="10"/>
      <c r="CR441" s="540"/>
      <c r="CS441" s="420"/>
      <c r="CU441" s="10"/>
      <c r="CV441" s="540"/>
      <c r="CW441" s="420"/>
      <c r="CY441" s="10"/>
      <c r="CZ441" s="540"/>
      <c r="DA441" s="420"/>
      <c r="DC441" s="10"/>
      <c r="DD441" s="540"/>
      <c r="DE441" s="420"/>
      <c r="DG441" s="10"/>
      <c r="DH441" s="540"/>
      <c r="DI441" s="420"/>
      <c r="DK441" s="10"/>
      <c r="DL441" s="540"/>
      <c r="DM441" s="420"/>
      <c r="DO441" s="10"/>
      <c r="DP441" s="540"/>
      <c r="DQ441" s="420"/>
      <c r="DS441" s="10"/>
      <c r="DT441" s="540"/>
      <c r="DU441" s="420"/>
      <c r="DW441" s="10"/>
      <c r="DX441" s="540"/>
      <c r="DY441" s="420"/>
      <c r="EA441" s="10"/>
      <c r="EB441" s="540"/>
      <c r="EC441" s="420"/>
      <c r="EE441" s="10"/>
      <c r="EF441" s="539"/>
      <c r="EG441" s="19"/>
      <c r="EI441" s="10"/>
      <c r="EJ441" s="539"/>
      <c r="EK441" s="19"/>
      <c r="EM441" s="10"/>
      <c r="EN441" s="539"/>
      <c r="EO441" s="19"/>
      <c r="EQ441" s="10"/>
      <c r="ER441" s="539"/>
      <c r="ES441" s="19"/>
      <c r="EU441" s="10"/>
      <c r="EV441" s="539"/>
      <c r="EW441" s="19"/>
      <c r="EY441" s="10"/>
      <c r="EZ441" s="539"/>
      <c r="FA441" s="19"/>
      <c r="FC441" s="10"/>
      <c r="FD441" s="539"/>
      <c r="FE441" s="19"/>
      <c r="FG441" s="10"/>
      <c r="FH441" s="539"/>
      <c r="FI441" s="19"/>
      <c r="FK441" s="10"/>
      <c r="FL441" s="539"/>
      <c r="FM441" s="19"/>
      <c r="FO441" s="10"/>
      <c r="FP441" s="539"/>
      <c r="FQ441" s="19"/>
      <c r="FS441" s="10"/>
      <c r="FT441" s="539"/>
      <c r="FU441" s="19"/>
      <c r="FW441" s="10"/>
      <c r="FX441" s="539"/>
      <c r="FY441" s="19"/>
      <c r="GA441" s="10"/>
      <c r="GB441" s="539"/>
      <c r="GC441" s="19"/>
      <c r="GE441" s="10"/>
      <c r="GF441" s="539"/>
      <c r="GG441" s="19"/>
      <c r="GI441" s="10"/>
      <c r="GJ441" s="539"/>
      <c r="GK441" s="19"/>
      <c r="GM441" s="10"/>
      <c r="GN441" s="539"/>
      <c r="GO441" s="16"/>
      <c r="GQ441" s="10"/>
      <c r="GR441" s="541"/>
      <c r="GS441" s="16"/>
      <c r="GU441" s="10"/>
      <c r="GV441" s="541"/>
      <c r="GW441" s="16"/>
      <c r="GY441" s="10"/>
      <c r="GZ441" s="541"/>
      <c r="HA441" s="16"/>
      <c r="HC441" s="10"/>
      <c r="HD441" s="541"/>
      <c r="HE441" s="16"/>
      <c r="HG441" s="10"/>
      <c r="HH441" s="541"/>
      <c r="HI441" s="16"/>
      <c r="HK441" s="10"/>
      <c r="HL441" s="541"/>
      <c r="HM441" s="16"/>
      <c r="HO441" s="10"/>
      <c r="HP441" s="541"/>
      <c r="HQ441" s="16"/>
      <c r="HS441" s="10"/>
      <c r="HT441" s="539"/>
      <c r="HU441" s="19"/>
      <c r="HW441" s="10"/>
      <c r="HX441" s="539"/>
      <c r="HY441" s="420"/>
      <c r="IA441" s="10"/>
      <c r="IB441" s="539"/>
    </row>
    <row r="442" spans="5:236">
      <c r="E442" s="46"/>
      <c r="F442" s="46"/>
      <c r="G442" s="46"/>
      <c r="H442" s="26"/>
      <c r="BC442" s="20"/>
      <c r="BS442" s="16"/>
      <c r="BW442" s="420"/>
      <c r="BX442" s="540"/>
      <c r="BY442" s="420"/>
      <c r="CA442" s="10"/>
      <c r="CB442" s="540"/>
      <c r="CC442" s="420"/>
      <c r="CE442" s="10"/>
      <c r="CF442" s="540"/>
      <c r="CG442" s="420"/>
      <c r="CI442" s="10"/>
      <c r="CJ442" s="540"/>
      <c r="CK442" s="420"/>
      <c r="CM442" s="10"/>
      <c r="CN442" s="540"/>
      <c r="CO442" s="420"/>
      <c r="CQ442" s="10"/>
      <c r="CR442" s="540"/>
      <c r="CS442" s="420"/>
      <c r="CU442" s="10"/>
      <c r="CV442" s="540"/>
      <c r="CW442" s="420"/>
      <c r="CY442" s="10"/>
      <c r="CZ442" s="540"/>
      <c r="DA442" s="420"/>
      <c r="DC442" s="10"/>
      <c r="DD442" s="540"/>
      <c r="DE442" s="420"/>
      <c r="DG442" s="10"/>
      <c r="DH442" s="540"/>
      <c r="DI442" s="420"/>
      <c r="DK442" s="10"/>
      <c r="DL442" s="540"/>
      <c r="DM442" s="420"/>
      <c r="DO442" s="10"/>
      <c r="DP442" s="540"/>
      <c r="DQ442" s="420"/>
      <c r="DS442" s="10"/>
      <c r="DT442" s="540"/>
      <c r="DU442" s="420"/>
      <c r="DW442" s="10"/>
      <c r="DX442" s="540"/>
      <c r="DY442" s="420"/>
      <c r="EA442" s="10"/>
      <c r="EB442" s="540"/>
      <c r="EC442" s="420"/>
      <c r="EE442" s="10"/>
      <c r="EF442" s="539"/>
      <c r="EG442" s="19"/>
      <c r="EI442" s="10"/>
      <c r="EJ442" s="539"/>
      <c r="EK442" s="19"/>
      <c r="EM442" s="10"/>
      <c r="EN442" s="539"/>
      <c r="EO442" s="19"/>
      <c r="EQ442" s="10"/>
      <c r="ER442" s="539"/>
      <c r="ES442" s="19"/>
      <c r="EU442" s="10"/>
      <c r="EV442" s="539"/>
      <c r="EW442" s="19"/>
      <c r="EY442" s="10"/>
      <c r="EZ442" s="539"/>
      <c r="FA442" s="19"/>
      <c r="FC442" s="10"/>
      <c r="FD442" s="539"/>
      <c r="FE442" s="19"/>
      <c r="FG442" s="10"/>
      <c r="FH442" s="539"/>
      <c r="FI442" s="19"/>
      <c r="FK442" s="10"/>
      <c r="FL442" s="539"/>
      <c r="FM442" s="19"/>
      <c r="FO442" s="10"/>
      <c r="FP442" s="539"/>
      <c r="FQ442" s="19"/>
      <c r="FS442" s="10"/>
      <c r="FT442" s="539"/>
      <c r="FU442" s="19"/>
      <c r="FW442" s="10"/>
      <c r="FX442" s="539"/>
      <c r="FY442" s="19"/>
      <c r="GA442" s="10"/>
      <c r="GB442" s="539"/>
      <c r="GC442" s="19"/>
      <c r="GE442" s="10"/>
      <c r="GF442" s="539"/>
      <c r="GG442" s="19"/>
      <c r="GI442" s="10"/>
      <c r="GJ442" s="539"/>
      <c r="GK442" s="19"/>
      <c r="GM442" s="10"/>
      <c r="GN442" s="539"/>
      <c r="GO442" s="16"/>
      <c r="GQ442" s="10"/>
      <c r="GR442" s="541"/>
      <c r="GS442" s="16"/>
      <c r="GU442" s="10"/>
      <c r="GV442" s="541"/>
      <c r="GW442" s="16"/>
      <c r="GY442" s="10"/>
      <c r="GZ442" s="541"/>
      <c r="HA442" s="16"/>
      <c r="HC442" s="10"/>
      <c r="HD442" s="541"/>
      <c r="HE442" s="16"/>
      <c r="HG442" s="10"/>
      <c r="HH442" s="541"/>
      <c r="HI442" s="16"/>
      <c r="HK442" s="10"/>
      <c r="HL442" s="541"/>
      <c r="HM442" s="16"/>
      <c r="HO442" s="10"/>
      <c r="HP442" s="541"/>
      <c r="HQ442" s="16"/>
      <c r="HS442" s="10"/>
      <c r="HT442" s="539"/>
      <c r="HU442" s="19"/>
      <c r="HW442" s="10"/>
      <c r="HX442" s="539"/>
      <c r="HY442" s="420"/>
      <c r="IA442" s="10"/>
      <c r="IB442" s="539"/>
    </row>
    <row r="443" spans="5:236">
      <c r="E443" s="46"/>
      <c r="F443" s="46"/>
      <c r="G443" s="46"/>
      <c r="H443" s="26"/>
      <c r="BS443" s="16"/>
      <c r="BW443" s="420"/>
      <c r="BX443" s="540"/>
      <c r="BY443" s="420"/>
      <c r="CA443" s="10"/>
      <c r="CB443" s="540"/>
      <c r="CC443" s="420"/>
      <c r="CE443" s="10"/>
      <c r="CF443" s="540"/>
      <c r="CG443" s="420"/>
      <c r="CI443" s="10"/>
      <c r="CJ443" s="540"/>
      <c r="CK443" s="420"/>
      <c r="CM443" s="10"/>
      <c r="CN443" s="540"/>
      <c r="CO443" s="420"/>
      <c r="CQ443" s="10"/>
      <c r="CR443" s="540"/>
      <c r="CS443" s="420"/>
      <c r="CU443" s="10"/>
      <c r="CV443" s="540"/>
      <c r="CW443" s="420"/>
      <c r="CY443" s="10"/>
      <c r="CZ443" s="540"/>
      <c r="DA443" s="420"/>
      <c r="DC443" s="10"/>
      <c r="DD443" s="540"/>
      <c r="DE443" s="420"/>
      <c r="DG443" s="10"/>
      <c r="DH443" s="540"/>
      <c r="DI443" s="420"/>
      <c r="DK443" s="10"/>
      <c r="DL443" s="540"/>
      <c r="DM443" s="420"/>
      <c r="DO443" s="10"/>
      <c r="DP443" s="540"/>
      <c r="DQ443" s="420"/>
      <c r="DS443" s="10"/>
      <c r="DT443" s="540"/>
      <c r="DU443" s="420"/>
      <c r="DW443" s="10"/>
      <c r="DX443" s="540"/>
      <c r="DY443" s="420"/>
      <c r="EA443" s="10"/>
      <c r="EB443" s="540"/>
      <c r="EC443" s="420"/>
      <c r="EE443" s="10"/>
      <c r="EF443" s="539"/>
      <c r="EG443" s="19"/>
      <c r="EI443" s="10"/>
      <c r="EJ443" s="539"/>
      <c r="EK443" s="19"/>
      <c r="EM443" s="10"/>
      <c r="EN443" s="539"/>
      <c r="EO443" s="19"/>
      <c r="EQ443" s="10"/>
      <c r="ER443" s="539"/>
      <c r="ES443" s="19"/>
      <c r="EU443" s="10"/>
      <c r="EV443" s="539"/>
      <c r="EW443" s="19"/>
      <c r="EY443" s="10"/>
      <c r="EZ443" s="539"/>
      <c r="FA443" s="19"/>
      <c r="FC443" s="10"/>
      <c r="FD443" s="539"/>
      <c r="FE443" s="19"/>
      <c r="FG443" s="10"/>
      <c r="FH443" s="539"/>
      <c r="FI443" s="19"/>
      <c r="FK443" s="10"/>
      <c r="FL443" s="539"/>
      <c r="FM443" s="19"/>
      <c r="FO443" s="10"/>
      <c r="FP443" s="539"/>
      <c r="FQ443" s="19"/>
      <c r="FS443" s="10"/>
      <c r="FT443" s="539"/>
      <c r="FU443" s="19"/>
      <c r="FW443" s="10"/>
      <c r="FX443" s="539"/>
      <c r="FY443" s="19"/>
      <c r="GA443" s="10"/>
      <c r="GB443" s="539"/>
      <c r="GC443" s="19"/>
      <c r="GE443" s="10"/>
      <c r="GF443" s="539"/>
      <c r="GG443" s="19"/>
      <c r="GI443" s="10"/>
      <c r="GJ443" s="539"/>
      <c r="GK443" s="19"/>
      <c r="GM443" s="10"/>
      <c r="GN443" s="539"/>
      <c r="GO443" s="16"/>
      <c r="GQ443" s="10"/>
      <c r="GR443" s="541"/>
      <c r="GS443" s="16"/>
      <c r="GU443" s="10"/>
      <c r="GV443" s="541"/>
      <c r="GW443" s="16"/>
      <c r="GY443" s="10"/>
      <c r="GZ443" s="541"/>
      <c r="HA443" s="16"/>
      <c r="HC443" s="10"/>
      <c r="HD443" s="541"/>
      <c r="HE443" s="16"/>
      <c r="HG443" s="10"/>
      <c r="HH443" s="541"/>
      <c r="HI443" s="16"/>
      <c r="HK443" s="10"/>
      <c r="HL443" s="541"/>
      <c r="HM443" s="16"/>
      <c r="HO443" s="10"/>
      <c r="HP443" s="541"/>
      <c r="HQ443" s="16"/>
      <c r="HS443" s="10"/>
      <c r="HT443" s="539"/>
      <c r="HU443" s="19"/>
      <c r="HW443" s="10"/>
      <c r="HX443" s="539"/>
      <c r="HY443" s="420"/>
      <c r="IA443" s="10"/>
      <c r="IB443" s="539"/>
    </row>
    <row r="444" spans="5:236" ht="13.5" thickBot="1">
      <c r="E444" s="46"/>
      <c r="F444" s="46"/>
      <c r="G444" s="46"/>
      <c r="H444" s="26"/>
      <c r="AU444" s="420" t="s">
        <v>1885</v>
      </c>
      <c r="AV444" s="420">
        <f>COUNTA(AU77:AU85)^2-COUNTA(AU77:AU85)</f>
        <v>72</v>
      </c>
      <c r="AW444" s="420" t="s">
        <v>509</v>
      </c>
      <c r="BS444" s="16"/>
      <c r="BW444" s="420"/>
      <c r="BX444" s="540"/>
      <c r="BY444" s="420"/>
      <c r="CA444" s="10"/>
      <c r="CB444" s="540"/>
      <c r="CC444" s="420"/>
      <c r="CE444" s="10"/>
      <c r="CF444" s="540"/>
      <c r="CG444" s="420"/>
      <c r="CI444" s="10"/>
      <c r="CJ444" s="540"/>
      <c r="CK444" s="420"/>
      <c r="CM444" s="10"/>
      <c r="CN444" s="540"/>
      <c r="CO444" s="420"/>
      <c r="CQ444" s="10"/>
      <c r="CR444" s="540"/>
      <c r="CS444" s="420"/>
      <c r="CU444" s="10"/>
      <c r="CV444" s="540"/>
      <c r="CW444" s="420"/>
      <c r="CY444" s="10"/>
      <c r="CZ444" s="540"/>
      <c r="DA444" s="420"/>
      <c r="DC444" s="10"/>
      <c r="DD444" s="540"/>
      <c r="DE444" s="420"/>
      <c r="DG444" s="10"/>
      <c r="DH444" s="540"/>
      <c r="DI444" s="420"/>
      <c r="DK444" s="10"/>
      <c r="DL444" s="540"/>
      <c r="DM444" s="420"/>
      <c r="DO444" s="10"/>
      <c r="DP444" s="540"/>
      <c r="DQ444" s="420"/>
      <c r="DS444" s="10"/>
      <c r="DT444" s="540"/>
      <c r="DU444" s="420"/>
      <c r="DW444" s="10"/>
      <c r="DX444" s="540"/>
      <c r="DY444" s="420"/>
      <c r="EA444" s="10"/>
      <c r="EB444" s="540"/>
      <c r="EC444" s="420"/>
      <c r="EE444" s="10"/>
      <c r="EF444" s="539"/>
      <c r="EG444" s="19"/>
      <c r="EI444" s="10"/>
      <c r="EJ444" s="539"/>
      <c r="EK444" s="19"/>
      <c r="EM444" s="10"/>
      <c r="EN444" s="539"/>
      <c r="EO444" s="19"/>
      <c r="EQ444" s="10"/>
      <c r="ER444" s="539"/>
      <c r="ES444" s="19"/>
      <c r="EU444" s="10"/>
      <c r="EV444" s="539"/>
      <c r="EW444" s="19"/>
      <c r="EY444" s="10"/>
      <c r="EZ444" s="539"/>
      <c r="FA444" s="19"/>
      <c r="FC444" s="10"/>
      <c r="FD444" s="539"/>
      <c r="FE444" s="19"/>
      <c r="FG444" s="10"/>
      <c r="FH444" s="539"/>
      <c r="FI444" s="19"/>
      <c r="FK444" s="10"/>
      <c r="FL444" s="539"/>
      <c r="FM444" s="19"/>
      <c r="FO444" s="10"/>
      <c r="FP444" s="539"/>
      <c r="FQ444" s="19"/>
      <c r="FS444" s="10"/>
      <c r="FT444" s="539"/>
      <c r="FU444" s="19"/>
      <c r="FW444" s="10"/>
      <c r="FX444" s="539"/>
      <c r="FY444" s="19"/>
      <c r="GA444" s="10"/>
      <c r="GB444" s="539"/>
      <c r="GC444" s="19"/>
      <c r="GE444" s="10"/>
      <c r="GF444" s="539"/>
      <c r="GG444" s="19"/>
      <c r="GI444" s="10"/>
      <c r="GJ444" s="539"/>
      <c r="GK444" s="19"/>
      <c r="GM444" s="10"/>
      <c r="GN444" s="539"/>
      <c r="GO444" s="16"/>
      <c r="GQ444" s="10"/>
      <c r="GR444" s="541"/>
      <c r="GS444" s="16"/>
      <c r="GU444" s="10"/>
      <c r="GV444" s="541"/>
      <c r="GW444" s="16"/>
      <c r="GY444" s="10"/>
      <c r="GZ444" s="541"/>
      <c r="HA444" s="16"/>
      <c r="HC444" s="10"/>
      <c r="HD444" s="541"/>
      <c r="HE444" s="16"/>
      <c r="HG444" s="10"/>
      <c r="HH444" s="541"/>
      <c r="HI444" s="16"/>
      <c r="HK444" s="10"/>
      <c r="HL444" s="541"/>
      <c r="HM444" s="16"/>
      <c r="HO444" s="10"/>
      <c r="HP444" s="541"/>
      <c r="HQ444" s="16"/>
      <c r="HS444" s="10"/>
      <c r="HT444" s="539"/>
      <c r="HU444" s="19"/>
      <c r="HW444" s="10"/>
      <c r="HX444" s="539"/>
      <c r="HY444" s="420"/>
      <c r="IA444" s="10"/>
    </row>
    <row r="445" spans="5:236">
      <c r="E445" s="46"/>
      <c r="F445" s="46"/>
      <c r="G445" s="46"/>
      <c r="H445" s="26"/>
      <c r="AU445" s="1000"/>
      <c r="AV445" s="1001" t="s">
        <v>405</v>
      </c>
      <c r="AW445" s="1001" t="s">
        <v>116</v>
      </c>
      <c r="AX445" s="1001" t="s">
        <v>1155</v>
      </c>
      <c r="AY445" s="1001" t="s">
        <v>406</v>
      </c>
      <c r="AZ445" s="1001" t="s">
        <v>51</v>
      </c>
      <c r="BA445" s="1001" t="s">
        <v>2213</v>
      </c>
      <c r="BB445" s="1001" t="s">
        <v>407</v>
      </c>
      <c r="BC445" s="1001" t="s">
        <v>1858</v>
      </c>
      <c r="BD445" s="1002" t="s">
        <v>855</v>
      </c>
      <c r="BV445" s="540"/>
      <c r="BW445" s="420"/>
      <c r="BX445" s="10"/>
      <c r="BZ445" s="540"/>
      <c r="CA445" s="420"/>
      <c r="CB445" s="10"/>
      <c r="CD445" s="540"/>
      <c r="CE445" s="420"/>
      <c r="CF445" s="10"/>
      <c r="CH445" s="540"/>
      <c r="CI445" s="420"/>
      <c r="CJ445" s="10"/>
      <c r="CL445" s="540"/>
      <c r="CM445" s="420"/>
      <c r="CN445" s="10"/>
      <c r="CP445" s="540"/>
      <c r="CQ445" s="420"/>
      <c r="CR445" s="10"/>
      <c r="CT445" s="540"/>
      <c r="CU445" s="420"/>
      <c r="CV445" s="10"/>
      <c r="CX445" s="540"/>
      <c r="CY445" s="420"/>
      <c r="CZ445" s="10"/>
      <c r="DB445" s="540"/>
      <c r="DC445" s="420"/>
      <c r="DD445" s="10"/>
      <c r="DF445" s="540"/>
      <c r="DG445" s="420"/>
      <c r="DH445" s="10"/>
      <c r="DJ445" s="540"/>
      <c r="DK445" s="420"/>
      <c r="DL445" s="10"/>
      <c r="DN445" s="540"/>
      <c r="DO445" s="420"/>
      <c r="DP445" s="10"/>
      <c r="DR445" s="540"/>
      <c r="DS445" s="420"/>
      <c r="DT445" s="10"/>
      <c r="DV445" s="540"/>
      <c r="DW445" s="420"/>
      <c r="DX445" s="10"/>
      <c r="DZ445" s="540"/>
      <c r="EA445" s="420"/>
      <c r="EB445" s="10"/>
      <c r="ED445" s="539"/>
      <c r="EE445" s="19"/>
      <c r="EF445" s="10"/>
      <c r="EH445" s="539"/>
      <c r="EI445" s="19"/>
      <c r="EJ445" s="10"/>
      <c r="EL445" s="539"/>
      <c r="EM445" s="19"/>
      <c r="EN445" s="10"/>
      <c r="EP445" s="539"/>
      <c r="EQ445" s="19"/>
      <c r="ER445" s="10"/>
      <c r="ET445" s="539"/>
      <c r="EU445" s="19"/>
      <c r="EV445" s="10"/>
      <c r="EX445" s="539"/>
      <c r="EY445" s="19"/>
      <c r="EZ445" s="10"/>
      <c r="FB445" s="539"/>
      <c r="FC445" s="19"/>
      <c r="FD445" s="10"/>
      <c r="FF445" s="539"/>
      <c r="FG445" s="19"/>
      <c r="FH445" s="10"/>
      <c r="FJ445" s="539"/>
      <c r="FK445" s="19"/>
      <c r="FL445" s="10"/>
      <c r="FN445" s="539"/>
      <c r="FO445" s="19"/>
      <c r="FP445" s="10"/>
      <c r="FR445" s="539"/>
      <c r="FS445" s="19"/>
      <c r="FT445" s="10"/>
      <c r="FV445" s="539"/>
      <c r="FW445" s="19"/>
      <c r="FX445" s="10"/>
      <c r="FZ445" s="539"/>
      <c r="GA445" s="19"/>
      <c r="GB445" s="10"/>
      <c r="GD445" s="539"/>
      <c r="GE445" s="19"/>
      <c r="GF445" s="10"/>
      <c r="GH445" s="539"/>
      <c r="GI445" s="19"/>
      <c r="GJ445" s="10"/>
      <c r="GL445" s="539"/>
      <c r="GM445" s="16"/>
      <c r="GN445" s="10"/>
      <c r="GP445" s="541"/>
      <c r="GQ445" s="16"/>
      <c r="GR445" s="10"/>
      <c r="GT445" s="541"/>
      <c r="GU445" s="16"/>
      <c r="GV445" s="10"/>
      <c r="GX445" s="541"/>
      <c r="GY445" s="16"/>
      <c r="GZ445" s="10"/>
      <c r="HB445" s="541"/>
      <c r="HC445" s="16"/>
      <c r="HD445" s="10"/>
      <c r="HF445" s="541"/>
      <c r="HG445" s="16"/>
      <c r="HH445" s="10"/>
      <c r="HJ445" s="541"/>
      <c r="HK445" s="16"/>
      <c r="HL445" s="10"/>
      <c r="HN445" s="541"/>
      <c r="HO445" s="16"/>
      <c r="HP445" s="10"/>
      <c r="HR445" s="539"/>
      <c r="HS445" s="19"/>
      <c r="HT445" s="10"/>
      <c r="HV445" s="539"/>
      <c r="HW445" s="420"/>
      <c r="HX445" s="10"/>
      <c r="HZ445" s="539"/>
      <c r="IA445" s="420"/>
    </row>
    <row r="446" spans="5:236">
      <c r="E446" s="46"/>
      <c r="F446" s="46"/>
      <c r="G446" s="46"/>
      <c r="H446" s="26"/>
      <c r="AU446" s="1003" t="s">
        <v>405</v>
      </c>
      <c r="AV446" s="999">
        <f t="shared" ref="AV446:AV454" si="1161">AV77/$AV$77</f>
        <v>1</v>
      </c>
      <c r="AW446" s="999">
        <f t="shared" ref="AW446:AW454" si="1162">AV77/$AV$78</f>
        <v>2.0421953526008298</v>
      </c>
      <c r="AX446" s="999">
        <f t="shared" ref="AX446:AX454" si="1163">AV77/$AV$79</f>
        <v>26.285391591762384</v>
      </c>
      <c r="AY446" s="999" t="e">
        <f t="shared" ref="AY446:AY454" si="1164">AV77/$AV$80</f>
        <v>#REF!</v>
      </c>
      <c r="AZ446" s="999" t="e">
        <f t="shared" ref="AZ446:AZ454" si="1165">AV77/$AV$81</f>
        <v>#REF!</v>
      </c>
      <c r="BA446" s="999">
        <f t="shared" ref="BA446:BA454" si="1166">AV77/$AV$82</f>
        <v>365.08033763764672</v>
      </c>
      <c r="BB446" s="999">
        <f t="shared" ref="BB446:BB454" si="1167">AV77/$AV$83</f>
        <v>3.0506830083400045</v>
      </c>
      <c r="BC446" s="999">
        <f t="shared" ref="BC446:BC454" si="1168">AV77/$AV$84</f>
        <v>0.45580396321606964</v>
      </c>
      <c r="BD446" s="1004" t="e">
        <f t="shared" ref="BD446:BD454" si="1169">AV77/$AV$85</f>
        <v>#REF!</v>
      </c>
      <c r="BV446" s="540"/>
      <c r="BW446" s="420"/>
      <c r="BX446" s="10"/>
      <c r="BZ446" s="540"/>
      <c r="CA446" s="420"/>
      <c r="CB446" s="10"/>
      <c r="CD446" s="540"/>
      <c r="CE446" s="420"/>
      <c r="CF446" s="10"/>
      <c r="CH446" s="540"/>
      <c r="CI446" s="420"/>
      <c r="CJ446" s="10"/>
      <c r="CL446" s="540"/>
      <c r="CM446" s="420"/>
      <c r="CN446" s="10"/>
      <c r="CP446" s="540"/>
      <c r="CQ446" s="420"/>
      <c r="CR446" s="10"/>
      <c r="CT446" s="540"/>
      <c r="CU446" s="420"/>
      <c r="CV446" s="10"/>
      <c r="CX446" s="540"/>
      <c r="CY446" s="420"/>
      <c r="CZ446" s="10"/>
      <c r="DB446" s="540"/>
      <c r="DC446" s="420"/>
      <c r="DD446" s="10"/>
      <c r="DF446" s="540"/>
      <c r="DG446" s="420"/>
      <c r="DH446" s="10"/>
      <c r="DJ446" s="540"/>
      <c r="DK446" s="420"/>
      <c r="DL446" s="10"/>
      <c r="DN446" s="540"/>
      <c r="DO446" s="420"/>
      <c r="DP446" s="10"/>
      <c r="DR446" s="540"/>
      <c r="DS446" s="420"/>
      <c r="DT446" s="10"/>
      <c r="DV446" s="540"/>
      <c r="DW446" s="420"/>
      <c r="DX446" s="10"/>
      <c r="DZ446" s="540"/>
      <c r="EA446" s="420"/>
      <c r="EB446" s="10"/>
      <c r="ED446" s="539"/>
      <c r="EE446" s="19"/>
      <c r="EF446" s="10"/>
      <c r="EH446" s="539"/>
      <c r="EI446" s="19"/>
      <c r="EJ446" s="10"/>
      <c r="EL446" s="539"/>
      <c r="EM446" s="19"/>
      <c r="EN446" s="10"/>
      <c r="EP446" s="539"/>
      <c r="EQ446" s="19"/>
      <c r="ER446" s="10"/>
      <c r="ET446" s="539"/>
      <c r="EU446" s="19"/>
      <c r="EV446" s="10"/>
      <c r="EX446" s="539"/>
      <c r="EY446" s="19"/>
      <c r="EZ446" s="10"/>
      <c r="FB446" s="539"/>
      <c r="FC446" s="19"/>
      <c r="FD446" s="10"/>
      <c r="FF446" s="539"/>
      <c r="FG446" s="19"/>
      <c r="FH446" s="10"/>
      <c r="FJ446" s="539"/>
      <c r="FK446" s="19"/>
      <c r="FL446" s="10"/>
      <c r="FN446" s="539"/>
      <c r="FO446" s="19"/>
      <c r="FP446" s="10"/>
      <c r="FR446" s="539"/>
      <c r="FS446" s="19"/>
      <c r="FT446" s="10"/>
      <c r="FV446" s="539"/>
      <c r="FW446" s="19"/>
      <c r="FX446" s="10"/>
      <c r="FZ446" s="539"/>
      <c r="GA446" s="19"/>
      <c r="GB446" s="10"/>
      <c r="GD446" s="539"/>
      <c r="GE446" s="19"/>
      <c r="GF446" s="10"/>
      <c r="GH446" s="539"/>
      <c r="GI446" s="19"/>
      <c r="GJ446" s="10"/>
      <c r="GL446" s="539"/>
      <c r="GM446" s="16"/>
      <c r="GN446" s="10"/>
      <c r="GP446" s="541"/>
      <c r="GQ446" s="16"/>
      <c r="GR446" s="10"/>
      <c r="GT446" s="541"/>
      <c r="GU446" s="16"/>
      <c r="GV446" s="10"/>
      <c r="GX446" s="541"/>
      <c r="GY446" s="16"/>
      <c r="GZ446" s="10"/>
      <c r="HB446" s="541"/>
      <c r="HC446" s="16"/>
      <c r="HD446" s="10"/>
      <c r="HF446" s="541"/>
      <c r="HG446" s="16"/>
      <c r="HH446" s="10"/>
      <c r="HJ446" s="541"/>
      <c r="HK446" s="16"/>
      <c r="HL446" s="10"/>
      <c r="HN446" s="541"/>
      <c r="HO446" s="16"/>
      <c r="HP446" s="10"/>
      <c r="HR446" s="539"/>
      <c r="HS446" s="19"/>
      <c r="HT446" s="10"/>
      <c r="HV446" s="539"/>
      <c r="HW446" s="420"/>
      <c r="HX446" s="10"/>
      <c r="HZ446" s="539"/>
      <c r="IA446" s="420"/>
    </row>
    <row r="447" spans="5:236">
      <c r="E447" s="46"/>
      <c r="F447" s="46"/>
      <c r="G447" s="46"/>
      <c r="H447" s="26"/>
      <c r="AU447" s="1003" t="s">
        <v>116</v>
      </c>
      <c r="AV447" s="999">
        <f t="shared" si="1161"/>
        <v>0.48966911942408153</v>
      </c>
      <c r="AW447" s="999">
        <f t="shared" si="1162"/>
        <v>1</v>
      </c>
      <c r="AX447" s="999">
        <f t="shared" si="1163"/>
        <v>12.871144554455444</v>
      </c>
      <c r="AY447" s="999" t="e">
        <f t="shared" si="1164"/>
        <v>#REF!</v>
      </c>
      <c r="AZ447" s="999" t="e">
        <f t="shared" si="1165"/>
        <v>#REF!</v>
      </c>
      <c r="BA447" s="999">
        <f t="shared" si="1166"/>
        <v>178.76856745007285</v>
      </c>
      <c r="BB447" s="999">
        <f t="shared" si="1167"/>
        <v>1.4938252623358581</v>
      </c>
      <c r="BC447" s="999">
        <f t="shared" si="1168"/>
        <v>0.2231931252980193</v>
      </c>
      <c r="BD447" s="1004" t="e">
        <f t="shared" si="1169"/>
        <v>#REF!</v>
      </c>
      <c r="BV447" s="540"/>
      <c r="BW447" s="420"/>
      <c r="BX447" s="10"/>
      <c r="BZ447" s="540"/>
      <c r="CA447" s="420"/>
      <c r="CB447" s="10"/>
      <c r="CD447" s="540"/>
      <c r="CE447" s="420"/>
      <c r="CF447" s="10"/>
      <c r="CH447" s="540"/>
      <c r="CI447" s="420"/>
      <c r="CJ447" s="10"/>
      <c r="CL447" s="540"/>
      <c r="CM447" s="420"/>
      <c r="CN447" s="10"/>
      <c r="CP447" s="540"/>
      <c r="CQ447" s="420"/>
      <c r="CR447" s="10"/>
      <c r="CT447" s="540"/>
      <c r="CU447" s="420"/>
      <c r="CV447" s="10"/>
      <c r="CX447" s="540"/>
      <c r="CY447" s="420"/>
      <c r="CZ447" s="10"/>
      <c r="DB447" s="540"/>
      <c r="DC447" s="420"/>
      <c r="DD447" s="10"/>
      <c r="DF447" s="540"/>
      <c r="DG447" s="420"/>
      <c r="DH447" s="10"/>
      <c r="DJ447" s="540"/>
      <c r="DK447" s="420"/>
      <c r="DL447" s="10"/>
      <c r="DN447" s="540"/>
      <c r="DO447" s="420"/>
      <c r="DP447" s="10"/>
      <c r="DR447" s="540"/>
      <c r="DS447" s="420"/>
      <c r="DT447" s="10"/>
      <c r="DV447" s="540"/>
      <c r="DW447" s="420"/>
      <c r="DX447" s="10"/>
      <c r="DZ447" s="540"/>
      <c r="EA447" s="420"/>
      <c r="EB447" s="10"/>
      <c r="ED447" s="539"/>
      <c r="EE447" s="19"/>
      <c r="EF447" s="10"/>
      <c r="EH447" s="539"/>
      <c r="EI447" s="19"/>
      <c r="EJ447" s="10"/>
      <c r="EL447" s="539"/>
      <c r="EM447" s="19"/>
      <c r="EN447" s="10"/>
      <c r="EP447" s="539"/>
      <c r="EQ447" s="19"/>
      <c r="ER447" s="10"/>
      <c r="ET447" s="539"/>
      <c r="EU447" s="19"/>
      <c r="EV447" s="10"/>
      <c r="EX447" s="539"/>
      <c r="EY447" s="19"/>
      <c r="EZ447" s="10"/>
      <c r="FB447" s="539"/>
      <c r="FC447" s="19"/>
      <c r="FD447" s="10"/>
      <c r="FF447" s="539"/>
      <c r="FG447" s="19"/>
      <c r="FH447" s="10"/>
      <c r="FJ447" s="539"/>
      <c r="FK447" s="19"/>
      <c r="FL447" s="10"/>
      <c r="FN447" s="539"/>
      <c r="FO447" s="19"/>
      <c r="FP447" s="10"/>
      <c r="FR447" s="539"/>
      <c r="FS447" s="19"/>
      <c r="FT447" s="10"/>
      <c r="FV447" s="539"/>
      <c r="FW447" s="19"/>
      <c r="FX447" s="10"/>
      <c r="FZ447" s="539"/>
      <c r="GA447" s="19"/>
      <c r="GB447" s="10"/>
      <c r="GD447" s="539"/>
      <c r="GE447" s="19"/>
      <c r="GF447" s="10"/>
      <c r="GH447" s="539"/>
      <c r="GI447" s="19"/>
      <c r="GJ447" s="10"/>
      <c r="GL447" s="539"/>
      <c r="GM447" s="16"/>
      <c r="GN447" s="10"/>
      <c r="GP447" s="541"/>
      <c r="GQ447" s="16"/>
      <c r="GR447" s="10"/>
      <c r="GT447" s="541"/>
      <c r="GU447" s="16"/>
      <c r="GV447" s="10"/>
      <c r="GX447" s="541"/>
      <c r="GY447" s="16"/>
      <c r="GZ447" s="10"/>
      <c r="HB447" s="541"/>
      <c r="HC447" s="16"/>
      <c r="HD447" s="10"/>
      <c r="HF447" s="541"/>
      <c r="HG447" s="16"/>
      <c r="HH447" s="10"/>
      <c r="HJ447" s="541"/>
      <c r="HK447" s="16"/>
      <c r="HL447" s="10"/>
      <c r="HN447" s="541"/>
      <c r="HO447" s="16"/>
      <c r="HP447" s="10"/>
      <c r="HR447" s="539"/>
      <c r="HS447" s="19"/>
      <c r="HT447" s="10"/>
      <c r="HV447" s="539"/>
      <c r="HW447" s="420"/>
      <c r="HX447" s="10"/>
      <c r="HZ447" s="539"/>
      <c r="IA447" s="420"/>
    </row>
    <row r="448" spans="5:236">
      <c r="E448" s="46"/>
      <c r="F448" s="46"/>
      <c r="G448" s="46"/>
      <c r="H448" s="26"/>
      <c r="AU448" s="1003" t="s">
        <v>1155</v>
      </c>
      <c r="AV448" s="999">
        <f t="shared" si="1161"/>
        <v>3.8043945303572781E-2</v>
      </c>
      <c r="AW448" s="999">
        <f t="shared" si="1162"/>
        <v>7.7693168293556492E-2</v>
      </c>
      <c r="AX448" s="999">
        <f t="shared" si="1163"/>
        <v>1</v>
      </c>
      <c r="AY448" s="999" t="e">
        <f t="shared" si="1164"/>
        <v>#REF!</v>
      </c>
      <c r="AZ448" s="999" t="e">
        <f t="shared" si="1165"/>
        <v>#REF!</v>
      </c>
      <c r="BA448" s="999">
        <f t="shared" si="1166"/>
        <v>13.889096396496516</v>
      </c>
      <c r="BB448" s="999">
        <f t="shared" si="1167"/>
        <v>0.116060017507826</v>
      </c>
      <c r="BC448" s="999">
        <f t="shared" si="1168"/>
        <v>1.7340581045743854E-2</v>
      </c>
      <c r="BD448" s="1004" t="e">
        <f t="shared" si="1169"/>
        <v>#REF!</v>
      </c>
    </row>
    <row r="449" spans="5:238">
      <c r="E449" s="46"/>
      <c r="F449" s="46"/>
      <c r="G449" s="46"/>
      <c r="H449" s="26"/>
      <c r="AU449" s="1003" t="s">
        <v>406</v>
      </c>
      <c r="AV449" s="999" t="e">
        <f t="shared" si="1161"/>
        <v>#REF!</v>
      </c>
      <c r="AW449" s="999" t="e">
        <f t="shared" si="1162"/>
        <v>#REF!</v>
      </c>
      <c r="AX449" s="999" t="e">
        <f t="shared" si="1163"/>
        <v>#REF!</v>
      </c>
      <c r="AY449" s="999" t="e">
        <f t="shared" si="1164"/>
        <v>#REF!</v>
      </c>
      <c r="AZ449" s="999" t="e">
        <f t="shared" si="1165"/>
        <v>#REF!</v>
      </c>
      <c r="BA449" s="999" t="e">
        <f t="shared" si="1166"/>
        <v>#REF!</v>
      </c>
      <c r="BB449" s="999" t="e">
        <f t="shared" si="1167"/>
        <v>#REF!</v>
      </c>
      <c r="BC449" s="999" t="e">
        <f t="shared" si="1168"/>
        <v>#REF!</v>
      </c>
      <c r="BD449" s="1004" t="e">
        <f t="shared" si="1169"/>
        <v>#REF!</v>
      </c>
    </row>
    <row r="450" spans="5:238">
      <c r="E450" s="46"/>
      <c r="F450" s="46"/>
      <c r="G450" s="46"/>
      <c r="H450" s="26"/>
      <c r="AU450" s="1003" t="s">
        <v>51</v>
      </c>
      <c r="AV450" s="999" t="e">
        <f t="shared" si="1161"/>
        <v>#REF!</v>
      </c>
      <c r="AW450" s="999" t="e">
        <f t="shared" si="1162"/>
        <v>#REF!</v>
      </c>
      <c r="AX450" s="999" t="e">
        <f t="shared" si="1163"/>
        <v>#REF!</v>
      </c>
      <c r="AY450" s="999" t="e">
        <f t="shared" si="1164"/>
        <v>#REF!</v>
      </c>
      <c r="AZ450" s="999" t="e">
        <f t="shared" si="1165"/>
        <v>#REF!</v>
      </c>
      <c r="BA450" s="999" t="e">
        <f t="shared" si="1166"/>
        <v>#REF!</v>
      </c>
      <c r="BB450" s="999" t="e">
        <f t="shared" si="1167"/>
        <v>#REF!</v>
      </c>
      <c r="BC450" s="999" t="e">
        <f t="shared" si="1168"/>
        <v>#REF!</v>
      </c>
      <c r="BD450" s="1004" t="e">
        <f t="shared" si="1169"/>
        <v>#REF!</v>
      </c>
    </row>
    <row r="451" spans="5:238">
      <c r="E451" s="46"/>
      <c r="F451" s="46"/>
      <c r="G451" s="46"/>
      <c r="H451" s="26"/>
      <c r="AU451" s="1003" t="s">
        <v>2213</v>
      </c>
      <c r="AV451" s="999">
        <f t="shared" si="1161"/>
        <v>2.7391231378572083E-3</v>
      </c>
      <c r="AW451" s="999">
        <f t="shared" si="1162"/>
        <v>5.5938245423333924E-3</v>
      </c>
      <c r="AX451" s="999">
        <f t="shared" si="1163"/>
        <v>7.1998924296633668E-2</v>
      </c>
      <c r="AY451" s="999" t="e">
        <f t="shared" si="1164"/>
        <v>#REF!</v>
      </c>
      <c r="AZ451" s="999" t="e">
        <f t="shared" si="1165"/>
        <v>#REF!</v>
      </c>
      <c r="BA451" s="999">
        <f t="shared" si="1166"/>
        <v>1</v>
      </c>
      <c r="BB451" s="999">
        <f t="shared" si="1167"/>
        <v>8.356196414411942E-3</v>
      </c>
      <c r="BC451" s="999">
        <f t="shared" si="1168"/>
        <v>1.2485031819721524E-3</v>
      </c>
      <c r="BD451" s="1004" t="e">
        <f t="shared" si="1169"/>
        <v>#REF!</v>
      </c>
      <c r="BQ451" s="420"/>
    </row>
    <row r="452" spans="5:238">
      <c r="E452" s="46"/>
      <c r="F452" s="46"/>
      <c r="G452" s="46"/>
      <c r="H452" s="26"/>
      <c r="AU452" s="1003" t="s">
        <v>407</v>
      </c>
      <c r="AV452" s="999">
        <f t="shared" si="1161"/>
        <v>0.32779544687736628</v>
      </c>
      <c r="AW452" s="999">
        <f t="shared" si="1162"/>
        <v>0.66942233821666963</v>
      </c>
      <c r="AX452" s="999">
        <f t="shared" si="1163"/>
        <v>8.6162316831683174</v>
      </c>
      <c r="AY452" s="999" t="e">
        <f t="shared" si="1164"/>
        <v>#REF!</v>
      </c>
      <c r="AZ452" s="999" t="e">
        <f t="shared" si="1165"/>
        <v>#REF!</v>
      </c>
      <c r="BA452" s="999">
        <f t="shared" si="1166"/>
        <v>119.67167242207218</v>
      </c>
      <c r="BB452" s="999">
        <f t="shared" si="1167"/>
        <v>1</v>
      </c>
      <c r="BC452" s="999">
        <f t="shared" si="1168"/>
        <v>0.14941046381088618</v>
      </c>
      <c r="BD452" s="1004" t="e">
        <f t="shared" si="1169"/>
        <v>#REF!</v>
      </c>
      <c r="BQ452" s="420"/>
    </row>
    <row r="453" spans="5:238">
      <c r="E453" s="46"/>
      <c r="F453" s="46"/>
      <c r="G453" s="46"/>
      <c r="H453" s="26"/>
      <c r="AU453" s="1003" t="s">
        <v>1858</v>
      </c>
      <c r="AV453" s="999">
        <f t="shared" si="1161"/>
        <v>2.1939256362410329</v>
      </c>
      <c r="AW453" s="999">
        <f t="shared" si="1162"/>
        <v>4.480424738283256</v>
      </c>
      <c r="AX453" s="999">
        <f t="shared" si="1163"/>
        <v>57.668194471801989</v>
      </c>
      <c r="AY453" s="999" t="e">
        <f t="shared" si="1164"/>
        <v>#REF!</v>
      </c>
      <c r="AZ453" s="999" t="e">
        <f t="shared" si="1165"/>
        <v>#REF!</v>
      </c>
      <c r="BA453" s="999">
        <f t="shared" si="1166"/>
        <v>800.95911203076525</v>
      </c>
      <c r="BB453" s="999">
        <f t="shared" si="1167"/>
        <v>6.692971660042053</v>
      </c>
      <c r="BC453" s="999">
        <f t="shared" si="1168"/>
        <v>1</v>
      </c>
      <c r="BD453" s="1004" t="e">
        <f t="shared" si="1169"/>
        <v>#REF!</v>
      </c>
      <c r="BQ453" s="420"/>
      <c r="IC453" s="539"/>
    </row>
    <row r="454" spans="5:238" ht="13.5" thickBot="1">
      <c r="E454" s="46"/>
      <c r="F454" s="46"/>
      <c r="G454" s="46"/>
      <c r="H454" s="26"/>
      <c r="AU454" s="1005" t="s">
        <v>855</v>
      </c>
      <c r="AV454" s="1035" t="e">
        <f t="shared" si="1161"/>
        <v>#REF!</v>
      </c>
      <c r="AW454" s="1035" t="e">
        <f t="shared" si="1162"/>
        <v>#REF!</v>
      </c>
      <c r="AX454" s="1035" t="e">
        <f t="shared" si="1163"/>
        <v>#REF!</v>
      </c>
      <c r="AY454" s="1035" t="e">
        <f t="shared" si="1164"/>
        <v>#REF!</v>
      </c>
      <c r="AZ454" s="1035" t="e">
        <f t="shared" si="1165"/>
        <v>#REF!</v>
      </c>
      <c r="BA454" s="1035" t="e">
        <f t="shared" si="1166"/>
        <v>#REF!</v>
      </c>
      <c r="BB454" s="1035" t="e">
        <f t="shared" si="1167"/>
        <v>#REF!</v>
      </c>
      <c r="BC454" s="1035" t="e">
        <f t="shared" si="1168"/>
        <v>#REF!</v>
      </c>
      <c r="BD454" s="1036" t="e">
        <f t="shared" si="1169"/>
        <v>#REF!</v>
      </c>
      <c r="BQ454" s="420"/>
      <c r="IC454" s="539"/>
    </row>
    <row r="455" spans="5:238">
      <c r="E455" s="46"/>
      <c r="F455" s="46"/>
      <c r="G455" s="46"/>
      <c r="H455" s="26"/>
      <c r="AU455" s="420"/>
      <c r="AV455" s="420"/>
      <c r="AW455" s="420"/>
      <c r="AX455" s="19"/>
      <c r="AY455" s="19"/>
      <c r="AZ455" s="19"/>
      <c r="BQ455" s="420"/>
      <c r="BR455" s="420"/>
      <c r="IC455" s="539"/>
    </row>
    <row r="456" spans="5:238">
      <c r="E456" s="46"/>
      <c r="F456" s="46"/>
      <c r="G456" s="46"/>
      <c r="BD456" s="19"/>
      <c r="BQ456" s="420"/>
      <c r="BR456" s="420"/>
      <c r="IC456" s="10"/>
      <c r="ID456" s="539"/>
    </row>
    <row r="457" spans="5:238">
      <c r="E457" s="46"/>
      <c r="F457" s="46"/>
      <c r="G457" s="46"/>
      <c r="BC457" s="420"/>
      <c r="BQ457" s="420"/>
      <c r="BR457" s="420"/>
      <c r="IC457" s="10"/>
      <c r="ID457" s="539"/>
    </row>
    <row r="458" spans="5:238">
      <c r="F458" s="46"/>
      <c r="G458" s="46"/>
      <c r="BQ458" s="420"/>
      <c r="BR458" s="420"/>
      <c r="IC458" s="10"/>
      <c r="ID458" s="539"/>
    </row>
    <row r="459" spans="5:238">
      <c r="F459" s="46"/>
      <c r="G459" s="46"/>
      <c r="BQ459" s="420"/>
      <c r="BR459" s="420"/>
      <c r="IC459" s="10"/>
      <c r="ID459" s="539"/>
    </row>
    <row r="460" spans="5:238">
      <c r="BQ460" s="420"/>
      <c r="BR460" s="420"/>
      <c r="IC460" s="10"/>
      <c r="ID460" s="539"/>
    </row>
    <row r="461" spans="5:238">
      <c r="BQ461" s="420"/>
      <c r="BR461" s="420"/>
      <c r="IC461" s="10"/>
      <c r="ID461" s="539"/>
    </row>
    <row r="462" spans="5:238">
      <c r="BQ462" s="420"/>
      <c r="BR462" s="420"/>
      <c r="IC462" s="10"/>
      <c r="ID462" s="539"/>
    </row>
    <row r="463" spans="5:238">
      <c r="BQ463" s="420"/>
      <c r="BR463" s="420"/>
      <c r="IC463" s="10"/>
      <c r="ID463" s="539"/>
    </row>
    <row r="464" spans="5:238">
      <c r="BQ464" s="420"/>
      <c r="BR464" s="420"/>
      <c r="IC464" s="539"/>
    </row>
    <row r="465" spans="55:237">
      <c r="BQ465" s="420"/>
      <c r="BR465" s="420"/>
      <c r="IC465" s="539"/>
    </row>
    <row r="466" spans="55:237">
      <c r="BQ466" s="420"/>
      <c r="BR466" s="420"/>
      <c r="BS466" s="19"/>
      <c r="BT466" s="16"/>
      <c r="BW466" s="420"/>
      <c r="BY466" s="540"/>
      <c r="BZ466" s="420"/>
      <c r="CA466" s="10"/>
      <c r="CB466" s="10"/>
      <c r="CC466" s="540"/>
      <c r="CD466" s="420"/>
      <c r="CE466" s="10"/>
      <c r="CF466" s="10"/>
      <c r="CG466" s="540"/>
      <c r="CH466" s="420"/>
      <c r="CI466" s="10"/>
      <c r="CJ466" s="10"/>
      <c r="CK466" s="540"/>
      <c r="CL466" s="420"/>
      <c r="CM466" s="10"/>
      <c r="CN466" s="10"/>
      <c r="CO466" s="540"/>
      <c r="CP466" s="420"/>
      <c r="CQ466" s="10"/>
      <c r="CR466" s="10"/>
      <c r="CS466" s="540"/>
      <c r="CT466" s="420"/>
      <c r="CU466" s="10"/>
      <c r="CV466" s="10"/>
      <c r="CW466" s="540"/>
      <c r="CX466" s="420"/>
      <c r="CY466" s="10"/>
      <c r="CZ466" s="10"/>
      <c r="DA466" s="540"/>
      <c r="DB466" s="420"/>
      <c r="DC466" s="10"/>
      <c r="DD466" s="10"/>
      <c r="DE466" s="540"/>
      <c r="DF466" s="420"/>
      <c r="DG466" s="10"/>
      <c r="DH466" s="10"/>
      <c r="DI466" s="540"/>
      <c r="DJ466" s="420"/>
      <c r="DK466" s="10"/>
      <c r="DL466" s="10"/>
      <c r="DM466" s="540"/>
      <c r="DN466" s="420"/>
      <c r="DO466" s="10"/>
      <c r="DP466" s="10"/>
      <c r="DQ466" s="540"/>
      <c r="DR466" s="420"/>
      <c r="DS466" s="10"/>
      <c r="DT466" s="10"/>
      <c r="DU466" s="540"/>
      <c r="DV466" s="420"/>
      <c r="DW466" s="10"/>
      <c r="DX466" s="10"/>
      <c r="DY466" s="540"/>
      <c r="DZ466" s="420"/>
      <c r="EA466" s="10"/>
      <c r="EB466" s="10"/>
      <c r="EC466" s="540"/>
      <c r="ED466" s="420"/>
      <c r="EE466" s="10"/>
      <c r="EF466" s="10"/>
      <c r="EG466" s="539"/>
      <c r="EH466" s="19"/>
      <c r="EI466" s="10"/>
      <c r="EJ466" s="10"/>
      <c r="EK466" s="539"/>
      <c r="EL466" s="19"/>
      <c r="EM466" s="10"/>
      <c r="EN466" s="10"/>
      <c r="EO466" s="539"/>
      <c r="EP466" s="19"/>
      <c r="EQ466" s="10"/>
      <c r="ER466" s="10"/>
      <c r="ES466" s="539"/>
      <c r="ET466" s="19"/>
      <c r="EU466" s="10"/>
      <c r="EV466" s="10"/>
      <c r="EW466" s="539"/>
      <c r="EX466" s="19"/>
      <c r="EY466" s="10"/>
      <c r="EZ466" s="10"/>
      <c r="FA466" s="539"/>
      <c r="FB466" s="19"/>
      <c r="FC466" s="10"/>
      <c r="FD466" s="10"/>
      <c r="FE466" s="539"/>
      <c r="FF466" s="19"/>
      <c r="FG466" s="10"/>
      <c r="FH466" s="10"/>
      <c r="FI466" s="539"/>
      <c r="FJ466" s="19"/>
      <c r="FK466" s="10"/>
      <c r="FL466" s="10"/>
      <c r="FM466" s="539"/>
      <c r="FN466" s="19"/>
      <c r="FO466" s="10"/>
      <c r="FP466" s="10"/>
      <c r="FQ466" s="539"/>
      <c r="FR466" s="19"/>
      <c r="FS466" s="10"/>
      <c r="FT466" s="10"/>
      <c r="FU466" s="539"/>
      <c r="FV466" s="19"/>
      <c r="FW466" s="10"/>
      <c r="FX466" s="10"/>
      <c r="FY466" s="539"/>
      <c r="FZ466" s="19"/>
      <c r="GA466" s="10"/>
      <c r="GB466" s="10"/>
      <c r="GC466" s="539"/>
      <c r="GD466" s="19"/>
      <c r="GE466" s="10"/>
      <c r="GF466" s="10"/>
      <c r="GG466" s="539"/>
      <c r="GH466" s="19"/>
      <c r="GI466" s="10"/>
      <c r="GJ466" s="10"/>
      <c r="GK466" s="539"/>
      <c r="GL466" s="19"/>
      <c r="GM466" s="10"/>
      <c r="GN466" s="10"/>
      <c r="GO466" s="539"/>
      <c r="GP466" s="16"/>
      <c r="GQ466" s="10"/>
      <c r="GR466" s="10"/>
      <c r="GS466" s="541"/>
      <c r="GT466" s="16"/>
      <c r="GU466" s="10"/>
      <c r="GV466" s="10"/>
      <c r="GW466" s="541"/>
      <c r="GX466" s="16"/>
      <c r="GY466" s="10"/>
      <c r="GZ466" s="10"/>
      <c r="HA466" s="541"/>
      <c r="HB466" s="16"/>
      <c r="HC466" s="10"/>
      <c r="HD466" s="10"/>
      <c r="HE466" s="541"/>
      <c r="HF466" s="16"/>
      <c r="HG466" s="10"/>
      <c r="HH466" s="10"/>
      <c r="HI466" s="541"/>
      <c r="HJ466" s="16"/>
      <c r="HK466" s="10"/>
      <c r="HL466" s="10"/>
      <c r="HM466" s="541"/>
      <c r="HN466" s="16"/>
      <c r="HO466" s="10"/>
      <c r="HP466" s="10"/>
      <c r="HQ466" s="541"/>
      <c r="HR466" s="16"/>
      <c r="HS466" s="10"/>
      <c r="HT466" s="10"/>
      <c r="HU466" s="539"/>
      <c r="HV466" s="19"/>
      <c r="HW466" s="10"/>
      <c r="HX466" s="10"/>
      <c r="HY466" s="539"/>
      <c r="HZ466" s="420"/>
      <c r="IA466" s="10"/>
      <c r="IB466" s="10"/>
      <c r="IC466" s="539"/>
    </row>
    <row r="467" spans="55:237">
      <c r="BQ467" s="420"/>
      <c r="BR467" s="420"/>
      <c r="BS467" s="19"/>
      <c r="BT467" s="16"/>
      <c r="BW467" s="420"/>
      <c r="BY467" s="540"/>
      <c r="BZ467" s="420"/>
      <c r="CA467" s="10"/>
      <c r="CB467" s="10"/>
      <c r="CC467" s="540"/>
      <c r="CD467" s="420"/>
      <c r="CE467" s="10"/>
      <c r="CF467" s="10"/>
      <c r="CG467" s="540"/>
      <c r="CH467" s="420"/>
      <c r="CI467" s="10"/>
      <c r="CJ467" s="10"/>
      <c r="CK467" s="540"/>
      <c r="CL467" s="420"/>
      <c r="CM467" s="10"/>
      <c r="CN467" s="10"/>
      <c r="CO467" s="540"/>
      <c r="CP467" s="420"/>
      <c r="CQ467" s="10"/>
      <c r="CR467" s="10"/>
      <c r="CS467" s="540"/>
      <c r="CT467" s="420"/>
      <c r="CU467" s="10"/>
      <c r="CV467" s="10"/>
      <c r="CW467" s="540"/>
      <c r="CX467" s="420"/>
      <c r="CY467" s="10"/>
      <c r="CZ467" s="10"/>
      <c r="DA467" s="540"/>
      <c r="DB467" s="420"/>
      <c r="DC467" s="10"/>
      <c r="DD467" s="10"/>
      <c r="DE467" s="540"/>
      <c r="DF467" s="420"/>
      <c r="DG467" s="10"/>
      <c r="DH467" s="10"/>
      <c r="DI467" s="540"/>
      <c r="DJ467" s="420"/>
      <c r="DK467" s="10"/>
      <c r="DL467" s="10"/>
      <c r="DM467" s="540"/>
      <c r="DN467" s="420"/>
      <c r="DO467" s="10"/>
      <c r="DP467" s="10"/>
      <c r="DQ467" s="540"/>
      <c r="DR467" s="420"/>
      <c r="DS467" s="10"/>
      <c r="DT467" s="10"/>
      <c r="DU467" s="540"/>
      <c r="DV467" s="420"/>
      <c r="DW467" s="10"/>
      <c r="DX467" s="10"/>
      <c r="DY467" s="540"/>
      <c r="DZ467" s="420"/>
      <c r="EA467" s="10"/>
      <c r="EB467" s="10"/>
      <c r="EC467" s="540"/>
      <c r="ED467" s="420"/>
      <c r="EE467" s="10"/>
      <c r="EF467" s="10"/>
      <c r="EG467" s="539"/>
      <c r="EH467" s="19"/>
      <c r="EI467" s="10"/>
      <c r="EJ467" s="10"/>
      <c r="EK467" s="539"/>
      <c r="EL467" s="19"/>
      <c r="EM467" s="10"/>
      <c r="EN467" s="10"/>
      <c r="EO467" s="539"/>
      <c r="EP467" s="19"/>
      <c r="EQ467" s="10"/>
      <c r="ER467" s="10"/>
      <c r="ES467" s="539"/>
      <c r="ET467" s="19"/>
      <c r="EU467" s="10"/>
      <c r="EV467" s="10"/>
      <c r="EW467" s="539"/>
      <c r="EX467" s="19"/>
      <c r="EY467" s="10"/>
      <c r="EZ467" s="10"/>
      <c r="FA467" s="539"/>
      <c r="FB467" s="19"/>
      <c r="FC467" s="10"/>
      <c r="FD467" s="10"/>
      <c r="FE467" s="539"/>
      <c r="FF467" s="19"/>
      <c r="FG467" s="10"/>
      <c r="FH467" s="10"/>
      <c r="FI467" s="539"/>
      <c r="FJ467" s="19"/>
      <c r="FK467" s="10"/>
      <c r="FL467" s="10"/>
      <c r="FM467" s="539"/>
      <c r="FN467" s="19"/>
      <c r="FO467" s="10"/>
      <c r="FP467" s="10"/>
      <c r="FQ467" s="539"/>
      <c r="FR467" s="19"/>
      <c r="FS467" s="10"/>
      <c r="FT467" s="10"/>
      <c r="FU467" s="539"/>
      <c r="FV467" s="19"/>
      <c r="FW467" s="10"/>
      <c r="FX467" s="10"/>
      <c r="FY467" s="539"/>
      <c r="FZ467" s="19"/>
      <c r="GA467" s="10"/>
      <c r="GB467" s="10"/>
      <c r="GC467" s="539"/>
      <c r="GD467" s="19"/>
      <c r="GE467" s="10"/>
      <c r="GF467" s="10"/>
      <c r="GG467" s="539"/>
      <c r="GH467" s="19"/>
      <c r="GI467" s="10"/>
      <c r="GJ467" s="10"/>
      <c r="GK467" s="539"/>
      <c r="GL467" s="19"/>
      <c r="GM467" s="10"/>
      <c r="GN467" s="10"/>
      <c r="GO467" s="539"/>
      <c r="GP467" s="16"/>
      <c r="GQ467" s="10"/>
      <c r="GR467" s="10"/>
      <c r="GS467" s="541"/>
      <c r="GT467" s="16"/>
      <c r="GU467" s="10"/>
      <c r="GV467" s="10"/>
      <c r="GW467" s="541"/>
      <c r="GX467" s="16"/>
      <c r="GY467" s="10"/>
      <c r="GZ467" s="10"/>
      <c r="HA467" s="541"/>
      <c r="HB467" s="16"/>
      <c r="HC467" s="10"/>
      <c r="HD467" s="10"/>
      <c r="HE467" s="541"/>
      <c r="HF467" s="16"/>
      <c r="HG467" s="10"/>
      <c r="HH467" s="10"/>
      <c r="HI467" s="541"/>
      <c r="HJ467" s="16"/>
      <c r="HK467" s="10"/>
      <c r="HL467" s="10"/>
      <c r="HM467" s="541"/>
      <c r="HN467" s="16"/>
      <c r="HO467" s="10"/>
      <c r="HP467" s="10"/>
      <c r="HQ467" s="541"/>
      <c r="HR467" s="16"/>
      <c r="HS467" s="10"/>
      <c r="HT467" s="10"/>
      <c r="HU467" s="539"/>
      <c r="HV467" s="19"/>
      <c r="HW467" s="10"/>
      <c r="HX467" s="10"/>
      <c r="HY467" s="539"/>
      <c r="HZ467" s="420"/>
      <c r="IA467" s="10"/>
      <c r="IB467" s="10"/>
      <c r="IC467" s="539"/>
    </row>
    <row r="468" spans="55:237">
      <c r="BR468" s="420"/>
      <c r="BS468" s="19"/>
      <c r="BT468" s="16"/>
      <c r="BW468" s="420"/>
      <c r="BY468" s="540"/>
      <c r="BZ468" s="420"/>
      <c r="CA468" s="10"/>
      <c r="CB468" s="10"/>
      <c r="CC468" s="540"/>
      <c r="CD468" s="420"/>
      <c r="CE468" s="10"/>
      <c r="CF468" s="10"/>
      <c r="CG468" s="540"/>
      <c r="CH468" s="420"/>
      <c r="CI468" s="10"/>
      <c r="CJ468" s="10"/>
      <c r="CK468" s="540"/>
      <c r="CL468" s="420"/>
      <c r="CM468" s="10"/>
      <c r="CN468" s="10"/>
      <c r="CO468" s="540"/>
      <c r="CP468" s="420"/>
      <c r="CQ468" s="10"/>
      <c r="CR468" s="10"/>
      <c r="CS468" s="540"/>
      <c r="CT468" s="420"/>
      <c r="CU468" s="10"/>
      <c r="CV468" s="10"/>
      <c r="CW468" s="540"/>
      <c r="CX468" s="420"/>
      <c r="CY468" s="10"/>
      <c r="CZ468" s="10"/>
      <c r="DA468" s="540"/>
      <c r="DB468" s="420"/>
      <c r="DC468" s="10"/>
      <c r="DD468" s="10"/>
      <c r="DE468" s="540"/>
      <c r="DF468" s="420"/>
      <c r="DG468" s="10"/>
      <c r="DH468" s="10"/>
      <c r="DI468" s="540"/>
      <c r="DJ468" s="420"/>
      <c r="DK468" s="10"/>
      <c r="DL468" s="10"/>
      <c r="DM468" s="540"/>
      <c r="DN468" s="420"/>
      <c r="DO468" s="10"/>
      <c r="DP468" s="10"/>
      <c r="DQ468" s="540"/>
      <c r="DR468" s="420"/>
      <c r="DS468" s="10"/>
      <c r="DT468" s="10"/>
      <c r="DU468" s="540"/>
      <c r="DV468" s="420"/>
      <c r="DW468" s="10"/>
      <c r="DX468" s="10"/>
      <c r="DY468" s="540"/>
      <c r="DZ468" s="420"/>
      <c r="EA468" s="10"/>
      <c r="EB468" s="10"/>
      <c r="EC468" s="540"/>
      <c r="ED468" s="420"/>
      <c r="EE468" s="10"/>
      <c r="EF468" s="10"/>
      <c r="EG468" s="539"/>
      <c r="EH468" s="19"/>
      <c r="EI468" s="10"/>
      <c r="EJ468" s="10"/>
      <c r="EK468" s="539"/>
      <c r="EL468" s="19"/>
      <c r="EM468" s="10"/>
      <c r="EN468" s="10"/>
      <c r="EO468" s="539"/>
      <c r="EP468" s="19"/>
      <c r="EQ468" s="10"/>
      <c r="ER468" s="10"/>
      <c r="ES468" s="539"/>
      <c r="ET468" s="19"/>
      <c r="EU468" s="10"/>
      <c r="EV468" s="10"/>
      <c r="EW468" s="539"/>
      <c r="EX468" s="19"/>
      <c r="EY468" s="10"/>
      <c r="EZ468" s="10"/>
      <c r="FA468" s="539"/>
      <c r="FB468" s="19"/>
      <c r="FC468" s="10"/>
      <c r="FD468" s="10"/>
      <c r="FE468" s="539"/>
      <c r="FF468" s="19"/>
      <c r="FG468" s="10"/>
      <c r="FH468" s="10"/>
      <c r="FI468" s="539"/>
      <c r="FJ468" s="19"/>
      <c r="FK468" s="10"/>
      <c r="FL468" s="10"/>
      <c r="FM468" s="539"/>
      <c r="FN468" s="19"/>
      <c r="FO468" s="10"/>
      <c r="FP468" s="10"/>
      <c r="FQ468" s="539"/>
      <c r="FR468" s="19"/>
      <c r="FS468" s="10"/>
      <c r="FT468" s="10"/>
      <c r="FU468" s="539"/>
      <c r="FV468" s="19"/>
      <c r="FW468" s="10"/>
      <c r="FX468" s="10"/>
      <c r="FY468" s="539"/>
      <c r="FZ468" s="19"/>
      <c r="GA468" s="10"/>
      <c r="GB468" s="10"/>
      <c r="GC468" s="539"/>
      <c r="GD468" s="19"/>
      <c r="GE468" s="10"/>
      <c r="GF468" s="10"/>
      <c r="GG468" s="539"/>
      <c r="GH468" s="19"/>
      <c r="GI468" s="10"/>
      <c r="GJ468" s="10"/>
      <c r="GK468" s="539"/>
      <c r="GL468" s="19"/>
      <c r="GM468" s="10"/>
      <c r="GN468" s="10"/>
      <c r="GO468" s="539"/>
      <c r="GP468" s="16"/>
      <c r="GQ468" s="10"/>
      <c r="GR468" s="10"/>
      <c r="GS468" s="541"/>
      <c r="GT468" s="16"/>
      <c r="GU468" s="10"/>
      <c r="GV468" s="10"/>
      <c r="GW468" s="541"/>
      <c r="GX468" s="16"/>
      <c r="GY468" s="10"/>
      <c r="GZ468" s="10"/>
      <c r="HA468" s="541"/>
      <c r="HB468" s="16"/>
      <c r="HC468" s="10"/>
      <c r="HD468" s="10"/>
      <c r="HE468" s="541"/>
      <c r="HF468" s="16"/>
      <c r="HG468" s="10"/>
      <c r="HH468" s="10"/>
      <c r="HI468" s="541"/>
      <c r="HJ468" s="16"/>
      <c r="HK468" s="10"/>
      <c r="HL468" s="10"/>
      <c r="HM468" s="541"/>
      <c r="HN468" s="16"/>
      <c r="HO468" s="10"/>
      <c r="HP468" s="10"/>
      <c r="HQ468" s="541"/>
      <c r="HR468" s="16"/>
      <c r="HS468" s="10"/>
      <c r="HT468" s="10"/>
      <c r="HU468" s="539"/>
      <c r="HV468" s="19"/>
      <c r="HW468" s="10"/>
      <c r="HX468" s="10"/>
      <c r="HY468" s="539"/>
      <c r="HZ468" s="420"/>
      <c r="IA468" s="10"/>
      <c r="IB468" s="10"/>
      <c r="IC468" s="539"/>
    </row>
    <row r="469" spans="55:237">
      <c r="BR469" s="420"/>
      <c r="BT469" s="19"/>
      <c r="BU469" s="16"/>
      <c r="BW469" s="420"/>
      <c r="BY469" s="420"/>
      <c r="BZ469" s="540"/>
      <c r="CA469" s="420"/>
      <c r="CB469" s="10"/>
      <c r="CD469" s="540"/>
      <c r="CE469" s="420"/>
      <c r="CF469" s="10"/>
      <c r="CH469" s="540"/>
      <c r="CI469" s="420"/>
      <c r="CJ469" s="10"/>
      <c r="CL469" s="540"/>
      <c r="CM469" s="420"/>
      <c r="CN469" s="10"/>
      <c r="CP469" s="540"/>
      <c r="CQ469" s="420"/>
      <c r="CR469" s="10"/>
      <c r="CT469" s="540"/>
      <c r="CU469" s="420"/>
      <c r="CV469" s="10"/>
      <c r="CX469" s="540"/>
      <c r="CY469" s="420"/>
      <c r="CZ469" s="10"/>
      <c r="DB469" s="540"/>
      <c r="DC469" s="420"/>
      <c r="DD469" s="10"/>
      <c r="DF469" s="540"/>
      <c r="DG469" s="420"/>
      <c r="DH469" s="10"/>
      <c r="DJ469" s="540"/>
      <c r="DK469" s="420"/>
      <c r="DL469" s="10"/>
      <c r="DN469" s="540"/>
      <c r="DO469" s="420"/>
      <c r="DP469" s="10"/>
      <c r="DR469" s="540"/>
      <c r="DS469" s="420"/>
      <c r="DT469" s="10"/>
      <c r="DV469" s="540"/>
      <c r="DW469" s="420"/>
      <c r="DX469" s="10"/>
      <c r="DZ469" s="540"/>
      <c r="EA469" s="420"/>
      <c r="EB469" s="10"/>
      <c r="ED469" s="540"/>
      <c r="EE469" s="420"/>
      <c r="EF469" s="10"/>
      <c r="EH469" s="539"/>
      <c r="EI469" s="19"/>
      <c r="EJ469" s="10"/>
      <c r="EL469" s="539"/>
      <c r="EM469" s="19"/>
      <c r="EN469" s="10"/>
      <c r="EP469" s="539"/>
      <c r="EQ469" s="19"/>
      <c r="ER469" s="10"/>
      <c r="ET469" s="539"/>
      <c r="EU469" s="19"/>
      <c r="EV469" s="10"/>
      <c r="EX469" s="539"/>
      <c r="EY469" s="19"/>
      <c r="EZ469" s="10"/>
      <c r="FB469" s="539"/>
      <c r="FC469" s="19"/>
      <c r="FD469" s="10"/>
      <c r="FF469" s="539"/>
      <c r="FG469" s="19"/>
      <c r="FH469" s="10"/>
      <c r="FJ469" s="539"/>
      <c r="FK469" s="19"/>
      <c r="FL469" s="10"/>
      <c r="FN469" s="539"/>
      <c r="FO469" s="19"/>
      <c r="FP469" s="10"/>
      <c r="FR469" s="539"/>
      <c r="FS469" s="19"/>
      <c r="FT469" s="10"/>
      <c r="FV469" s="539"/>
      <c r="FW469" s="19"/>
      <c r="FX469" s="10"/>
      <c r="FZ469" s="539"/>
      <c r="GA469" s="19"/>
      <c r="GB469" s="10"/>
      <c r="GD469" s="539"/>
      <c r="GE469" s="19"/>
      <c r="GF469" s="10"/>
      <c r="GH469" s="539"/>
      <c r="GI469" s="19"/>
      <c r="GJ469" s="10"/>
      <c r="GL469" s="539"/>
      <c r="GM469" s="19"/>
      <c r="GN469" s="10"/>
      <c r="GP469" s="539"/>
      <c r="GQ469" s="16"/>
      <c r="GR469" s="10"/>
      <c r="GT469" s="541"/>
      <c r="GU469" s="16"/>
      <c r="GV469" s="10"/>
      <c r="GX469" s="541"/>
      <c r="GY469" s="16"/>
      <c r="GZ469" s="10"/>
      <c r="HB469" s="541"/>
      <c r="HC469" s="16"/>
      <c r="HD469" s="10"/>
      <c r="HF469" s="541"/>
      <c r="HG469" s="16"/>
      <c r="HH469" s="10"/>
      <c r="HJ469" s="541"/>
      <c r="HK469" s="16"/>
      <c r="HL469" s="10"/>
      <c r="HN469" s="541"/>
      <c r="HO469" s="16"/>
      <c r="HP469" s="10"/>
      <c r="HR469" s="541"/>
      <c r="HS469" s="16"/>
      <c r="HT469" s="10"/>
      <c r="HV469" s="539"/>
      <c r="HW469" s="19"/>
      <c r="HX469" s="10"/>
      <c r="HZ469" s="539"/>
      <c r="IA469" s="420"/>
      <c r="IB469" s="10"/>
      <c r="IC469" s="539"/>
    </row>
    <row r="470" spans="55:237">
      <c r="BQ470" s="420"/>
      <c r="BR470" s="420"/>
      <c r="BT470" s="19"/>
      <c r="BU470" s="16"/>
      <c r="BW470" s="420"/>
      <c r="BY470" s="420"/>
      <c r="BZ470" s="540"/>
      <c r="CA470" s="420"/>
      <c r="CB470" s="10"/>
      <c r="CD470" s="540"/>
      <c r="CE470" s="420"/>
      <c r="CF470" s="10"/>
      <c r="CH470" s="540"/>
      <c r="CI470" s="420"/>
      <c r="CJ470" s="10"/>
      <c r="CL470" s="540"/>
      <c r="CM470" s="420"/>
      <c r="CN470" s="10"/>
      <c r="CP470" s="540"/>
      <c r="CQ470" s="420"/>
      <c r="CR470" s="10"/>
      <c r="CT470" s="540"/>
      <c r="CU470" s="420"/>
      <c r="CV470" s="10"/>
      <c r="CX470" s="540"/>
      <c r="CY470" s="420"/>
      <c r="CZ470" s="10"/>
      <c r="DB470" s="540"/>
      <c r="DC470" s="420"/>
      <c r="DD470" s="10"/>
      <c r="DF470" s="540"/>
      <c r="DG470" s="420"/>
      <c r="DH470" s="10"/>
      <c r="DJ470" s="540"/>
      <c r="DK470" s="420"/>
      <c r="DL470" s="10"/>
      <c r="DN470" s="540"/>
      <c r="DO470" s="420"/>
      <c r="DP470" s="10"/>
      <c r="DR470" s="540"/>
      <c r="DS470" s="420"/>
      <c r="DT470" s="10"/>
      <c r="DV470" s="540"/>
      <c r="DW470" s="420"/>
      <c r="DX470" s="10"/>
      <c r="DZ470" s="540"/>
      <c r="EA470" s="420"/>
      <c r="EB470" s="10"/>
      <c r="ED470" s="540"/>
      <c r="EE470" s="420"/>
      <c r="EF470" s="10"/>
      <c r="EH470" s="539"/>
      <c r="EI470" s="19"/>
      <c r="EJ470" s="10"/>
      <c r="EL470" s="539"/>
      <c r="EM470" s="19"/>
      <c r="EN470" s="10"/>
      <c r="EP470" s="539"/>
      <c r="EQ470" s="19"/>
      <c r="ER470" s="10"/>
      <c r="ET470" s="539"/>
      <c r="EU470" s="19"/>
      <c r="EV470" s="10"/>
      <c r="EX470" s="539"/>
      <c r="EY470" s="19"/>
      <c r="EZ470" s="10"/>
      <c r="FB470" s="539"/>
      <c r="FC470" s="19"/>
      <c r="FD470" s="10"/>
      <c r="FF470" s="539"/>
      <c r="FG470" s="19"/>
      <c r="FH470" s="10"/>
      <c r="FJ470" s="539"/>
      <c r="FK470" s="19"/>
      <c r="FL470" s="10"/>
      <c r="FN470" s="539"/>
      <c r="FO470" s="19"/>
      <c r="FP470" s="10"/>
      <c r="FR470" s="539"/>
      <c r="FS470" s="19"/>
      <c r="FT470" s="10"/>
      <c r="FV470" s="539"/>
      <c r="FW470" s="19"/>
      <c r="FX470" s="10"/>
      <c r="FZ470" s="539"/>
      <c r="GA470" s="19"/>
      <c r="GB470" s="10"/>
      <c r="GD470" s="539"/>
      <c r="GE470" s="19"/>
      <c r="GF470" s="10"/>
      <c r="GH470" s="539"/>
      <c r="GI470" s="19"/>
      <c r="GJ470" s="10"/>
      <c r="GL470" s="539"/>
      <c r="GM470" s="19"/>
      <c r="GN470" s="10"/>
      <c r="GP470" s="539"/>
      <c r="GQ470" s="16"/>
      <c r="GR470" s="10"/>
      <c r="GT470" s="541"/>
      <c r="GU470" s="16"/>
      <c r="GV470" s="10"/>
      <c r="GX470" s="541"/>
      <c r="GY470" s="16"/>
      <c r="GZ470" s="10"/>
      <c r="HB470" s="541"/>
      <c r="HC470" s="16"/>
      <c r="HD470" s="10"/>
      <c r="HF470" s="541"/>
      <c r="HG470" s="16"/>
      <c r="HH470" s="10"/>
      <c r="HJ470" s="541"/>
      <c r="HK470" s="16"/>
      <c r="HL470" s="10"/>
      <c r="HN470" s="541"/>
      <c r="HO470" s="16"/>
      <c r="HP470" s="10"/>
      <c r="HR470" s="541"/>
      <c r="HS470" s="16"/>
      <c r="HT470" s="10"/>
      <c r="HV470" s="539"/>
      <c r="HW470" s="19"/>
      <c r="HX470" s="10"/>
      <c r="HZ470" s="539"/>
      <c r="IA470" s="420"/>
      <c r="IB470" s="10"/>
      <c r="IC470" s="539"/>
    </row>
    <row r="471" spans="55:237">
      <c r="BQ471" s="420"/>
      <c r="BR471" s="420"/>
      <c r="BT471" s="19"/>
      <c r="BU471" s="16"/>
      <c r="BW471" s="420"/>
      <c r="BY471" s="420"/>
      <c r="BZ471" s="540"/>
      <c r="CA471" s="420"/>
      <c r="CB471" s="10"/>
      <c r="CD471" s="540"/>
      <c r="CE471" s="420"/>
      <c r="CF471" s="10"/>
      <c r="CH471" s="540"/>
      <c r="CI471" s="420"/>
      <c r="CJ471" s="10"/>
      <c r="CL471" s="540"/>
      <c r="CM471" s="420"/>
      <c r="CN471" s="10"/>
      <c r="CP471" s="540"/>
      <c r="CQ471" s="420"/>
      <c r="CR471" s="10"/>
      <c r="CT471" s="540"/>
      <c r="CU471" s="420"/>
      <c r="CV471" s="10"/>
      <c r="CX471" s="540"/>
      <c r="CY471" s="420"/>
      <c r="CZ471" s="10"/>
      <c r="DB471" s="540"/>
      <c r="DC471" s="420"/>
      <c r="DD471" s="10"/>
      <c r="DF471" s="540"/>
      <c r="DG471" s="420"/>
      <c r="DH471" s="10"/>
      <c r="DJ471" s="540"/>
      <c r="DK471" s="420"/>
      <c r="DL471" s="10"/>
      <c r="DN471" s="540"/>
      <c r="DO471" s="420"/>
      <c r="DP471" s="10"/>
      <c r="DR471" s="540"/>
      <c r="DS471" s="420"/>
      <c r="DT471" s="10"/>
      <c r="DV471" s="540"/>
      <c r="DW471" s="420"/>
      <c r="DX471" s="10"/>
      <c r="DZ471" s="540"/>
      <c r="EA471" s="420"/>
      <c r="EB471" s="10"/>
      <c r="ED471" s="540"/>
      <c r="EE471" s="420"/>
      <c r="EF471" s="10"/>
      <c r="EH471" s="539"/>
      <c r="EI471" s="19"/>
      <c r="EJ471" s="10"/>
      <c r="EL471" s="539"/>
      <c r="EM471" s="19"/>
      <c r="EN471" s="10"/>
      <c r="EP471" s="539"/>
      <c r="EQ471" s="19"/>
      <c r="ER471" s="10"/>
      <c r="ET471" s="539"/>
      <c r="EU471" s="19"/>
      <c r="EV471" s="10"/>
      <c r="EX471" s="539"/>
      <c r="EY471" s="19"/>
      <c r="EZ471" s="10"/>
      <c r="FB471" s="539"/>
      <c r="FC471" s="19"/>
      <c r="FD471" s="10"/>
      <c r="FF471" s="539"/>
      <c r="FG471" s="19"/>
      <c r="FH471" s="10"/>
      <c r="FJ471" s="539"/>
      <c r="FK471" s="19"/>
      <c r="FL471" s="10"/>
      <c r="FN471" s="539"/>
      <c r="FO471" s="19"/>
      <c r="FP471" s="10"/>
      <c r="FR471" s="539"/>
      <c r="FS471" s="19"/>
      <c r="FT471" s="10"/>
      <c r="FV471" s="539"/>
      <c r="FW471" s="19"/>
      <c r="FX471" s="10"/>
      <c r="FZ471" s="539"/>
      <c r="GA471" s="19"/>
      <c r="GB471" s="10"/>
      <c r="GD471" s="539"/>
      <c r="GE471" s="19"/>
      <c r="GF471" s="10"/>
      <c r="GH471" s="539"/>
      <c r="GI471" s="19"/>
      <c r="GJ471" s="10"/>
      <c r="GL471" s="539"/>
      <c r="GM471" s="19"/>
      <c r="GN471" s="10"/>
      <c r="GP471" s="539"/>
      <c r="GQ471" s="16"/>
      <c r="GR471" s="10"/>
      <c r="GT471" s="541"/>
      <c r="GU471" s="16"/>
      <c r="GV471" s="10"/>
      <c r="GX471" s="541"/>
      <c r="GY471" s="16"/>
      <c r="GZ471" s="10"/>
      <c r="HB471" s="541"/>
      <c r="HC471" s="16"/>
      <c r="HD471" s="10"/>
      <c r="HF471" s="541"/>
      <c r="HG471" s="16"/>
      <c r="HH471" s="10"/>
      <c r="HJ471" s="541"/>
      <c r="HK471" s="16"/>
      <c r="HL471" s="10"/>
      <c r="HN471" s="541"/>
      <c r="HO471" s="16"/>
      <c r="HP471" s="10"/>
      <c r="HR471" s="541"/>
      <c r="HS471" s="16"/>
      <c r="HT471" s="10"/>
      <c r="HV471" s="539"/>
      <c r="HW471" s="19"/>
      <c r="HX471" s="10"/>
      <c r="HZ471" s="539"/>
      <c r="IA471" s="420"/>
      <c r="IB471" s="10"/>
    </row>
    <row r="472" spans="55:237">
      <c r="BQ472" s="420"/>
      <c r="BR472" s="420"/>
      <c r="BT472" s="19"/>
      <c r="BU472" s="16"/>
      <c r="BW472" s="420"/>
      <c r="BY472" s="420"/>
      <c r="BZ472" s="540"/>
      <c r="CA472" s="420"/>
      <c r="CB472" s="10"/>
      <c r="CD472" s="540"/>
      <c r="CE472" s="420"/>
      <c r="CF472" s="10"/>
      <c r="CH472" s="540"/>
      <c r="CI472" s="420"/>
      <c r="CJ472" s="10"/>
      <c r="CL472" s="540"/>
      <c r="CM472" s="420"/>
      <c r="CN472" s="10"/>
      <c r="CP472" s="540"/>
      <c r="CQ472" s="420"/>
      <c r="CR472" s="10"/>
      <c r="CT472" s="540"/>
      <c r="CU472" s="420"/>
      <c r="CV472" s="10"/>
      <c r="CX472" s="540"/>
      <c r="CY472" s="420"/>
      <c r="CZ472" s="10"/>
      <c r="DB472" s="540"/>
      <c r="DC472" s="420"/>
      <c r="DD472" s="10"/>
      <c r="DF472" s="540"/>
      <c r="DG472" s="420"/>
      <c r="DH472" s="10"/>
      <c r="DJ472" s="540"/>
      <c r="DK472" s="420"/>
      <c r="DL472" s="10"/>
      <c r="DN472" s="540"/>
      <c r="DO472" s="420"/>
      <c r="DP472" s="10"/>
      <c r="DR472" s="540"/>
      <c r="DS472" s="420"/>
      <c r="DT472" s="10"/>
      <c r="DV472" s="540"/>
      <c r="DW472" s="420"/>
      <c r="DX472" s="10"/>
      <c r="DZ472" s="540"/>
      <c r="EA472" s="420"/>
      <c r="EB472" s="10"/>
      <c r="ED472" s="540"/>
      <c r="EE472" s="420"/>
      <c r="EF472" s="10"/>
      <c r="EH472" s="539"/>
      <c r="EI472" s="19"/>
      <c r="EJ472" s="10"/>
      <c r="EL472" s="539"/>
      <c r="EM472" s="19"/>
      <c r="EN472" s="10"/>
      <c r="EP472" s="539"/>
      <c r="EQ472" s="19"/>
      <c r="ER472" s="10"/>
      <c r="ET472" s="539"/>
      <c r="EU472" s="19"/>
      <c r="EV472" s="10"/>
      <c r="EX472" s="539"/>
      <c r="EY472" s="19"/>
      <c r="EZ472" s="10"/>
      <c r="FB472" s="539"/>
      <c r="FC472" s="19"/>
      <c r="FD472" s="10"/>
      <c r="FF472" s="539"/>
      <c r="FG472" s="19"/>
      <c r="FH472" s="10"/>
      <c r="FJ472" s="539"/>
      <c r="FK472" s="19"/>
      <c r="FL472" s="10"/>
      <c r="FN472" s="539"/>
      <c r="FO472" s="19"/>
      <c r="FP472" s="10"/>
      <c r="FR472" s="539"/>
      <c r="FS472" s="19"/>
      <c r="FT472" s="10"/>
      <c r="FV472" s="539"/>
      <c r="FW472" s="19"/>
      <c r="FX472" s="10"/>
      <c r="FZ472" s="539"/>
      <c r="GA472" s="19"/>
      <c r="GB472" s="10"/>
      <c r="GD472" s="539"/>
      <c r="GE472" s="19"/>
      <c r="GF472" s="10"/>
      <c r="GH472" s="539"/>
      <c r="GI472" s="19"/>
      <c r="GJ472" s="10"/>
      <c r="GL472" s="539"/>
      <c r="GM472" s="19"/>
      <c r="GN472" s="10"/>
      <c r="GP472" s="539"/>
      <c r="GQ472" s="16"/>
      <c r="GR472" s="10"/>
      <c r="GT472" s="541"/>
      <c r="GU472" s="16"/>
      <c r="GV472" s="10"/>
      <c r="GX472" s="541"/>
      <c r="GY472" s="16"/>
      <c r="GZ472" s="10"/>
      <c r="HB472" s="541"/>
      <c r="HC472" s="16"/>
      <c r="HD472" s="10"/>
      <c r="HF472" s="541"/>
      <c r="HG472" s="16"/>
      <c r="HH472" s="10"/>
      <c r="HJ472" s="541"/>
      <c r="HK472" s="16"/>
      <c r="HL472" s="10"/>
      <c r="HN472" s="541"/>
      <c r="HO472" s="16"/>
      <c r="HP472" s="10"/>
      <c r="HR472" s="541"/>
      <c r="HS472" s="16"/>
      <c r="HT472" s="10"/>
      <c r="HV472" s="539"/>
      <c r="HW472" s="19"/>
      <c r="HX472" s="10"/>
      <c r="HZ472" s="539"/>
      <c r="IA472" s="420"/>
      <c r="IB472" s="10"/>
    </row>
    <row r="473" spans="55:237">
      <c r="BQ473" s="420"/>
      <c r="BT473" s="19"/>
      <c r="BU473" s="16"/>
      <c r="BW473" s="420"/>
      <c r="BY473" s="420"/>
      <c r="BZ473" s="540"/>
      <c r="CA473" s="420"/>
      <c r="CB473" s="10"/>
      <c r="CD473" s="540"/>
      <c r="CE473" s="420"/>
      <c r="CF473" s="10"/>
      <c r="CH473" s="540"/>
      <c r="CI473" s="420"/>
      <c r="CJ473" s="10"/>
      <c r="CL473" s="540"/>
      <c r="CM473" s="420"/>
      <c r="CN473" s="10"/>
      <c r="CP473" s="540"/>
      <c r="CQ473" s="420"/>
      <c r="CR473" s="10"/>
      <c r="CT473" s="540"/>
      <c r="CU473" s="420"/>
      <c r="CV473" s="10"/>
      <c r="CX473" s="540"/>
      <c r="CY473" s="420"/>
      <c r="CZ473" s="10"/>
      <c r="DB473" s="540"/>
      <c r="DC473" s="420"/>
      <c r="DD473" s="10"/>
      <c r="DF473" s="540"/>
      <c r="DG473" s="420"/>
      <c r="DH473" s="10"/>
      <c r="DJ473" s="540"/>
      <c r="DK473" s="420"/>
      <c r="DL473" s="10"/>
      <c r="DN473" s="540"/>
      <c r="DO473" s="420"/>
      <c r="DP473" s="10"/>
      <c r="DR473" s="540"/>
      <c r="DS473" s="420"/>
      <c r="DT473" s="10"/>
      <c r="DV473" s="540"/>
      <c r="DW473" s="420"/>
      <c r="DX473" s="10"/>
      <c r="DZ473" s="540"/>
      <c r="EA473" s="420"/>
      <c r="EB473" s="10"/>
      <c r="ED473" s="540"/>
      <c r="EE473" s="420"/>
      <c r="EF473" s="10"/>
      <c r="EH473" s="539"/>
      <c r="EI473" s="19"/>
      <c r="EJ473" s="10"/>
      <c r="EL473" s="539"/>
      <c r="EM473" s="19"/>
      <c r="EN473" s="10"/>
      <c r="EP473" s="539"/>
      <c r="EQ473" s="19"/>
      <c r="ER473" s="10"/>
      <c r="ET473" s="539"/>
      <c r="EU473" s="19"/>
      <c r="EV473" s="10"/>
      <c r="EX473" s="539"/>
      <c r="EY473" s="19"/>
      <c r="EZ473" s="10"/>
      <c r="FB473" s="539"/>
      <c r="FC473" s="19"/>
      <c r="FD473" s="10"/>
      <c r="FF473" s="539"/>
      <c r="FG473" s="19"/>
      <c r="FH473" s="10"/>
      <c r="FJ473" s="539"/>
      <c r="FK473" s="19"/>
      <c r="FL473" s="10"/>
      <c r="FN473" s="539"/>
      <c r="FO473" s="19"/>
      <c r="FP473" s="10"/>
      <c r="FR473" s="539"/>
      <c r="FS473" s="19"/>
      <c r="FT473" s="10"/>
      <c r="FV473" s="539"/>
      <c r="FW473" s="19"/>
      <c r="FX473" s="10"/>
      <c r="FZ473" s="539"/>
      <c r="GA473" s="19"/>
      <c r="GB473" s="10"/>
      <c r="GD473" s="539"/>
      <c r="GE473" s="19"/>
      <c r="GF473" s="10"/>
      <c r="GH473" s="539"/>
      <c r="GI473" s="19"/>
      <c r="GJ473" s="10"/>
      <c r="GL473" s="539"/>
      <c r="GM473" s="19"/>
      <c r="GN473" s="10"/>
      <c r="GP473" s="539"/>
      <c r="GQ473" s="16"/>
      <c r="GR473" s="10"/>
      <c r="GT473" s="541"/>
      <c r="GU473" s="16"/>
      <c r="GV473" s="10"/>
      <c r="GX473" s="541"/>
      <c r="GY473" s="16"/>
      <c r="GZ473" s="10"/>
      <c r="HB473" s="541"/>
      <c r="HC473" s="16"/>
      <c r="HD473" s="10"/>
      <c r="HF473" s="541"/>
      <c r="HG473" s="16"/>
      <c r="HH473" s="10"/>
      <c r="HJ473" s="541"/>
      <c r="HK473" s="16"/>
      <c r="HL473" s="10"/>
      <c r="HN473" s="541"/>
      <c r="HO473" s="16"/>
      <c r="HP473" s="10"/>
      <c r="HR473" s="541"/>
      <c r="HS473" s="16"/>
      <c r="HT473" s="10"/>
      <c r="HV473" s="539"/>
      <c r="HW473" s="19"/>
      <c r="HX473" s="10"/>
      <c r="HZ473" s="539"/>
      <c r="IA473" s="420"/>
      <c r="IB473" s="10"/>
    </row>
    <row r="474" spans="55:237">
      <c r="BQ474" s="420"/>
      <c r="BT474" s="19"/>
      <c r="BU474" s="16"/>
      <c r="BW474" s="420"/>
      <c r="BY474" s="420"/>
      <c r="BZ474" s="540"/>
      <c r="CA474" s="420"/>
      <c r="CB474" s="10"/>
      <c r="CD474" s="540"/>
      <c r="CE474" s="420"/>
      <c r="CF474" s="10"/>
      <c r="CH474" s="540"/>
      <c r="CI474" s="420"/>
      <c r="CJ474" s="10"/>
      <c r="CL474" s="540"/>
      <c r="CM474" s="420"/>
      <c r="CN474" s="10"/>
      <c r="CP474" s="540"/>
      <c r="CQ474" s="420"/>
      <c r="CR474" s="10"/>
      <c r="CT474" s="540"/>
      <c r="CU474" s="420"/>
      <c r="CV474" s="10"/>
      <c r="CX474" s="540"/>
      <c r="CY474" s="420"/>
      <c r="CZ474" s="10"/>
      <c r="DB474" s="540"/>
      <c r="DC474" s="420"/>
      <c r="DD474" s="10"/>
      <c r="DF474" s="540"/>
      <c r="DG474" s="420"/>
      <c r="DH474" s="10"/>
      <c r="DJ474" s="540"/>
      <c r="DK474" s="420"/>
      <c r="DL474" s="10"/>
      <c r="DN474" s="540"/>
      <c r="DO474" s="420"/>
      <c r="DP474" s="10"/>
      <c r="DR474" s="540"/>
      <c r="DS474" s="420"/>
      <c r="DT474" s="10"/>
      <c r="DV474" s="540"/>
      <c r="DW474" s="420"/>
      <c r="DX474" s="10"/>
      <c r="DZ474" s="540"/>
      <c r="EA474" s="420"/>
      <c r="EB474" s="10"/>
      <c r="ED474" s="540"/>
      <c r="EE474" s="420"/>
      <c r="EF474" s="10"/>
      <c r="EH474" s="539"/>
      <c r="EI474" s="19"/>
      <c r="EJ474" s="10"/>
      <c r="EL474" s="539"/>
      <c r="EM474" s="19"/>
      <c r="EN474" s="10"/>
      <c r="EP474" s="539"/>
      <c r="EQ474" s="19"/>
      <c r="ER474" s="10"/>
      <c r="ET474" s="539"/>
      <c r="EU474" s="19"/>
      <c r="EV474" s="10"/>
      <c r="EX474" s="539"/>
      <c r="EY474" s="19"/>
      <c r="EZ474" s="10"/>
      <c r="FB474" s="539"/>
      <c r="FC474" s="19"/>
      <c r="FD474" s="10"/>
      <c r="FF474" s="539"/>
      <c r="FG474" s="19"/>
      <c r="FH474" s="10"/>
      <c r="FJ474" s="539"/>
      <c r="FK474" s="19"/>
      <c r="FL474" s="10"/>
      <c r="FN474" s="539"/>
      <c r="FO474" s="19"/>
      <c r="FP474" s="10"/>
      <c r="FR474" s="539"/>
      <c r="FS474" s="19"/>
      <c r="FT474" s="10"/>
      <c r="FV474" s="539"/>
      <c r="FW474" s="19"/>
      <c r="FX474" s="10"/>
      <c r="FZ474" s="539"/>
      <c r="GA474" s="19"/>
      <c r="GB474" s="10"/>
      <c r="GD474" s="539"/>
      <c r="GE474" s="19"/>
      <c r="GF474" s="10"/>
      <c r="GH474" s="539"/>
      <c r="GI474" s="19"/>
      <c r="GJ474" s="10"/>
      <c r="GL474" s="539"/>
      <c r="GM474" s="19"/>
      <c r="GN474" s="10"/>
      <c r="GP474" s="539"/>
      <c r="GQ474" s="16"/>
      <c r="GR474" s="10"/>
      <c r="GT474" s="541"/>
      <c r="GU474" s="16"/>
      <c r="GV474" s="10"/>
      <c r="GX474" s="541"/>
      <c r="GY474" s="16"/>
      <c r="GZ474" s="10"/>
      <c r="HB474" s="541"/>
      <c r="HC474" s="16"/>
      <c r="HD474" s="10"/>
      <c r="HF474" s="541"/>
      <c r="HG474" s="16"/>
      <c r="HH474" s="10"/>
      <c r="HJ474" s="541"/>
      <c r="HK474" s="16"/>
      <c r="HL474" s="10"/>
      <c r="HN474" s="541"/>
      <c r="HO474" s="16"/>
      <c r="HP474" s="10"/>
      <c r="HR474" s="541"/>
      <c r="HS474" s="16"/>
      <c r="HT474" s="10"/>
      <c r="HV474" s="539"/>
      <c r="HW474" s="19"/>
      <c r="HX474" s="10"/>
      <c r="HZ474" s="539"/>
      <c r="IA474" s="420"/>
      <c r="IB474" s="10"/>
    </row>
    <row r="475" spans="55:237">
      <c r="BQ475" s="420"/>
      <c r="BR475" s="19"/>
      <c r="BT475" s="19"/>
      <c r="BU475" s="16"/>
      <c r="BW475" s="420"/>
      <c r="BY475" s="420"/>
      <c r="BZ475" s="540"/>
      <c r="CA475" s="420"/>
      <c r="CB475" s="10"/>
      <c r="CD475" s="540"/>
      <c r="CE475" s="420"/>
      <c r="CF475" s="10"/>
      <c r="CH475" s="540"/>
      <c r="CI475" s="420"/>
      <c r="CJ475" s="10"/>
      <c r="CL475" s="540"/>
      <c r="CM475" s="420"/>
      <c r="CN475" s="10"/>
      <c r="CP475" s="540"/>
      <c r="CQ475" s="420"/>
      <c r="CR475" s="10"/>
      <c r="CT475" s="540"/>
      <c r="CU475" s="420"/>
      <c r="CV475" s="10"/>
      <c r="CX475" s="540"/>
      <c r="CY475" s="420"/>
      <c r="CZ475" s="10"/>
      <c r="DB475" s="540"/>
      <c r="DC475" s="420"/>
      <c r="DD475" s="10"/>
      <c r="DF475" s="540"/>
      <c r="DG475" s="420"/>
      <c r="DH475" s="10"/>
      <c r="DJ475" s="540"/>
      <c r="DK475" s="420"/>
      <c r="DL475" s="10"/>
      <c r="DN475" s="540"/>
      <c r="DO475" s="420"/>
      <c r="DP475" s="10"/>
      <c r="DR475" s="540"/>
      <c r="DS475" s="420"/>
      <c r="DT475" s="10"/>
      <c r="DV475" s="540"/>
      <c r="DW475" s="420"/>
      <c r="DX475" s="10"/>
      <c r="DZ475" s="540"/>
      <c r="EA475" s="420"/>
      <c r="EB475" s="10"/>
      <c r="ED475" s="540"/>
      <c r="EE475" s="420"/>
      <c r="EF475" s="10"/>
      <c r="EH475" s="539"/>
      <c r="EI475" s="19"/>
      <c r="EJ475" s="10"/>
      <c r="EL475" s="539"/>
      <c r="EM475" s="19"/>
      <c r="EN475" s="10"/>
      <c r="EP475" s="539"/>
      <c r="EQ475" s="19"/>
      <c r="ER475" s="10"/>
      <c r="ET475" s="539"/>
      <c r="EU475" s="19"/>
      <c r="EV475" s="10"/>
      <c r="EX475" s="539"/>
      <c r="EY475" s="19"/>
      <c r="EZ475" s="10"/>
      <c r="FB475" s="539"/>
      <c r="FC475" s="19"/>
      <c r="FD475" s="10"/>
      <c r="FF475" s="539"/>
      <c r="FG475" s="19"/>
      <c r="FH475" s="10"/>
      <c r="FJ475" s="539"/>
      <c r="FK475" s="19"/>
      <c r="FL475" s="10"/>
      <c r="FN475" s="539"/>
      <c r="FO475" s="19"/>
      <c r="FP475" s="10"/>
      <c r="FR475" s="539"/>
      <c r="FS475" s="19"/>
      <c r="FT475" s="10"/>
      <c r="FV475" s="539"/>
      <c r="FW475" s="19"/>
      <c r="FX475" s="10"/>
      <c r="FZ475" s="539"/>
      <c r="GA475" s="19"/>
      <c r="GB475" s="10"/>
      <c r="GD475" s="539"/>
      <c r="GE475" s="19"/>
      <c r="GF475" s="10"/>
      <c r="GH475" s="539"/>
      <c r="GI475" s="19"/>
      <c r="GJ475" s="10"/>
      <c r="GL475" s="539"/>
      <c r="GM475" s="19"/>
      <c r="GN475" s="10"/>
      <c r="GP475" s="539"/>
      <c r="GQ475" s="16"/>
      <c r="GR475" s="10"/>
      <c r="GT475" s="541"/>
      <c r="GU475" s="16"/>
      <c r="GV475" s="10"/>
      <c r="GX475" s="541"/>
      <c r="GY475" s="16"/>
      <c r="GZ475" s="10"/>
      <c r="HB475" s="541"/>
      <c r="HC475" s="16"/>
      <c r="HD475" s="10"/>
      <c r="HF475" s="541"/>
      <c r="HG475" s="16"/>
      <c r="HH475" s="10"/>
      <c r="HJ475" s="541"/>
      <c r="HK475" s="16"/>
      <c r="HL475" s="10"/>
      <c r="HN475" s="541"/>
      <c r="HO475" s="16"/>
      <c r="HP475" s="10"/>
      <c r="HR475" s="541"/>
      <c r="HS475" s="16"/>
      <c r="HT475" s="10"/>
      <c r="HV475" s="539"/>
      <c r="HW475" s="19"/>
      <c r="HX475" s="10"/>
      <c r="HZ475" s="539"/>
      <c r="IA475" s="420"/>
      <c r="IB475" s="10"/>
    </row>
    <row r="476" spans="55:237">
      <c r="BC476" s="420"/>
      <c r="BQ476" s="420"/>
      <c r="BR476" s="19"/>
      <c r="BS476" s="19"/>
      <c r="BT476" s="16"/>
      <c r="BU476" s="16"/>
      <c r="BW476" s="420"/>
      <c r="BY476" s="420"/>
      <c r="BZ476" s="540"/>
      <c r="CA476" s="420"/>
      <c r="CB476" s="10"/>
      <c r="CD476" s="540"/>
      <c r="CE476" s="420"/>
      <c r="CF476" s="10"/>
      <c r="CH476" s="540"/>
      <c r="CI476" s="420"/>
      <c r="CJ476" s="10"/>
      <c r="CL476" s="540"/>
      <c r="CM476" s="420"/>
      <c r="CN476" s="10"/>
      <c r="CP476" s="540"/>
      <c r="CQ476" s="420"/>
      <c r="CR476" s="10"/>
      <c r="CT476" s="540"/>
      <c r="CU476" s="420"/>
      <c r="CV476" s="10"/>
      <c r="CX476" s="540"/>
      <c r="CY476" s="420"/>
      <c r="CZ476" s="10"/>
      <c r="DB476" s="540"/>
      <c r="DC476" s="420"/>
      <c r="DD476" s="10"/>
      <c r="DF476" s="540"/>
      <c r="DG476" s="420"/>
      <c r="DH476" s="10"/>
      <c r="DJ476" s="540"/>
      <c r="DK476" s="420"/>
      <c r="DL476" s="10"/>
      <c r="DN476" s="540"/>
      <c r="DO476" s="420"/>
      <c r="DP476" s="10"/>
      <c r="DR476" s="540"/>
      <c r="DS476" s="420"/>
      <c r="DT476" s="10"/>
      <c r="DV476" s="540"/>
      <c r="DW476" s="420"/>
      <c r="DX476" s="10"/>
      <c r="DZ476" s="540"/>
      <c r="EA476" s="420"/>
      <c r="EB476" s="10"/>
      <c r="ED476" s="540"/>
      <c r="EE476" s="420"/>
      <c r="EF476" s="10"/>
      <c r="EH476" s="539"/>
      <c r="EI476" s="19"/>
      <c r="EJ476" s="10"/>
      <c r="EL476" s="539"/>
      <c r="EM476" s="19"/>
      <c r="EN476" s="10"/>
      <c r="EP476" s="539"/>
      <c r="EQ476" s="19"/>
      <c r="ER476" s="10"/>
      <c r="ET476" s="539"/>
      <c r="EU476" s="19"/>
      <c r="EV476" s="10"/>
      <c r="EX476" s="539"/>
      <c r="EY476" s="19"/>
      <c r="EZ476" s="10"/>
      <c r="FB476" s="539"/>
      <c r="FC476" s="19"/>
      <c r="FD476" s="10"/>
      <c r="FF476" s="539"/>
      <c r="FG476" s="19"/>
      <c r="FH476" s="10"/>
      <c r="FJ476" s="539"/>
      <c r="FK476" s="19"/>
      <c r="FL476" s="10"/>
      <c r="FN476" s="539"/>
      <c r="FO476" s="19"/>
      <c r="FP476" s="10"/>
      <c r="FR476" s="539"/>
      <c r="FS476" s="19"/>
      <c r="FT476" s="10"/>
      <c r="FV476" s="539"/>
      <c r="FW476" s="19"/>
      <c r="FX476" s="10"/>
      <c r="FZ476" s="539"/>
      <c r="GA476" s="19"/>
      <c r="GB476" s="10"/>
      <c r="GD476" s="539"/>
      <c r="GE476" s="19"/>
      <c r="GF476" s="10"/>
      <c r="GH476" s="539"/>
      <c r="GI476" s="19"/>
      <c r="GJ476" s="10"/>
      <c r="GL476" s="539"/>
      <c r="GM476" s="19"/>
      <c r="GN476" s="10"/>
      <c r="GP476" s="539"/>
      <c r="GQ476" s="16"/>
      <c r="GR476" s="10"/>
      <c r="GT476" s="541"/>
      <c r="GU476" s="16"/>
      <c r="GV476" s="10"/>
      <c r="GX476" s="541"/>
      <c r="GY476" s="16"/>
      <c r="GZ476" s="10"/>
      <c r="HB476" s="541"/>
      <c r="HC476" s="16"/>
      <c r="HD476" s="10"/>
      <c r="HF476" s="541"/>
      <c r="HG476" s="16"/>
      <c r="HH476" s="10"/>
      <c r="HJ476" s="541"/>
      <c r="HK476" s="16"/>
      <c r="HL476" s="10"/>
      <c r="HN476" s="541"/>
      <c r="HO476" s="16"/>
      <c r="HP476" s="10"/>
      <c r="HR476" s="541"/>
      <c r="HS476" s="16"/>
      <c r="HT476" s="10"/>
      <c r="HV476" s="539"/>
      <c r="HW476" s="19"/>
      <c r="HX476" s="10"/>
      <c r="HZ476" s="539"/>
      <c r="IA476" s="420"/>
      <c r="IB476" s="10"/>
    </row>
    <row r="477" spans="55:237">
      <c r="BC477" s="420"/>
      <c r="BQ477" s="420"/>
      <c r="BR477" s="19"/>
      <c r="BS477" s="19"/>
      <c r="BT477" s="16"/>
      <c r="BW477" s="420"/>
      <c r="BY477" s="540"/>
      <c r="BZ477" s="420"/>
      <c r="CA477" s="10"/>
      <c r="CB477" s="10"/>
      <c r="CC477" s="540"/>
      <c r="CD477" s="420"/>
      <c r="CE477" s="10"/>
      <c r="CF477" s="10"/>
      <c r="CG477" s="540"/>
      <c r="CH477" s="420"/>
      <c r="CI477" s="10"/>
      <c r="CJ477" s="10"/>
      <c r="CK477" s="540"/>
      <c r="CL477" s="420"/>
      <c r="CM477" s="10"/>
      <c r="CN477" s="10"/>
      <c r="CO477" s="540"/>
      <c r="CP477" s="420"/>
      <c r="CQ477" s="10"/>
      <c r="CR477" s="10"/>
      <c r="CS477" s="540"/>
      <c r="CT477" s="420"/>
      <c r="CU477" s="10"/>
      <c r="CV477" s="10"/>
      <c r="CW477" s="540"/>
      <c r="CX477" s="420"/>
      <c r="CY477" s="10"/>
      <c r="CZ477" s="10"/>
      <c r="DA477" s="540"/>
      <c r="DB477" s="420"/>
      <c r="DC477" s="10"/>
      <c r="DD477" s="10"/>
      <c r="DE477" s="540"/>
      <c r="DF477" s="420"/>
      <c r="DG477" s="10"/>
      <c r="DH477" s="10"/>
      <c r="DI477" s="540"/>
      <c r="DJ477" s="420"/>
      <c r="DK477" s="10"/>
      <c r="DL477" s="10"/>
      <c r="DM477" s="540"/>
      <c r="DN477" s="420"/>
      <c r="DO477" s="10"/>
      <c r="DP477" s="10"/>
      <c r="DQ477" s="540"/>
      <c r="DR477" s="420"/>
      <c r="DS477" s="10"/>
      <c r="DT477" s="10"/>
      <c r="DU477" s="540"/>
      <c r="DV477" s="420"/>
      <c r="DW477" s="10"/>
      <c r="DX477" s="10"/>
      <c r="DY477" s="540"/>
      <c r="DZ477" s="420"/>
      <c r="EA477" s="10"/>
      <c r="EB477" s="10"/>
      <c r="EC477" s="540"/>
      <c r="ED477" s="420"/>
      <c r="EE477" s="10"/>
      <c r="EF477" s="10"/>
      <c r="EG477" s="539"/>
      <c r="EH477" s="19"/>
      <c r="EI477" s="10"/>
      <c r="EJ477" s="10"/>
      <c r="EK477" s="539"/>
      <c r="EL477" s="19"/>
      <c r="EM477" s="10"/>
      <c r="EN477" s="10"/>
      <c r="EO477" s="539"/>
      <c r="EP477" s="19"/>
      <c r="EQ477" s="10"/>
      <c r="ER477" s="10"/>
      <c r="ES477" s="539"/>
      <c r="ET477" s="19"/>
      <c r="EU477" s="10"/>
      <c r="EV477" s="10"/>
      <c r="EW477" s="539"/>
      <c r="EX477" s="19"/>
      <c r="EY477" s="10"/>
      <c r="EZ477" s="10"/>
      <c r="FA477" s="539"/>
      <c r="FB477" s="19"/>
      <c r="FC477" s="10"/>
      <c r="FD477" s="10"/>
      <c r="FE477" s="539"/>
      <c r="FF477" s="19"/>
      <c r="FG477" s="10"/>
      <c r="FH477" s="10"/>
      <c r="FI477" s="539"/>
      <c r="FJ477" s="19"/>
      <c r="FK477" s="10"/>
      <c r="FL477" s="10"/>
      <c r="FM477" s="539"/>
      <c r="FN477" s="19"/>
      <c r="FO477" s="10"/>
      <c r="FP477" s="10"/>
      <c r="FQ477" s="539"/>
      <c r="FR477" s="19"/>
      <c r="FS477" s="10"/>
      <c r="FT477" s="10"/>
      <c r="FU477" s="539"/>
      <c r="FV477" s="19"/>
      <c r="FW477" s="10"/>
      <c r="FX477" s="10"/>
      <c r="FY477" s="539"/>
      <c r="FZ477" s="19"/>
      <c r="GA477" s="10"/>
      <c r="GB477" s="10"/>
      <c r="GC477" s="539"/>
      <c r="GD477" s="19"/>
      <c r="GE477" s="10"/>
      <c r="GF477" s="10"/>
      <c r="GG477" s="539"/>
      <c r="GH477" s="19"/>
      <c r="GI477" s="10"/>
      <c r="GJ477" s="10"/>
      <c r="GK477" s="539"/>
      <c r="GL477" s="19"/>
      <c r="GM477" s="10"/>
      <c r="GN477" s="10"/>
      <c r="GO477" s="539"/>
      <c r="GP477" s="16"/>
      <c r="GQ477" s="10"/>
      <c r="GR477" s="10"/>
      <c r="GS477" s="541"/>
      <c r="GT477" s="16"/>
      <c r="GU477" s="10"/>
      <c r="GV477" s="10"/>
      <c r="GW477" s="541"/>
      <c r="GX477" s="16"/>
      <c r="GY477" s="10"/>
      <c r="GZ477" s="10"/>
      <c r="HA477" s="541"/>
      <c r="HB477" s="16"/>
      <c r="HC477" s="10"/>
      <c r="HD477" s="10"/>
      <c r="HE477" s="541"/>
      <c r="HF477" s="16"/>
      <c r="HG477" s="10"/>
      <c r="HH477" s="10"/>
      <c r="HI477" s="541"/>
      <c r="HJ477" s="16"/>
      <c r="HK477" s="10"/>
      <c r="HL477" s="10"/>
      <c r="HM477" s="541"/>
      <c r="HN477" s="16"/>
      <c r="HO477" s="10"/>
      <c r="HP477" s="10"/>
      <c r="HQ477" s="541"/>
      <c r="HR477" s="16"/>
      <c r="HS477" s="10"/>
      <c r="HT477" s="10"/>
      <c r="HU477" s="539"/>
      <c r="HV477" s="19"/>
      <c r="HW477" s="10"/>
      <c r="HX477" s="10"/>
      <c r="HY477" s="539"/>
      <c r="HZ477" s="420"/>
      <c r="IA477" s="10"/>
      <c r="IB477" s="10"/>
    </row>
    <row r="478" spans="55:237">
      <c r="BC478" s="420"/>
      <c r="BQ478" s="420"/>
      <c r="BR478" s="19"/>
      <c r="BS478" s="19"/>
      <c r="BT478" s="16"/>
      <c r="BW478" s="420"/>
      <c r="BY478" s="540"/>
      <c r="BZ478" s="420"/>
      <c r="CA478" s="10"/>
      <c r="CB478" s="10"/>
      <c r="CC478" s="540"/>
      <c r="CD478" s="420"/>
      <c r="CE478" s="10"/>
      <c r="CF478" s="10"/>
      <c r="CG478" s="540"/>
      <c r="CH478" s="420"/>
      <c r="CI478" s="10"/>
      <c r="CJ478" s="10"/>
      <c r="CK478" s="540"/>
      <c r="CL478" s="420"/>
      <c r="CM478" s="10"/>
      <c r="CN478" s="10"/>
      <c r="CO478" s="540"/>
      <c r="CP478" s="420"/>
      <c r="CQ478" s="10"/>
      <c r="CR478" s="10"/>
      <c r="CS478" s="540"/>
      <c r="CT478" s="420"/>
      <c r="CU478" s="10"/>
      <c r="CV478" s="10"/>
      <c r="CW478" s="540"/>
      <c r="CX478" s="420"/>
      <c r="CY478" s="10"/>
      <c r="CZ478" s="10"/>
      <c r="DA478" s="540"/>
      <c r="DB478" s="420"/>
      <c r="DC478" s="10"/>
      <c r="DD478" s="10"/>
      <c r="DE478" s="540"/>
      <c r="DF478" s="420"/>
      <c r="DG478" s="10"/>
      <c r="DH478" s="10"/>
      <c r="DI478" s="540"/>
      <c r="DJ478" s="420"/>
      <c r="DK478" s="10"/>
      <c r="DL478" s="10"/>
      <c r="DM478" s="540"/>
      <c r="DN478" s="420"/>
      <c r="DO478" s="10"/>
      <c r="DP478" s="10"/>
      <c r="DQ478" s="540"/>
      <c r="DR478" s="420"/>
      <c r="DS478" s="10"/>
      <c r="DT478" s="10"/>
      <c r="DU478" s="540"/>
      <c r="DV478" s="420"/>
      <c r="DW478" s="10"/>
      <c r="DX478" s="10"/>
      <c r="DY478" s="540"/>
      <c r="DZ478" s="420"/>
      <c r="EA478" s="10"/>
      <c r="EB478" s="10"/>
      <c r="EC478" s="540"/>
      <c r="ED478" s="420"/>
      <c r="EE478" s="10"/>
      <c r="EF478" s="10"/>
      <c r="EG478" s="539"/>
      <c r="EH478" s="19"/>
      <c r="EI478" s="10"/>
      <c r="EJ478" s="10"/>
      <c r="EK478" s="539"/>
      <c r="EL478" s="19"/>
      <c r="EM478" s="10"/>
      <c r="EN478" s="10"/>
      <c r="EO478" s="539"/>
      <c r="EP478" s="19"/>
      <c r="EQ478" s="10"/>
      <c r="ER478" s="10"/>
      <c r="ES478" s="539"/>
      <c r="ET478" s="19"/>
      <c r="EU478" s="10"/>
      <c r="EV478" s="10"/>
      <c r="EW478" s="539"/>
      <c r="EX478" s="19"/>
      <c r="EY478" s="10"/>
      <c r="EZ478" s="10"/>
      <c r="FA478" s="539"/>
      <c r="FB478" s="19"/>
      <c r="FC478" s="10"/>
      <c r="FD478" s="10"/>
      <c r="FE478" s="539"/>
      <c r="FF478" s="19"/>
      <c r="FG478" s="10"/>
      <c r="FH478" s="10"/>
      <c r="FI478" s="539"/>
      <c r="FJ478" s="19"/>
      <c r="FK478" s="10"/>
      <c r="FL478" s="10"/>
      <c r="FM478" s="539"/>
      <c r="FN478" s="19"/>
      <c r="FO478" s="10"/>
      <c r="FP478" s="10"/>
      <c r="FQ478" s="539"/>
      <c r="FR478" s="19"/>
      <c r="FS478" s="10"/>
      <c r="FT478" s="10"/>
      <c r="FU478" s="539"/>
      <c r="FV478" s="19"/>
      <c r="FW478" s="10"/>
      <c r="FX478" s="10"/>
      <c r="FY478" s="539"/>
      <c r="FZ478" s="19"/>
      <c r="GA478" s="10"/>
      <c r="GB478" s="10"/>
      <c r="GC478" s="539"/>
      <c r="GD478" s="19"/>
      <c r="GE478" s="10"/>
      <c r="GF478" s="10"/>
      <c r="GG478" s="539"/>
      <c r="GH478" s="19"/>
      <c r="GI478" s="10"/>
      <c r="GJ478" s="10"/>
      <c r="GK478" s="539"/>
      <c r="GL478" s="19"/>
      <c r="GM478" s="10"/>
      <c r="GN478" s="10"/>
      <c r="GO478" s="539"/>
      <c r="GP478" s="16"/>
      <c r="GQ478" s="10"/>
      <c r="GR478" s="10"/>
      <c r="GS478" s="541"/>
      <c r="GT478" s="16"/>
      <c r="GU478" s="10"/>
      <c r="GV478" s="10"/>
      <c r="GW478" s="541"/>
      <c r="GX478" s="16"/>
      <c r="GY478" s="10"/>
      <c r="GZ478" s="10"/>
      <c r="HA478" s="541"/>
      <c r="HB478" s="16"/>
      <c r="HC478" s="10"/>
      <c r="HD478" s="10"/>
      <c r="HE478" s="541"/>
      <c r="HF478" s="16"/>
      <c r="HG478" s="10"/>
      <c r="HH478" s="10"/>
      <c r="HI478" s="541"/>
      <c r="HJ478" s="16"/>
      <c r="HK478" s="10"/>
      <c r="HL478" s="10"/>
      <c r="HM478" s="541"/>
      <c r="HN478" s="16"/>
      <c r="HO478" s="10"/>
      <c r="HP478" s="10"/>
      <c r="HQ478" s="541"/>
      <c r="HR478" s="16"/>
      <c r="HS478" s="10"/>
      <c r="HT478" s="10"/>
      <c r="HU478" s="539"/>
      <c r="HV478" s="19"/>
      <c r="HW478" s="10"/>
      <c r="HX478" s="10"/>
      <c r="HY478" s="539"/>
      <c r="HZ478" s="420"/>
      <c r="IA478" s="10"/>
      <c r="IB478" s="10"/>
    </row>
    <row r="479" spans="55:237">
      <c r="BC479" s="420"/>
      <c r="BQ479" s="420"/>
      <c r="BR479" s="19"/>
      <c r="BS479" s="19"/>
      <c r="BT479" s="16"/>
      <c r="BW479" s="420"/>
      <c r="BY479" s="540"/>
      <c r="BZ479" s="420"/>
      <c r="CA479" s="10"/>
      <c r="CB479" s="10"/>
      <c r="CC479" s="540"/>
      <c r="CD479" s="420"/>
      <c r="CE479" s="10"/>
      <c r="CF479" s="10"/>
      <c r="CG479" s="540"/>
      <c r="CH479" s="420"/>
      <c r="CI479" s="10"/>
      <c r="CJ479" s="10"/>
      <c r="CK479" s="540"/>
      <c r="CL479" s="420"/>
      <c r="CM479" s="10"/>
      <c r="CN479" s="10"/>
      <c r="CO479" s="540"/>
      <c r="CP479" s="420"/>
      <c r="CQ479" s="10"/>
      <c r="CR479" s="10"/>
      <c r="CS479" s="540"/>
      <c r="CT479" s="420"/>
      <c r="CU479" s="10"/>
      <c r="CV479" s="10"/>
      <c r="CW479" s="540"/>
      <c r="CX479" s="420"/>
      <c r="CY479" s="10"/>
      <c r="CZ479" s="10"/>
      <c r="DA479" s="540"/>
      <c r="DB479" s="420"/>
      <c r="DC479" s="10"/>
      <c r="DD479" s="10"/>
      <c r="DE479" s="540"/>
      <c r="DF479" s="420"/>
      <c r="DG479" s="10"/>
      <c r="DH479" s="10"/>
      <c r="DI479" s="540"/>
      <c r="DJ479" s="420"/>
      <c r="DK479" s="10"/>
      <c r="DL479" s="10"/>
      <c r="DM479" s="540"/>
      <c r="DN479" s="420"/>
      <c r="DO479" s="10"/>
      <c r="DP479" s="10"/>
      <c r="DQ479" s="540"/>
      <c r="DR479" s="420"/>
      <c r="DS479" s="10"/>
      <c r="DT479" s="10"/>
      <c r="DU479" s="540"/>
      <c r="DV479" s="420"/>
      <c r="DW479" s="10"/>
      <c r="DX479" s="10"/>
      <c r="DY479" s="540"/>
      <c r="DZ479" s="420"/>
      <c r="EA479" s="10"/>
      <c r="EB479" s="10"/>
      <c r="EC479" s="540"/>
      <c r="ED479" s="420"/>
      <c r="EE479" s="10"/>
      <c r="EF479" s="10"/>
      <c r="EG479" s="539"/>
      <c r="EH479" s="19"/>
      <c r="EI479" s="10"/>
      <c r="EJ479" s="10"/>
      <c r="EK479" s="539"/>
      <c r="EL479" s="19"/>
      <c r="EM479" s="10"/>
      <c r="EN479" s="10"/>
      <c r="EO479" s="539"/>
      <c r="EP479" s="19"/>
      <c r="EQ479" s="10"/>
      <c r="ER479" s="10"/>
      <c r="ES479" s="539"/>
      <c r="ET479" s="19"/>
      <c r="EU479" s="10"/>
      <c r="EV479" s="10"/>
      <c r="EW479" s="539"/>
      <c r="EX479" s="19"/>
      <c r="EY479" s="10"/>
      <c r="EZ479" s="10"/>
      <c r="FA479" s="539"/>
      <c r="FB479" s="19"/>
      <c r="FC479" s="10"/>
      <c r="FD479" s="10"/>
      <c r="FE479" s="539"/>
      <c r="FF479" s="19"/>
      <c r="FG479" s="10"/>
      <c r="FH479" s="10"/>
      <c r="FI479" s="539"/>
      <c r="FJ479" s="19"/>
      <c r="FK479" s="10"/>
      <c r="FL479" s="10"/>
      <c r="FM479" s="539"/>
      <c r="FN479" s="19"/>
      <c r="FO479" s="10"/>
      <c r="FP479" s="10"/>
      <c r="FQ479" s="539"/>
      <c r="FR479" s="19"/>
      <c r="FS479" s="10"/>
      <c r="FT479" s="10"/>
      <c r="FU479" s="539"/>
      <c r="FV479" s="19"/>
      <c r="FW479" s="10"/>
      <c r="FX479" s="10"/>
      <c r="FY479" s="539"/>
      <c r="FZ479" s="19"/>
      <c r="GA479" s="10"/>
      <c r="GB479" s="10"/>
      <c r="GC479" s="539"/>
      <c r="GD479" s="19"/>
      <c r="GE479" s="10"/>
      <c r="GF479" s="10"/>
      <c r="GG479" s="539"/>
      <c r="GH479" s="19"/>
      <c r="GI479" s="10"/>
      <c r="GJ479" s="10"/>
      <c r="GK479" s="539"/>
      <c r="GL479" s="19"/>
      <c r="GM479" s="10"/>
      <c r="GN479" s="10"/>
      <c r="GO479" s="539"/>
      <c r="GP479" s="16"/>
      <c r="GQ479" s="10"/>
      <c r="GR479" s="10"/>
      <c r="GS479" s="541"/>
      <c r="GT479" s="16"/>
      <c r="GU479" s="10"/>
      <c r="GV479" s="10"/>
      <c r="GW479" s="541"/>
      <c r="GX479" s="16"/>
      <c r="GY479" s="10"/>
      <c r="GZ479" s="10"/>
      <c r="HA479" s="541"/>
      <c r="HB479" s="16"/>
      <c r="HC479" s="10"/>
      <c r="HD479" s="10"/>
      <c r="HE479" s="541"/>
      <c r="HF479" s="16"/>
      <c r="HG479" s="10"/>
      <c r="HH479" s="10"/>
      <c r="HI479" s="541"/>
      <c r="HJ479" s="16"/>
      <c r="HK479" s="10"/>
      <c r="HL479" s="10"/>
      <c r="HM479" s="541"/>
      <c r="HN479" s="16"/>
      <c r="HO479" s="10"/>
      <c r="HP479" s="10"/>
      <c r="HQ479" s="541"/>
      <c r="HR479" s="16"/>
      <c r="HS479" s="10"/>
      <c r="HT479" s="10"/>
      <c r="HU479" s="539"/>
      <c r="HV479" s="19"/>
      <c r="HW479" s="10"/>
      <c r="HX479" s="10"/>
      <c r="HY479" s="539"/>
      <c r="HZ479" s="420"/>
      <c r="IA479" s="10"/>
      <c r="IB479" s="10"/>
    </row>
    <row r="480" spans="55:237">
      <c r="BC480" s="420"/>
      <c r="BQ480" s="420"/>
      <c r="BR480" s="19"/>
      <c r="BS480" s="19"/>
      <c r="BT480" s="16"/>
      <c r="BW480" s="420"/>
      <c r="BY480" s="540"/>
      <c r="BZ480" s="420"/>
      <c r="CA480" s="10"/>
      <c r="CB480" s="10"/>
      <c r="CC480" s="540"/>
      <c r="CD480" s="420"/>
      <c r="CE480" s="10"/>
      <c r="CF480" s="10"/>
      <c r="CG480" s="540"/>
      <c r="CH480" s="420"/>
      <c r="CI480" s="10"/>
      <c r="CJ480" s="10"/>
      <c r="CK480" s="540"/>
      <c r="CL480" s="420"/>
      <c r="CM480" s="10"/>
      <c r="CN480" s="10"/>
      <c r="CO480" s="540"/>
      <c r="CP480" s="420"/>
      <c r="CQ480" s="10"/>
      <c r="CR480" s="10"/>
      <c r="CS480" s="540"/>
      <c r="CT480" s="420"/>
      <c r="CU480" s="10"/>
      <c r="CV480" s="10"/>
      <c r="CW480" s="540"/>
      <c r="CX480" s="420"/>
      <c r="CY480" s="10"/>
      <c r="CZ480" s="10"/>
      <c r="DA480" s="540"/>
      <c r="DB480" s="420"/>
      <c r="DC480" s="10"/>
      <c r="DD480" s="10"/>
      <c r="DE480" s="540"/>
      <c r="DF480" s="420"/>
      <c r="DG480" s="10"/>
      <c r="DH480" s="10"/>
      <c r="DI480" s="540"/>
      <c r="DJ480" s="420"/>
      <c r="DK480" s="10"/>
      <c r="DL480" s="10"/>
      <c r="DM480" s="540"/>
      <c r="DN480" s="420"/>
      <c r="DO480" s="10"/>
      <c r="DP480" s="10"/>
      <c r="DQ480" s="540"/>
      <c r="DR480" s="420"/>
      <c r="DS480" s="10"/>
      <c r="DT480" s="10"/>
      <c r="DU480" s="540"/>
      <c r="DV480" s="420"/>
      <c r="DW480" s="10"/>
      <c r="DX480" s="10"/>
      <c r="DY480" s="540"/>
      <c r="DZ480" s="420"/>
      <c r="EA480" s="10"/>
      <c r="EB480" s="10"/>
      <c r="EC480" s="540"/>
      <c r="ED480" s="420"/>
      <c r="EE480" s="10"/>
      <c r="EF480" s="10"/>
      <c r="EG480" s="539"/>
      <c r="EH480" s="19"/>
      <c r="EI480" s="10"/>
      <c r="EJ480" s="10"/>
      <c r="EK480" s="539"/>
      <c r="EL480" s="19"/>
      <c r="EM480" s="10"/>
      <c r="EN480" s="10"/>
      <c r="EO480" s="539"/>
      <c r="EP480" s="19"/>
      <c r="EQ480" s="10"/>
      <c r="ER480" s="10"/>
      <c r="ES480" s="539"/>
      <c r="ET480" s="19"/>
      <c r="EU480" s="10"/>
      <c r="EV480" s="10"/>
      <c r="EW480" s="539"/>
      <c r="EX480" s="19"/>
      <c r="EY480" s="10"/>
      <c r="EZ480" s="10"/>
      <c r="FA480" s="539"/>
      <c r="FB480" s="19"/>
      <c r="FC480" s="10"/>
      <c r="FD480" s="10"/>
      <c r="FE480" s="539"/>
      <c r="FF480" s="19"/>
      <c r="FG480" s="10"/>
      <c r="FH480" s="10"/>
      <c r="FI480" s="539"/>
      <c r="FJ480" s="19"/>
      <c r="FK480" s="10"/>
      <c r="FL480" s="10"/>
      <c r="FM480" s="539"/>
      <c r="FN480" s="19"/>
      <c r="FO480" s="10"/>
      <c r="FP480" s="10"/>
      <c r="FQ480" s="539"/>
      <c r="FR480" s="19"/>
      <c r="FS480" s="10"/>
      <c r="FT480" s="10"/>
      <c r="FU480" s="539"/>
      <c r="FV480" s="19"/>
      <c r="FW480" s="10"/>
      <c r="FX480" s="10"/>
      <c r="FY480" s="539"/>
      <c r="FZ480" s="19"/>
      <c r="GA480" s="10"/>
      <c r="GB480" s="10"/>
      <c r="GC480" s="539"/>
      <c r="GD480" s="19"/>
      <c r="GE480" s="10"/>
      <c r="GF480" s="10"/>
      <c r="GG480" s="539"/>
      <c r="GH480" s="19"/>
      <c r="GI480" s="10"/>
      <c r="GJ480" s="10"/>
      <c r="GK480" s="539"/>
      <c r="GL480" s="19"/>
      <c r="GM480" s="10"/>
      <c r="GN480" s="10"/>
      <c r="GO480" s="539"/>
      <c r="GP480" s="16"/>
      <c r="GQ480" s="10"/>
      <c r="GR480" s="10"/>
      <c r="GS480" s="541"/>
      <c r="GT480" s="16"/>
      <c r="GU480" s="10"/>
      <c r="GV480" s="10"/>
      <c r="GW480" s="541"/>
      <c r="GX480" s="16"/>
      <c r="GY480" s="10"/>
      <c r="GZ480" s="10"/>
      <c r="HA480" s="541"/>
      <c r="HB480" s="16"/>
      <c r="HC480" s="10"/>
      <c r="HD480" s="10"/>
      <c r="HE480" s="541"/>
      <c r="HF480" s="16"/>
      <c r="HG480" s="10"/>
      <c r="HH480" s="10"/>
      <c r="HI480" s="541"/>
      <c r="HJ480" s="16"/>
      <c r="HK480" s="10"/>
      <c r="HL480" s="10"/>
      <c r="HM480" s="541"/>
      <c r="HN480" s="16"/>
      <c r="HO480" s="10"/>
      <c r="HP480" s="10"/>
      <c r="HQ480" s="541"/>
      <c r="HR480" s="16"/>
      <c r="HS480" s="10"/>
      <c r="HT480" s="10"/>
      <c r="HU480" s="539"/>
      <c r="HV480" s="19"/>
      <c r="HW480" s="10"/>
      <c r="HX480" s="10"/>
      <c r="HY480" s="539"/>
      <c r="HZ480" s="420"/>
      <c r="IA480" s="10"/>
      <c r="IB480" s="10"/>
    </row>
    <row r="481" spans="55:236">
      <c r="BC481" s="420"/>
      <c r="BQ481" s="420"/>
      <c r="BR481" s="19"/>
      <c r="BS481" s="19"/>
      <c r="BT481" s="16"/>
      <c r="BW481" s="420"/>
      <c r="BY481" s="540"/>
      <c r="BZ481" s="420"/>
      <c r="CA481" s="10"/>
      <c r="CB481" s="10"/>
      <c r="CC481" s="540"/>
      <c r="CD481" s="420"/>
      <c r="CE481" s="10"/>
      <c r="CF481" s="10"/>
      <c r="CG481" s="540"/>
      <c r="CH481" s="420"/>
      <c r="CI481" s="10"/>
      <c r="CJ481" s="10"/>
      <c r="CK481" s="540"/>
      <c r="CL481" s="420"/>
      <c r="CM481" s="10"/>
      <c r="CN481" s="10"/>
      <c r="CO481" s="540"/>
      <c r="CP481" s="420"/>
      <c r="CQ481" s="10"/>
      <c r="CR481" s="10"/>
      <c r="CS481" s="540"/>
      <c r="CT481" s="420"/>
      <c r="CU481" s="10"/>
      <c r="CV481" s="10"/>
      <c r="CW481" s="540"/>
      <c r="CX481" s="420"/>
      <c r="CY481" s="10"/>
      <c r="CZ481" s="10"/>
      <c r="DA481" s="540"/>
      <c r="DB481" s="420"/>
      <c r="DC481" s="10"/>
      <c r="DD481" s="10"/>
      <c r="DE481" s="540"/>
      <c r="DF481" s="420"/>
      <c r="DG481" s="10"/>
      <c r="DH481" s="10"/>
      <c r="DI481" s="540"/>
      <c r="DJ481" s="420"/>
      <c r="DK481" s="10"/>
      <c r="DL481" s="10"/>
      <c r="DM481" s="540"/>
      <c r="DN481" s="420"/>
      <c r="DO481" s="10"/>
      <c r="DP481" s="10"/>
      <c r="DQ481" s="540"/>
      <c r="DR481" s="420"/>
      <c r="DS481" s="10"/>
      <c r="DT481" s="10"/>
      <c r="DU481" s="540"/>
      <c r="DV481" s="420"/>
      <c r="DW481" s="10"/>
      <c r="DX481" s="10"/>
      <c r="DY481" s="540"/>
      <c r="DZ481" s="420"/>
      <c r="EA481" s="10"/>
      <c r="EB481" s="10"/>
      <c r="EC481" s="540"/>
      <c r="ED481" s="420"/>
      <c r="EE481" s="10"/>
      <c r="EF481" s="10"/>
      <c r="EG481" s="539"/>
      <c r="EH481" s="19"/>
      <c r="EI481" s="10"/>
      <c r="EJ481" s="10"/>
      <c r="EK481" s="539"/>
      <c r="EL481" s="19"/>
      <c r="EM481" s="10"/>
      <c r="EN481" s="10"/>
      <c r="EO481" s="539"/>
      <c r="EP481" s="19"/>
      <c r="EQ481" s="10"/>
      <c r="ER481" s="10"/>
      <c r="ES481" s="539"/>
      <c r="ET481" s="19"/>
      <c r="EU481" s="10"/>
      <c r="EV481" s="10"/>
      <c r="EW481" s="539"/>
      <c r="EX481" s="19"/>
      <c r="EY481" s="10"/>
      <c r="EZ481" s="10"/>
      <c r="FA481" s="539"/>
      <c r="FB481" s="19"/>
      <c r="FC481" s="10"/>
      <c r="FD481" s="10"/>
      <c r="FE481" s="539"/>
      <c r="FF481" s="19"/>
      <c r="FG481" s="10"/>
      <c r="FH481" s="10"/>
      <c r="FI481" s="539"/>
      <c r="FJ481" s="19"/>
      <c r="FK481" s="10"/>
      <c r="FL481" s="10"/>
      <c r="FM481" s="539"/>
      <c r="FN481" s="19"/>
      <c r="FO481" s="10"/>
      <c r="FP481" s="10"/>
      <c r="FQ481" s="539"/>
      <c r="FR481" s="19"/>
      <c r="FS481" s="10"/>
      <c r="FT481" s="10"/>
      <c r="FU481" s="539"/>
      <c r="FV481" s="19"/>
      <c r="FW481" s="10"/>
      <c r="FX481" s="10"/>
      <c r="FY481" s="539"/>
      <c r="FZ481" s="19"/>
      <c r="GA481" s="10"/>
      <c r="GB481" s="10"/>
      <c r="GC481" s="539"/>
      <c r="GD481" s="19"/>
      <c r="GE481" s="10"/>
      <c r="GF481" s="10"/>
      <c r="GG481" s="539"/>
      <c r="GH481" s="19"/>
      <c r="GI481" s="10"/>
      <c r="GJ481" s="10"/>
      <c r="GK481" s="539"/>
      <c r="GL481" s="19"/>
      <c r="GM481" s="10"/>
      <c r="GN481" s="10"/>
      <c r="GO481" s="539"/>
      <c r="GP481" s="16"/>
      <c r="GQ481" s="10"/>
      <c r="GR481" s="10"/>
      <c r="GS481" s="541"/>
      <c r="GT481" s="16"/>
      <c r="GU481" s="10"/>
      <c r="GV481" s="10"/>
      <c r="GW481" s="541"/>
      <c r="GX481" s="16"/>
      <c r="GY481" s="10"/>
      <c r="GZ481" s="10"/>
      <c r="HA481" s="541"/>
      <c r="HB481" s="16"/>
      <c r="HC481" s="10"/>
      <c r="HD481" s="10"/>
      <c r="HE481" s="541"/>
      <c r="HF481" s="16"/>
      <c r="HG481" s="10"/>
      <c r="HH481" s="10"/>
      <c r="HI481" s="541"/>
      <c r="HJ481" s="16"/>
      <c r="HK481" s="10"/>
      <c r="HL481" s="10"/>
      <c r="HM481" s="541"/>
      <c r="HN481" s="16"/>
      <c r="HO481" s="10"/>
      <c r="HP481" s="10"/>
      <c r="HQ481" s="541"/>
      <c r="HR481" s="16"/>
      <c r="HS481" s="10"/>
      <c r="HT481" s="10"/>
      <c r="HU481" s="539"/>
      <c r="HV481" s="19"/>
      <c r="HW481" s="10"/>
      <c r="HX481" s="10"/>
      <c r="HY481" s="539"/>
      <c r="HZ481" s="420"/>
      <c r="IA481" s="10"/>
      <c r="IB481" s="10"/>
    </row>
    <row r="482" spans="55:236">
      <c r="BQ482" s="420"/>
      <c r="BR482" s="19"/>
      <c r="BS482" s="19"/>
      <c r="BT482" s="16"/>
      <c r="BW482" s="420"/>
      <c r="BY482" s="540"/>
      <c r="BZ482" s="420"/>
      <c r="CA482" s="10"/>
      <c r="CB482" s="10"/>
      <c r="CC482" s="540"/>
      <c r="CD482" s="420"/>
      <c r="CE482" s="10"/>
      <c r="CF482" s="10"/>
      <c r="CG482" s="540"/>
      <c r="CH482" s="420"/>
      <c r="CI482" s="10"/>
      <c r="CJ482" s="10"/>
      <c r="CK482" s="540"/>
      <c r="CL482" s="420"/>
      <c r="CM482" s="10"/>
      <c r="CN482" s="10"/>
      <c r="CO482" s="540"/>
      <c r="CP482" s="420"/>
      <c r="CQ482" s="10"/>
      <c r="CR482" s="10"/>
      <c r="CS482" s="540"/>
      <c r="CT482" s="420"/>
      <c r="CU482" s="10"/>
      <c r="CV482" s="10"/>
      <c r="CW482" s="540"/>
      <c r="CX482" s="420"/>
      <c r="CY482" s="10"/>
      <c r="CZ482" s="10"/>
      <c r="DA482" s="540"/>
      <c r="DB482" s="420"/>
      <c r="DC482" s="10"/>
      <c r="DD482" s="10"/>
      <c r="DE482" s="540"/>
      <c r="DF482" s="420"/>
      <c r="DG482" s="10"/>
      <c r="DH482" s="10"/>
      <c r="DI482" s="540"/>
      <c r="DJ482" s="420"/>
      <c r="DK482" s="10"/>
      <c r="DL482" s="10"/>
      <c r="DM482" s="540"/>
      <c r="DN482" s="420"/>
      <c r="DO482" s="10"/>
      <c r="DP482" s="10"/>
      <c r="DQ482" s="540"/>
      <c r="DR482" s="420"/>
      <c r="DS482" s="10"/>
      <c r="DT482" s="10"/>
      <c r="DU482" s="540"/>
      <c r="DV482" s="420"/>
      <c r="DW482" s="10"/>
      <c r="DX482" s="10"/>
      <c r="DY482" s="540"/>
      <c r="DZ482" s="420"/>
      <c r="EA482" s="10"/>
      <c r="EB482" s="10"/>
      <c r="EC482" s="540"/>
      <c r="ED482" s="420"/>
      <c r="EE482" s="10"/>
      <c r="EF482" s="10"/>
      <c r="EG482" s="539"/>
      <c r="EH482" s="19"/>
      <c r="EI482" s="10"/>
      <c r="EJ482" s="10"/>
      <c r="EK482" s="539"/>
      <c r="EL482" s="19"/>
      <c r="EM482" s="10"/>
      <c r="EN482" s="10"/>
      <c r="EO482" s="539"/>
      <c r="EP482" s="19"/>
      <c r="EQ482" s="10"/>
      <c r="ER482" s="10"/>
      <c r="ES482" s="539"/>
      <c r="ET482" s="19"/>
      <c r="EU482" s="10"/>
      <c r="EV482" s="10"/>
      <c r="EW482" s="539"/>
      <c r="EX482" s="19"/>
      <c r="EY482" s="10"/>
      <c r="EZ482" s="10"/>
      <c r="FA482" s="539"/>
      <c r="FB482" s="19"/>
      <c r="FC482" s="10"/>
      <c r="FD482" s="10"/>
      <c r="FE482" s="539"/>
      <c r="FF482" s="19"/>
      <c r="FG482" s="10"/>
      <c r="FH482" s="10"/>
      <c r="FI482" s="539"/>
      <c r="FJ482" s="19"/>
      <c r="FK482" s="10"/>
      <c r="FL482" s="10"/>
      <c r="FM482" s="539"/>
      <c r="FN482" s="19"/>
      <c r="FO482" s="10"/>
      <c r="FP482" s="10"/>
      <c r="FQ482" s="539"/>
      <c r="FR482" s="19"/>
      <c r="FS482" s="10"/>
      <c r="FT482" s="10"/>
      <c r="FU482" s="539"/>
      <c r="FV482" s="19"/>
      <c r="FW482" s="10"/>
      <c r="FX482" s="10"/>
      <c r="FY482" s="539"/>
      <c r="FZ482" s="19"/>
      <c r="GA482" s="10"/>
      <c r="GB482" s="10"/>
      <c r="GC482" s="539"/>
      <c r="GD482" s="19"/>
      <c r="GE482" s="10"/>
      <c r="GF482" s="10"/>
      <c r="GG482" s="539"/>
      <c r="GH482" s="19"/>
      <c r="GI482" s="10"/>
      <c r="GJ482" s="10"/>
      <c r="GK482" s="539"/>
      <c r="GL482" s="19"/>
      <c r="GM482" s="10"/>
      <c r="GN482" s="10"/>
      <c r="GO482" s="539"/>
      <c r="GP482" s="16"/>
      <c r="GQ482" s="10"/>
      <c r="GR482" s="10"/>
      <c r="GS482" s="541"/>
      <c r="GT482" s="16"/>
      <c r="GU482" s="10"/>
      <c r="GV482" s="10"/>
      <c r="GW482" s="541"/>
      <c r="GX482" s="16"/>
      <c r="GY482" s="10"/>
      <c r="GZ482" s="10"/>
      <c r="HA482" s="541"/>
      <c r="HB482" s="16"/>
      <c r="HC482" s="10"/>
      <c r="HD482" s="10"/>
      <c r="HE482" s="541"/>
      <c r="HF482" s="16"/>
      <c r="HG482" s="10"/>
      <c r="HH482" s="10"/>
      <c r="HI482" s="541"/>
      <c r="HJ482" s="16"/>
      <c r="HK482" s="10"/>
      <c r="HL482" s="10"/>
      <c r="HM482" s="541"/>
      <c r="HN482" s="16"/>
      <c r="HO482" s="10"/>
      <c r="HP482" s="10"/>
      <c r="HQ482" s="541"/>
      <c r="HR482" s="16"/>
      <c r="HS482" s="10"/>
      <c r="HT482" s="10"/>
      <c r="HU482" s="539"/>
      <c r="HV482" s="19"/>
      <c r="HW482" s="10"/>
      <c r="HX482" s="10"/>
      <c r="HY482" s="539"/>
      <c r="HZ482" s="420"/>
      <c r="IA482" s="10"/>
      <c r="IB482" s="10"/>
    </row>
    <row r="483" spans="55:236">
      <c r="BQ483" s="420"/>
      <c r="BR483" s="19"/>
      <c r="BS483" s="19"/>
      <c r="BT483" s="16"/>
      <c r="BW483" s="420"/>
      <c r="BY483" s="540"/>
      <c r="BZ483" s="420"/>
      <c r="CA483" s="10"/>
      <c r="CB483" s="10"/>
      <c r="CC483" s="540"/>
      <c r="CD483" s="420"/>
      <c r="CE483" s="10"/>
      <c r="CF483" s="10"/>
      <c r="CG483" s="540"/>
      <c r="CH483" s="420"/>
      <c r="CI483" s="10"/>
      <c r="CJ483" s="10"/>
      <c r="CK483" s="540"/>
      <c r="CL483" s="420"/>
      <c r="CM483" s="10"/>
      <c r="CN483" s="10"/>
      <c r="CO483" s="540"/>
      <c r="CP483" s="420"/>
      <c r="CQ483" s="10"/>
      <c r="CR483" s="10"/>
      <c r="CS483" s="540"/>
      <c r="CT483" s="420"/>
      <c r="CU483" s="10"/>
      <c r="CV483" s="10"/>
      <c r="CW483" s="540"/>
      <c r="CX483" s="420"/>
      <c r="CY483" s="10"/>
      <c r="CZ483" s="10"/>
      <c r="DA483" s="540"/>
      <c r="DB483" s="420"/>
      <c r="DC483" s="10"/>
      <c r="DD483" s="10"/>
      <c r="DE483" s="540"/>
      <c r="DF483" s="420"/>
      <c r="DG483" s="10"/>
      <c r="DH483" s="10"/>
      <c r="DI483" s="540"/>
      <c r="DJ483" s="420"/>
      <c r="DK483" s="10"/>
      <c r="DL483" s="10"/>
      <c r="DM483" s="540"/>
      <c r="DN483" s="420"/>
      <c r="DO483" s="10"/>
      <c r="DP483" s="10"/>
      <c r="DQ483" s="540"/>
      <c r="DR483" s="420"/>
      <c r="DS483" s="10"/>
      <c r="DT483" s="10"/>
      <c r="DU483" s="540"/>
      <c r="DV483" s="420"/>
      <c r="DW483" s="10"/>
      <c r="DX483" s="10"/>
      <c r="DY483" s="540"/>
      <c r="DZ483" s="420"/>
      <c r="EA483" s="10"/>
      <c r="EB483" s="10"/>
      <c r="EC483" s="540"/>
      <c r="ED483" s="420"/>
      <c r="EE483" s="10"/>
      <c r="EF483" s="10"/>
      <c r="EG483" s="539"/>
      <c r="EH483" s="19"/>
      <c r="EI483" s="10"/>
      <c r="EJ483" s="10"/>
      <c r="EK483" s="539"/>
      <c r="EL483" s="19"/>
      <c r="EM483" s="10"/>
      <c r="EN483" s="10"/>
      <c r="EO483" s="539"/>
      <c r="EP483" s="19"/>
      <c r="EQ483" s="10"/>
      <c r="ER483" s="10"/>
      <c r="ES483" s="539"/>
      <c r="ET483" s="19"/>
      <c r="EU483" s="10"/>
      <c r="EV483" s="10"/>
      <c r="EW483" s="539"/>
      <c r="EX483" s="19"/>
      <c r="EY483" s="10"/>
      <c r="EZ483" s="10"/>
      <c r="FA483" s="539"/>
      <c r="FB483" s="19"/>
      <c r="FC483" s="10"/>
      <c r="FD483" s="10"/>
      <c r="FE483" s="539"/>
      <c r="FF483" s="19"/>
      <c r="FG483" s="10"/>
      <c r="FH483" s="10"/>
      <c r="FI483" s="539"/>
      <c r="FJ483" s="19"/>
      <c r="FK483" s="10"/>
      <c r="FL483" s="10"/>
      <c r="FM483" s="539"/>
      <c r="FN483" s="19"/>
      <c r="FO483" s="10"/>
      <c r="FP483" s="10"/>
      <c r="FQ483" s="539"/>
      <c r="FR483" s="19"/>
      <c r="FS483" s="10"/>
      <c r="FT483" s="10"/>
      <c r="FU483" s="539"/>
      <c r="FV483" s="19"/>
      <c r="FW483" s="10"/>
      <c r="FX483" s="10"/>
      <c r="FY483" s="539"/>
      <c r="FZ483" s="19"/>
      <c r="GA483" s="10"/>
      <c r="GB483" s="10"/>
      <c r="GC483" s="539"/>
      <c r="GD483" s="19"/>
      <c r="GE483" s="10"/>
      <c r="GF483" s="10"/>
      <c r="GG483" s="539"/>
      <c r="GH483" s="19"/>
      <c r="GI483" s="10"/>
      <c r="GJ483" s="10"/>
      <c r="GK483" s="539"/>
      <c r="GL483" s="19"/>
      <c r="GM483" s="10"/>
      <c r="GN483" s="10"/>
      <c r="GO483" s="539"/>
      <c r="GP483" s="16"/>
      <c r="GQ483" s="10"/>
      <c r="GR483" s="10"/>
      <c r="GS483" s="541"/>
      <c r="GT483" s="16"/>
      <c r="GU483" s="10"/>
      <c r="GV483" s="10"/>
      <c r="GW483" s="541"/>
      <c r="GX483" s="16"/>
      <c r="GY483" s="10"/>
      <c r="GZ483" s="10"/>
      <c r="HA483" s="541"/>
      <c r="HB483" s="16"/>
      <c r="HC483" s="10"/>
      <c r="HD483" s="10"/>
      <c r="HE483" s="541"/>
      <c r="HF483" s="16"/>
      <c r="HG483" s="10"/>
      <c r="HH483" s="10"/>
      <c r="HI483" s="541"/>
      <c r="HJ483" s="16"/>
      <c r="HK483" s="10"/>
      <c r="HL483" s="10"/>
      <c r="HM483" s="541"/>
      <c r="HN483" s="16"/>
      <c r="HO483" s="10"/>
      <c r="HP483" s="10"/>
      <c r="HQ483" s="541"/>
      <c r="HR483" s="16"/>
      <c r="HS483" s="10"/>
      <c r="HT483" s="10"/>
      <c r="HU483" s="539"/>
      <c r="HV483" s="19"/>
      <c r="HW483" s="10"/>
      <c r="HX483" s="10"/>
      <c r="HY483" s="539"/>
      <c r="HZ483" s="420"/>
      <c r="IA483" s="10"/>
      <c r="IB483" s="10"/>
    </row>
    <row r="484" spans="55:236">
      <c r="BC484" s="420"/>
      <c r="BQ484" s="420"/>
      <c r="BR484" s="19"/>
    </row>
    <row r="485" spans="55:236">
      <c r="BC485" s="420"/>
      <c r="BQ485" s="420"/>
      <c r="BR485" s="19"/>
    </row>
    <row r="486" spans="55:236">
      <c r="BC486" s="420"/>
      <c r="BQ486" s="420"/>
      <c r="BR486" s="19"/>
      <c r="BS486" s="16"/>
      <c r="BW486" s="420"/>
      <c r="BX486" s="540"/>
      <c r="BY486" s="420"/>
      <c r="CA486" s="10"/>
      <c r="CB486" s="540"/>
      <c r="CC486" s="420"/>
      <c r="CE486" s="10"/>
      <c r="CF486" s="540"/>
      <c r="CG486" s="420"/>
      <c r="CI486" s="10"/>
      <c r="CJ486" s="540"/>
      <c r="CK486" s="420"/>
      <c r="CM486" s="10"/>
      <c r="CN486" s="540"/>
      <c r="CO486" s="420"/>
      <c r="CQ486" s="10"/>
      <c r="CR486" s="540"/>
      <c r="CS486" s="420"/>
      <c r="CU486" s="10"/>
      <c r="CV486" s="540"/>
      <c r="CW486" s="420"/>
      <c r="CY486" s="10"/>
      <c r="CZ486" s="540"/>
      <c r="DA486" s="420"/>
      <c r="DC486" s="10"/>
      <c r="DD486" s="540"/>
      <c r="DE486" s="420"/>
      <c r="DG486" s="10"/>
      <c r="DH486" s="540"/>
      <c r="DI486" s="420"/>
      <c r="DK486" s="10"/>
      <c r="DL486" s="540"/>
      <c r="DM486" s="420"/>
      <c r="DO486" s="10"/>
      <c r="DP486" s="540"/>
      <c r="DQ486" s="420"/>
      <c r="DS486" s="10"/>
      <c r="DT486" s="540"/>
      <c r="DU486" s="420"/>
      <c r="DW486" s="10"/>
      <c r="DX486" s="540"/>
      <c r="DY486" s="420"/>
      <c r="EA486" s="10"/>
      <c r="EB486" s="540"/>
      <c r="EC486" s="420"/>
      <c r="EE486" s="10"/>
      <c r="EF486" s="539"/>
      <c r="EG486" s="19"/>
      <c r="EI486" s="10"/>
      <c r="EJ486" s="539"/>
      <c r="EK486" s="19"/>
      <c r="EM486" s="10"/>
      <c r="EN486" s="539"/>
      <c r="EO486" s="19"/>
      <c r="EQ486" s="10"/>
      <c r="ER486" s="539"/>
      <c r="ES486" s="19"/>
      <c r="EU486" s="10"/>
      <c r="EV486" s="539"/>
      <c r="EW486" s="19"/>
      <c r="EY486" s="10"/>
      <c r="EZ486" s="539"/>
      <c r="FA486" s="19"/>
      <c r="FC486" s="10"/>
      <c r="FD486" s="539"/>
      <c r="FE486" s="19"/>
      <c r="FG486" s="10"/>
      <c r="FH486" s="539"/>
      <c r="FI486" s="19"/>
      <c r="FK486" s="10"/>
      <c r="FL486" s="539"/>
      <c r="FM486" s="19"/>
      <c r="FO486" s="10"/>
      <c r="FP486" s="539"/>
      <c r="FQ486" s="19"/>
      <c r="FS486" s="10"/>
      <c r="FT486" s="539"/>
      <c r="FU486" s="19"/>
      <c r="FW486" s="10"/>
      <c r="FX486" s="539"/>
      <c r="FY486" s="19"/>
      <c r="GA486" s="10"/>
      <c r="GB486" s="539"/>
      <c r="GC486" s="19"/>
      <c r="GE486" s="10"/>
      <c r="GF486" s="539"/>
      <c r="GG486" s="19"/>
      <c r="GI486" s="10"/>
      <c r="GJ486" s="539"/>
      <c r="GK486" s="19"/>
      <c r="GM486" s="10"/>
      <c r="GN486" s="539"/>
      <c r="GO486" s="16"/>
      <c r="GQ486" s="10"/>
      <c r="GR486" s="541"/>
      <c r="GS486" s="16"/>
      <c r="GU486" s="10"/>
      <c r="GV486" s="541"/>
      <c r="GW486" s="16"/>
      <c r="GY486" s="10"/>
      <c r="GZ486" s="541"/>
      <c r="HA486" s="16"/>
      <c r="HC486" s="10"/>
      <c r="HD486" s="541"/>
      <c r="HE486" s="16"/>
      <c r="HG486" s="10"/>
      <c r="HH486" s="541"/>
      <c r="HI486" s="16"/>
      <c r="HK486" s="10"/>
      <c r="HL486" s="541"/>
      <c r="HM486" s="16"/>
      <c r="HO486" s="10"/>
      <c r="HP486" s="541"/>
      <c r="HQ486" s="16"/>
      <c r="HS486" s="10"/>
      <c r="HT486" s="539"/>
      <c r="HU486" s="19"/>
      <c r="HW486" s="10"/>
      <c r="HX486" s="539"/>
      <c r="HY486" s="420"/>
      <c r="IA486" s="10"/>
      <c r="IB486" s="539"/>
    </row>
    <row r="487" spans="55:236">
      <c r="BC487" s="420"/>
      <c r="BQ487" s="420"/>
      <c r="BR487" s="19"/>
      <c r="BS487" s="16"/>
      <c r="BW487" s="420"/>
      <c r="BX487" s="540"/>
      <c r="BY487" s="420"/>
      <c r="CA487" s="10"/>
      <c r="CB487" s="540"/>
      <c r="CC487" s="420"/>
      <c r="CE487" s="10"/>
      <c r="CF487" s="540"/>
      <c r="CG487" s="420"/>
      <c r="CI487" s="10"/>
      <c r="CJ487" s="540"/>
      <c r="CK487" s="420"/>
      <c r="CM487" s="10"/>
      <c r="CN487" s="540"/>
      <c r="CO487" s="420"/>
      <c r="CQ487" s="10"/>
      <c r="CR487" s="540"/>
      <c r="CS487" s="420"/>
      <c r="CU487" s="10"/>
      <c r="CV487" s="540"/>
      <c r="CW487" s="420"/>
      <c r="CY487" s="10"/>
      <c r="CZ487" s="540"/>
      <c r="DA487" s="420"/>
      <c r="DC487" s="10"/>
      <c r="DD487" s="540"/>
      <c r="DE487" s="420"/>
      <c r="DG487" s="10"/>
      <c r="DH487" s="540"/>
      <c r="DI487" s="420"/>
      <c r="DK487" s="10"/>
      <c r="DL487" s="540"/>
      <c r="DM487" s="420"/>
      <c r="DO487" s="10"/>
      <c r="DP487" s="540"/>
      <c r="DQ487" s="420"/>
      <c r="DS487" s="10"/>
      <c r="DT487" s="540"/>
      <c r="DU487" s="420"/>
      <c r="DW487" s="10"/>
      <c r="DX487" s="540"/>
      <c r="DY487" s="420"/>
      <c r="EA487" s="10"/>
      <c r="EB487" s="540"/>
      <c r="EC487" s="420"/>
      <c r="EE487" s="10"/>
      <c r="EF487" s="539"/>
      <c r="EG487" s="19"/>
      <c r="EI487" s="10"/>
      <c r="EJ487" s="539"/>
      <c r="EK487" s="19"/>
      <c r="EM487" s="10"/>
      <c r="EN487" s="539"/>
      <c r="EO487" s="19"/>
      <c r="EQ487" s="10"/>
      <c r="ER487" s="539"/>
      <c r="ES487" s="19"/>
      <c r="EU487" s="10"/>
      <c r="EV487" s="539"/>
      <c r="EW487" s="19"/>
      <c r="EY487" s="10"/>
      <c r="EZ487" s="539"/>
      <c r="FA487" s="19"/>
      <c r="FC487" s="10"/>
      <c r="FD487" s="539"/>
      <c r="FE487" s="19"/>
      <c r="FG487" s="10"/>
      <c r="FH487" s="539"/>
      <c r="FI487" s="19"/>
      <c r="FK487" s="10"/>
      <c r="FL487" s="539"/>
      <c r="FM487" s="19"/>
      <c r="FO487" s="10"/>
      <c r="FP487" s="539"/>
      <c r="FQ487" s="19"/>
      <c r="FS487" s="10"/>
      <c r="FT487" s="539"/>
      <c r="FU487" s="19"/>
      <c r="FW487" s="10"/>
      <c r="FX487" s="539"/>
      <c r="FY487" s="19"/>
      <c r="GA487" s="10"/>
      <c r="GB487" s="539"/>
      <c r="GC487" s="19"/>
      <c r="GE487" s="10"/>
      <c r="GF487" s="539"/>
      <c r="GG487" s="19"/>
      <c r="GI487" s="10"/>
      <c r="GJ487" s="539"/>
      <c r="GK487" s="19"/>
      <c r="GM487" s="10"/>
      <c r="GN487" s="539"/>
      <c r="GO487" s="16"/>
      <c r="GQ487" s="10"/>
      <c r="GR487" s="541"/>
      <c r="GS487" s="16"/>
      <c r="GU487" s="10"/>
      <c r="GV487" s="541"/>
      <c r="GW487" s="16"/>
      <c r="GY487" s="10"/>
      <c r="GZ487" s="541"/>
      <c r="HA487" s="16"/>
      <c r="HC487" s="10"/>
      <c r="HD487" s="541"/>
      <c r="HE487" s="16"/>
      <c r="HG487" s="10"/>
      <c r="HH487" s="541"/>
      <c r="HI487" s="16"/>
      <c r="HK487" s="10"/>
      <c r="HL487" s="541"/>
      <c r="HM487" s="16"/>
      <c r="HO487" s="10"/>
      <c r="HP487" s="541"/>
      <c r="HQ487" s="16"/>
      <c r="HS487" s="10"/>
      <c r="HT487" s="539"/>
      <c r="HU487" s="19"/>
      <c r="HW487" s="10"/>
      <c r="HX487" s="539"/>
      <c r="HY487" s="420"/>
      <c r="IA487" s="10"/>
      <c r="IB487" s="539"/>
    </row>
    <row r="488" spans="55:236">
      <c r="BC488" s="420"/>
      <c r="BQ488" s="420"/>
      <c r="BR488" s="19"/>
      <c r="BS488" s="16"/>
      <c r="BW488" s="420"/>
      <c r="BX488" s="540"/>
      <c r="BY488" s="420"/>
      <c r="CA488" s="10"/>
      <c r="CB488" s="540"/>
      <c r="CC488" s="420"/>
      <c r="CE488" s="10"/>
      <c r="CF488" s="540"/>
      <c r="CG488" s="420"/>
      <c r="CI488" s="10"/>
      <c r="CJ488" s="540"/>
      <c r="CK488" s="420"/>
      <c r="CM488" s="10"/>
      <c r="CN488" s="540"/>
      <c r="CO488" s="420"/>
      <c r="CQ488" s="10"/>
      <c r="CR488" s="540"/>
      <c r="CS488" s="420"/>
      <c r="CU488" s="10"/>
      <c r="CV488" s="540"/>
      <c r="CW488" s="420"/>
      <c r="CY488" s="10"/>
      <c r="CZ488" s="540"/>
      <c r="DA488" s="420"/>
      <c r="DC488" s="10"/>
      <c r="DD488" s="540"/>
      <c r="DE488" s="420"/>
      <c r="DG488" s="10"/>
      <c r="DH488" s="540"/>
      <c r="DI488" s="420"/>
      <c r="DK488" s="10"/>
      <c r="DL488" s="540"/>
      <c r="DM488" s="420"/>
      <c r="DO488" s="10"/>
      <c r="DP488" s="540"/>
      <c r="DQ488" s="420"/>
      <c r="DS488" s="10"/>
      <c r="DT488" s="540"/>
      <c r="DU488" s="420"/>
      <c r="DW488" s="10"/>
      <c r="DX488" s="540"/>
      <c r="DY488" s="420"/>
      <c r="EA488" s="10"/>
      <c r="EB488" s="540"/>
      <c r="EC488" s="420"/>
      <c r="EE488" s="10"/>
      <c r="EF488" s="539"/>
      <c r="EG488" s="19"/>
      <c r="EI488" s="10"/>
      <c r="EJ488" s="539"/>
      <c r="EK488" s="19"/>
      <c r="EM488" s="10"/>
      <c r="EN488" s="539"/>
      <c r="EO488" s="19"/>
      <c r="EQ488" s="10"/>
      <c r="ER488" s="539"/>
      <c r="ES488" s="19"/>
      <c r="EU488" s="10"/>
      <c r="EV488" s="539"/>
      <c r="EW488" s="19"/>
      <c r="EY488" s="10"/>
      <c r="EZ488" s="539"/>
      <c r="FA488" s="19"/>
      <c r="FC488" s="10"/>
      <c r="FD488" s="539"/>
      <c r="FE488" s="19"/>
      <c r="FG488" s="10"/>
      <c r="FH488" s="539"/>
      <c r="FI488" s="19"/>
      <c r="FK488" s="10"/>
      <c r="FL488" s="539"/>
      <c r="FM488" s="19"/>
      <c r="FO488" s="10"/>
      <c r="FP488" s="539"/>
      <c r="FQ488" s="19"/>
      <c r="FS488" s="10"/>
      <c r="FT488" s="539"/>
      <c r="FU488" s="19"/>
      <c r="FW488" s="10"/>
      <c r="FX488" s="539"/>
      <c r="FY488" s="19"/>
      <c r="GA488" s="10"/>
      <c r="GB488" s="539"/>
      <c r="GC488" s="19"/>
      <c r="GE488" s="10"/>
      <c r="GF488" s="539"/>
      <c r="GG488" s="19"/>
      <c r="GI488" s="10"/>
      <c r="GJ488" s="539"/>
      <c r="GK488" s="19"/>
      <c r="GM488" s="10"/>
      <c r="GN488" s="539"/>
      <c r="GO488" s="16"/>
      <c r="GQ488" s="10"/>
      <c r="GR488" s="541"/>
      <c r="GS488" s="16"/>
      <c r="GU488" s="10"/>
      <c r="GV488" s="541"/>
      <c r="GW488" s="16"/>
      <c r="GY488" s="10"/>
      <c r="GZ488" s="541"/>
      <c r="HA488" s="16"/>
      <c r="HC488" s="10"/>
      <c r="HD488" s="541"/>
      <c r="HE488" s="16"/>
      <c r="HG488" s="10"/>
      <c r="HH488" s="541"/>
      <c r="HI488" s="16"/>
      <c r="HK488" s="10"/>
      <c r="HL488" s="541"/>
      <c r="HM488" s="16"/>
      <c r="HO488" s="10"/>
      <c r="HP488" s="541"/>
      <c r="HQ488" s="16"/>
      <c r="HS488" s="10"/>
      <c r="HT488" s="539"/>
      <c r="HU488" s="19"/>
      <c r="HW488" s="10"/>
      <c r="HX488" s="539"/>
      <c r="HY488" s="420"/>
      <c r="IA488" s="10"/>
      <c r="IB488" s="539"/>
    </row>
    <row r="489" spans="55:236">
      <c r="BC489" s="420"/>
      <c r="BQ489" s="420"/>
      <c r="BR489" s="19"/>
      <c r="BS489" s="16"/>
      <c r="BW489" s="420"/>
      <c r="BX489" s="540"/>
      <c r="BY489" s="420"/>
      <c r="CA489" s="10"/>
      <c r="CB489" s="540"/>
      <c r="CC489" s="420"/>
      <c r="CE489" s="10"/>
      <c r="CF489" s="540"/>
      <c r="CG489" s="420"/>
      <c r="CI489" s="10"/>
      <c r="CJ489" s="540"/>
      <c r="CK489" s="420"/>
      <c r="CM489" s="10"/>
      <c r="CN489" s="540"/>
      <c r="CO489" s="420"/>
      <c r="CQ489" s="10"/>
      <c r="CR489" s="540"/>
      <c r="CS489" s="420"/>
      <c r="CU489" s="10"/>
      <c r="CV489" s="540"/>
      <c r="CW489" s="420"/>
      <c r="CY489" s="10"/>
      <c r="CZ489" s="540"/>
      <c r="DA489" s="420"/>
      <c r="DC489" s="10"/>
      <c r="DD489" s="540"/>
      <c r="DE489" s="420"/>
      <c r="DG489" s="10"/>
      <c r="DH489" s="540"/>
      <c r="DI489" s="420"/>
      <c r="DK489" s="10"/>
      <c r="DL489" s="540"/>
      <c r="DM489" s="420"/>
      <c r="DO489" s="10"/>
      <c r="DP489" s="540"/>
      <c r="DQ489" s="420"/>
      <c r="DS489" s="10"/>
      <c r="DT489" s="540"/>
      <c r="DU489" s="420"/>
      <c r="DW489" s="10"/>
      <c r="DX489" s="540"/>
      <c r="DY489" s="420"/>
      <c r="EA489" s="10"/>
      <c r="EB489" s="540"/>
      <c r="EC489" s="420"/>
      <c r="EE489" s="10"/>
      <c r="EF489" s="539"/>
      <c r="EG489" s="19"/>
      <c r="EI489" s="10"/>
      <c r="EJ489" s="539"/>
      <c r="EK489" s="19"/>
      <c r="EM489" s="10"/>
      <c r="EN489" s="539"/>
      <c r="EO489" s="19"/>
      <c r="EQ489" s="10"/>
      <c r="ER489" s="539"/>
      <c r="ES489" s="19"/>
      <c r="EU489" s="10"/>
      <c r="EV489" s="539"/>
      <c r="EW489" s="19"/>
      <c r="EY489" s="10"/>
      <c r="EZ489" s="539"/>
      <c r="FA489" s="19"/>
      <c r="FC489" s="10"/>
      <c r="FD489" s="539"/>
      <c r="FE489" s="19"/>
      <c r="FG489" s="10"/>
      <c r="FH489" s="539"/>
      <c r="FI489" s="19"/>
      <c r="FK489" s="10"/>
      <c r="FL489" s="539"/>
      <c r="FM489" s="19"/>
      <c r="FO489" s="10"/>
      <c r="FP489" s="539"/>
      <c r="FQ489" s="19"/>
      <c r="FS489" s="10"/>
      <c r="FT489" s="539"/>
      <c r="FU489" s="19"/>
      <c r="FW489" s="10"/>
      <c r="FX489" s="539"/>
      <c r="FY489" s="19"/>
      <c r="GA489" s="10"/>
      <c r="GB489" s="539"/>
      <c r="GC489" s="19"/>
      <c r="GE489" s="10"/>
      <c r="GF489" s="539"/>
      <c r="GG489" s="19"/>
      <c r="GI489" s="10"/>
      <c r="GJ489" s="539"/>
      <c r="GK489" s="19"/>
      <c r="GM489" s="10"/>
      <c r="GN489" s="539"/>
      <c r="GO489" s="16"/>
      <c r="GQ489" s="10"/>
      <c r="GR489" s="541"/>
      <c r="GS489" s="16"/>
      <c r="GU489" s="10"/>
      <c r="GV489" s="541"/>
      <c r="GW489" s="16"/>
      <c r="GY489" s="10"/>
      <c r="GZ489" s="541"/>
      <c r="HA489" s="16"/>
      <c r="HC489" s="10"/>
      <c r="HD489" s="541"/>
      <c r="HE489" s="16"/>
      <c r="HG489" s="10"/>
      <c r="HH489" s="541"/>
      <c r="HI489" s="16"/>
      <c r="HK489" s="10"/>
      <c r="HL489" s="541"/>
      <c r="HM489" s="16"/>
      <c r="HO489" s="10"/>
      <c r="HP489" s="541"/>
      <c r="HQ489" s="16"/>
      <c r="HS489" s="10"/>
      <c r="HT489" s="539"/>
      <c r="HU489" s="19"/>
      <c r="HW489" s="10"/>
      <c r="HX489" s="539"/>
      <c r="HY489" s="420"/>
      <c r="IA489" s="10"/>
      <c r="IB489" s="539"/>
    </row>
    <row r="490" spans="55:236">
      <c r="BC490" s="420"/>
      <c r="BQ490" s="420"/>
      <c r="BR490" s="19"/>
      <c r="BS490" s="16"/>
      <c r="BW490" s="420"/>
      <c r="BX490" s="540"/>
      <c r="BY490" s="420"/>
      <c r="CA490" s="10"/>
      <c r="CB490" s="540"/>
      <c r="CC490" s="420"/>
      <c r="CE490" s="10"/>
      <c r="CF490" s="540"/>
      <c r="CG490" s="420"/>
      <c r="CI490" s="10"/>
      <c r="CJ490" s="540"/>
      <c r="CK490" s="420"/>
      <c r="CM490" s="10"/>
      <c r="CN490" s="540"/>
      <c r="CO490" s="420"/>
      <c r="CQ490" s="10"/>
      <c r="CR490" s="540"/>
      <c r="CS490" s="420"/>
      <c r="CU490" s="10"/>
      <c r="CV490" s="540"/>
      <c r="CW490" s="420"/>
      <c r="CY490" s="10"/>
      <c r="CZ490" s="540"/>
      <c r="DA490" s="420"/>
      <c r="DC490" s="10"/>
      <c r="DD490" s="540"/>
      <c r="DE490" s="420"/>
      <c r="DG490" s="10"/>
      <c r="DH490" s="540"/>
      <c r="DI490" s="420"/>
      <c r="DK490" s="10"/>
      <c r="DL490" s="540"/>
      <c r="DM490" s="420"/>
      <c r="DO490" s="10"/>
      <c r="DP490" s="540"/>
      <c r="DQ490" s="420"/>
      <c r="DS490" s="10"/>
      <c r="DT490" s="540"/>
      <c r="DU490" s="420"/>
      <c r="DW490" s="10"/>
      <c r="DX490" s="540"/>
      <c r="DY490" s="420"/>
      <c r="EA490" s="10"/>
      <c r="EB490" s="540"/>
      <c r="EC490" s="420"/>
      <c r="EE490" s="10"/>
      <c r="EF490" s="539"/>
      <c r="EG490" s="19"/>
      <c r="EI490" s="10"/>
      <c r="EJ490" s="539"/>
      <c r="EK490" s="19"/>
      <c r="EM490" s="10"/>
      <c r="EN490" s="539"/>
      <c r="EO490" s="19"/>
      <c r="EQ490" s="10"/>
      <c r="ER490" s="539"/>
      <c r="ES490" s="19"/>
      <c r="EU490" s="10"/>
      <c r="EV490" s="539"/>
      <c r="EW490" s="19"/>
      <c r="EY490" s="10"/>
      <c r="EZ490" s="539"/>
      <c r="FA490" s="19"/>
      <c r="FC490" s="10"/>
      <c r="FD490" s="539"/>
      <c r="FE490" s="19"/>
      <c r="FG490" s="10"/>
      <c r="FH490" s="539"/>
      <c r="FI490" s="19"/>
      <c r="FK490" s="10"/>
      <c r="FL490" s="539"/>
      <c r="FM490" s="19"/>
      <c r="FO490" s="10"/>
      <c r="FP490" s="539"/>
      <c r="FQ490" s="19"/>
      <c r="FS490" s="10"/>
      <c r="FT490" s="539"/>
      <c r="FU490" s="19"/>
      <c r="FW490" s="10"/>
      <c r="FX490" s="539"/>
      <c r="FY490" s="19"/>
      <c r="GA490" s="10"/>
      <c r="GB490" s="539"/>
      <c r="GC490" s="19"/>
      <c r="GE490" s="10"/>
      <c r="GF490" s="539"/>
      <c r="GG490" s="19"/>
      <c r="GI490" s="10"/>
      <c r="GJ490" s="539"/>
      <c r="GK490" s="19"/>
      <c r="GM490" s="10"/>
      <c r="GN490" s="539"/>
      <c r="GO490" s="16"/>
      <c r="GQ490" s="10"/>
      <c r="GR490" s="541"/>
      <c r="GS490" s="16"/>
      <c r="GU490" s="10"/>
      <c r="GV490" s="541"/>
      <c r="GW490" s="16"/>
      <c r="GY490" s="10"/>
      <c r="GZ490" s="541"/>
      <c r="HA490" s="16"/>
      <c r="HC490" s="10"/>
      <c r="HD490" s="541"/>
      <c r="HE490" s="16"/>
      <c r="HG490" s="10"/>
      <c r="HH490" s="541"/>
      <c r="HI490" s="16"/>
      <c r="HK490" s="10"/>
      <c r="HL490" s="541"/>
      <c r="HM490" s="16"/>
      <c r="HO490" s="10"/>
      <c r="HP490" s="541"/>
      <c r="HQ490" s="16"/>
      <c r="HS490" s="10"/>
      <c r="HT490" s="539"/>
      <c r="HU490" s="19"/>
      <c r="HW490" s="10"/>
      <c r="HX490" s="539"/>
      <c r="HY490" s="420"/>
      <c r="IA490" s="10"/>
      <c r="IB490" s="539"/>
    </row>
    <row r="491" spans="55:236">
      <c r="BC491" s="420"/>
      <c r="BQ491" s="420"/>
      <c r="BR491" s="19"/>
      <c r="BS491" s="16"/>
      <c r="BW491" s="420"/>
      <c r="BX491" s="540"/>
      <c r="BY491" s="420"/>
      <c r="CA491" s="10"/>
      <c r="CB491" s="540"/>
      <c r="CC491" s="420"/>
      <c r="CE491" s="10"/>
      <c r="CF491" s="540"/>
      <c r="CG491" s="420"/>
      <c r="CI491" s="10"/>
      <c r="CJ491" s="540"/>
      <c r="CK491" s="420"/>
      <c r="CM491" s="10"/>
      <c r="CN491" s="540"/>
      <c r="CO491" s="420"/>
      <c r="CQ491" s="10"/>
      <c r="CR491" s="540"/>
      <c r="CS491" s="420"/>
      <c r="CU491" s="10"/>
      <c r="CV491" s="540"/>
      <c r="CW491" s="420"/>
      <c r="CY491" s="10"/>
      <c r="CZ491" s="540"/>
      <c r="DA491" s="420"/>
      <c r="DC491" s="10"/>
      <c r="DD491" s="540"/>
      <c r="DE491" s="420"/>
      <c r="DG491" s="10"/>
      <c r="DH491" s="540"/>
      <c r="DI491" s="420"/>
      <c r="DK491" s="10"/>
      <c r="DL491" s="540"/>
      <c r="DM491" s="420"/>
      <c r="DO491" s="10"/>
      <c r="DP491" s="540"/>
      <c r="DQ491" s="420"/>
      <c r="DS491" s="10"/>
      <c r="DT491" s="540"/>
      <c r="DU491" s="420"/>
      <c r="DW491" s="10"/>
      <c r="DX491" s="540"/>
      <c r="DY491" s="420"/>
      <c r="EA491" s="10"/>
      <c r="EB491" s="540"/>
      <c r="EC491" s="420"/>
      <c r="EE491" s="10"/>
      <c r="EF491" s="539"/>
      <c r="EG491" s="19"/>
      <c r="EI491" s="10"/>
      <c r="EJ491" s="539"/>
      <c r="EK491" s="19"/>
      <c r="EM491" s="10"/>
      <c r="EN491" s="539"/>
      <c r="EO491" s="19"/>
      <c r="EQ491" s="10"/>
      <c r="ER491" s="539"/>
      <c r="ES491" s="19"/>
      <c r="EU491" s="10"/>
      <c r="EV491" s="539"/>
      <c r="EW491" s="19"/>
      <c r="EY491" s="10"/>
      <c r="EZ491" s="539"/>
      <c r="FA491" s="19"/>
      <c r="FC491" s="10"/>
      <c r="FD491" s="539"/>
      <c r="FE491" s="19"/>
      <c r="FG491" s="10"/>
      <c r="FH491" s="539"/>
      <c r="FI491" s="19"/>
      <c r="FK491" s="10"/>
      <c r="FL491" s="539"/>
      <c r="FM491" s="19"/>
      <c r="FO491" s="10"/>
      <c r="FP491" s="539"/>
      <c r="FQ491" s="19"/>
      <c r="FS491" s="10"/>
      <c r="FT491" s="539"/>
      <c r="FU491" s="19"/>
      <c r="FW491" s="10"/>
      <c r="FX491" s="539"/>
      <c r="FY491" s="19"/>
      <c r="GA491" s="10"/>
      <c r="GB491" s="539"/>
      <c r="GC491" s="19"/>
      <c r="GE491" s="10"/>
      <c r="GF491" s="539"/>
      <c r="GG491" s="19"/>
      <c r="GI491" s="10"/>
      <c r="GJ491" s="539"/>
      <c r="GK491" s="19"/>
      <c r="GM491" s="10"/>
      <c r="GN491" s="539"/>
      <c r="GO491" s="16"/>
      <c r="GQ491" s="10"/>
      <c r="GR491" s="541"/>
      <c r="GS491" s="16"/>
      <c r="GU491" s="10"/>
      <c r="GV491" s="541"/>
      <c r="GW491" s="16"/>
      <c r="GY491" s="10"/>
      <c r="GZ491" s="541"/>
      <c r="HA491" s="16"/>
      <c r="HC491" s="10"/>
      <c r="HD491" s="541"/>
      <c r="HE491" s="16"/>
      <c r="HG491" s="10"/>
      <c r="HH491" s="541"/>
      <c r="HI491" s="16"/>
      <c r="HK491" s="10"/>
      <c r="HL491" s="541"/>
      <c r="HM491" s="16"/>
      <c r="HO491" s="10"/>
      <c r="HP491" s="541"/>
      <c r="HQ491" s="16"/>
      <c r="HS491" s="10"/>
      <c r="HT491" s="539"/>
      <c r="HU491" s="19"/>
      <c r="HW491" s="10"/>
      <c r="HX491" s="539"/>
      <c r="HY491" s="420"/>
      <c r="IA491" s="10"/>
      <c r="IB491" s="539"/>
    </row>
    <row r="492" spans="55:236">
      <c r="BC492" s="420"/>
      <c r="BQ492" s="420"/>
      <c r="BR492" s="19"/>
      <c r="BS492" s="16"/>
      <c r="BW492" s="420"/>
      <c r="BX492" s="540"/>
      <c r="BY492" s="420"/>
      <c r="CA492" s="10"/>
      <c r="CB492" s="540"/>
      <c r="CC492" s="420"/>
      <c r="CE492" s="10"/>
      <c r="CF492" s="540"/>
      <c r="CG492" s="420"/>
      <c r="CI492" s="10"/>
      <c r="CJ492" s="540"/>
      <c r="CK492" s="420"/>
      <c r="CM492" s="10"/>
      <c r="CN492" s="540"/>
      <c r="CO492" s="420"/>
      <c r="CQ492" s="10"/>
      <c r="CR492" s="540"/>
      <c r="CS492" s="420"/>
      <c r="CU492" s="10"/>
      <c r="CV492" s="540"/>
      <c r="CW492" s="420"/>
      <c r="CY492" s="10"/>
      <c r="CZ492" s="540"/>
      <c r="DA492" s="420"/>
      <c r="DC492" s="10"/>
      <c r="DD492" s="540"/>
      <c r="DE492" s="420"/>
      <c r="DG492" s="10"/>
      <c r="DH492" s="540"/>
      <c r="DI492" s="420"/>
      <c r="DK492" s="10"/>
      <c r="DL492" s="540"/>
      <c r="DM492" s="420"/>
      <c r="DO492" s="10"/>
      <c r="DP492" s="540"/>
      <c r="DQ492" s="420"/>
      <c r="DS492" s="10"/>
      <c r="DT492" s="540"/>
      <c r="DU492" s="420"/>
      <c r="DW492" s="10"/>
      <c r="DX492" s="540"/>
      <c r="DY492" s="420"/>
      <c r="EA492" s="10"/>
      <c r="EB492" s="540"/>
      <c r="EC492" s="420"/>
      <c r="EE492" s="10"/>
      <c r="EF492" s="539"/>
      <c r="EG492" s="19"/>
      <c r="EI492" s="10"/>
      <c r="EJ492" s="539"/>
      <c r="EK492" s="19"/>
      <c r="EM492" s="10"/>
      <c r="EN492" s="539"/>
      <c r="EO492" s="19"/>
      <c r="EQ492" s="10"/>
      <c r="ER492" s="539"/>
      <c r="ES492" s="19"/>
      <c r="EU492" s="10"/>
      <c r="EV492" s="539"/>
      <c r="EW492" s="19"/>
      <c r="EY492" s="10"/>
      <c r="EZ492" s="539"/>
      <c r="FA492" s="19"/>
      <c r="FC492" s="10"/>
      <c r="FD492" s="539"/>
      <c r="FE492" s="19"/>
      <c r="FG492" s="10"/>
      <c r="FH492" s="539"/>
      <c r="FI492" s="19"/>
      <c r="FK492" s="10"/>
      <c r="FL492" s="539"/>
      <c r="FM492" s="19"/>
      <c r="FO492" s="10"/>
      <c r="FP492" s="539"/>
      <c r="FQ492" s="19"/>
      <c r="FS492" s="10"/>
      <c r="FT492" s="539"/>
      <c r="FU492" s="19"/>
      <c r="FW492" s="10"/>
      <c r="FX492" s="539"/>
      <c r="FY492" s="19"/>
      <c r="GA492" s="10"/>
      <c r="GB492" s="539"/>
      <c r="GC492" s="19"/>
      <c r="GE492" s="10"/>
      <c r="GF492" s="539"/>
      <c r="GG492" s="19"/>
      <c r="GI492" s="10"/>
      <c r="GJ492" s="539"/>
      <c r="GK492" s="19"/>
      <c r="GM492" s="10"/>
      <c r="GN492" s="539"/>
      <c r="GO492" s="16"/>
      <c r="GQ492" s="10"/>
      <c r="GR492" s="541"/>
      <c r="GS492" s="16"/>
      <c r="GU492" s="10"/>
      <c r="GV492" s="541"/>
      <c r="GW492" s="16"/>
      <c r="GY492" s="10"/>
      <c r="GZ492" s="541"/>
      <c r="HA492" s="16"/>
      <c r="HC492" s="10"/>
      <c r="HD492" s="541"/>
      <c r="HE492" s="16"/>
      <c r="HG492" s="10"/>
      <c r="HH492" s="541"/>
      <c r="HI492" s="16"/>
      <c r="HK492" s="10"/>
      <c r="HL492" s="541"/>
      <c r="HM492" s="16"/>
      <c r="HO492" s="10"/>
      <c r="HP492" s="541"/>
      <c r="HQ492" s="16"/>
      <c r="HS492" s="10"/>
      <c r="HT492" s="539"/>
      <c r="HU492" s="19"/>
      <c r="HW492" s="10"/>
      <c r="HX492" s="539"/>
      <c r="HY492" s="420"/>
      <c r="IA492" s="10"/>
      <c r="IB492" s="539"/>
    </row>
    <row r="493" spans="55:236">
      <c r="BC493" s="420"/>
      <c r="BQ493" s="420"/>
      <c r="BR493" s="19"/>
      <c r="BS493" s="16"/>
      <c r="BW493" s="420"/>
      <c r="BX493" s="540"/>
      <c r="BY493" s="420"/>
      <c r="CA493" s="10"/>
      <c r="CB493" s="540"/>
      <c r="CC493" s="420"/>
      <c r="CE493" s="10"/>
      <c r="CF493" s="540"/>
      <c r="CG493" s="420"/>
      <c r="CI493" s="10"/>
      <c r="CJ493" s="540"/>
      <c r="CK493" s="420"/>
      <c r="CM493" s="10"/>
      <c r="CN493" s="540"/>
      <c r="CO493" s="420"/>
      <c r="CQ493" s="10"/>
      <c r="CR493" s="540"/>
      <c r="CS493" s="420"/>
      <c r="CU493" s="10"/>
      <c r="CV493" s="540"/>
      <c r="CW493" s="420"/>
      <c r="CY493" s="10"/>
      <c r="CZ493" s="540"/>
      <c r="DA493" s="420"/>
      <c r="DC493" s="10"/>
      <c r="DD493" s="540"/>
      <c r="DE493" s="420"/>
      <c r="DG493" s="10"/>
      <c r="DH493" s="540"/>
      <c r="DI493" s="420"/>
      <c r="DK493" s="10"/>
      <c r="DL493" s="540"/>
      <c r="DM493" s="420"/>
      <c r="DO493" s="10"/>
      <c r="DP493" s="540"/>
      <c r="DQ493" s="420"/>
      <c r="DS493" s="10"/>
      <c r="DT493" s="540"/>
      <c r="DU493" s="420"/>
      <c r="DW493" s="10"/>
      <c r="DX493" s="540"/>
      <c r="DY493" s="420"/>
      <c r="EA493" s="10"/>
      <c r="EB493" s="540"/>
      <c r="EC493" s="420"/>
      <c r="EE493" s="10"/>
      <c r="EF493" s="539"/>
      <c r="EG493" s="19"/>
      <c r="EI493" s="10"/>
      <c r="EJ493" s="539"/>
      <c r="EK493" s="19"/>
      <c r="EM493" s="10"/>
      <c r="EN493" s="539"/>
      <c r="EO493" s="19"/>
      <c r="EQ493" s="10"/>
      <c r="ER493" s="539"/>
      <c r="ES493" s="19"/>
      <c r="EU493" s="10"/>
      <c r="EV493" s="539"/>
      <c r="EW493" s="19"/>
      <c r="EY493" s="10"/>
      <c r="EZ493" s="539"/>
      <c r="FA493" s="19"/>
      <c r="FC493" s="10"/>
      <c r="FD493" s="539"/>
      <c r="FE493" s="19"/>
      <c r="FG493" s="10"/>
      <c r="FH493" s="539"/>
      <c r="FI493" s="19"/>
      <c r="FK493" s="10"/>
      <c r="FL493" s="539"/>
      <c r="FM493" s="19"/>
      <c r="FO493" s="10"/>
      <c r="FP493" s="539"/>
      <c r="FQ493" s="19"/>
      <c r="FS493" s="10"/>
      <c r="FT493" s="539"/>
      <c r="FU493" s="19"/>
      <c r="FW493" s="10"/>
      <c r="FX493" s="539"/>
      <c r="FY493" s="19"/>
      <c r="GA493" s="10"/>
      <c r="GB493" s="539"/>
      <c r="GC493" s="19"/>
      <c r="GE493" s="10"/>
      <c r="GF493" s="539"/>
      <c r="GG493" s="19"/>
      <c r="GI493" s="10"/>
      <c r="GJ493" s="539"/>
      <c r="GK493" s="19"/>
      <c r="GM493" s="10"/>
      <c r="GN493" s="539"/>
      <c r="GO493" s="16"/>
      <c r="GQ493" s="10"/>
      <c r="GR493" s="541"/>
      <c r="GS493" s="16"/>
      <c r="GU493" s="10"/>
      <c r="GV493" s="541"/>
      <c r="GW493" s="16"/>
      <c r="GY493" s="10"/>
      <c r="GZ493" s="541"/>
      <c r="HA493" s="16"/>
      <c r="HC493" s="10"/>
      <c r="HD493" s="541"/>
      <c r="HE493" s="16"/>
      <c r="HG493" s="10"/>
      <c r="HH493" s="541"/>
      <c r="HI493" s="16"/>
      <c r="HK493" s="10"/>
      <c r="HL493" s="541"/>
      <c r="HM493" s="16"/>
      <c r="HO493" s="10"/>
      <c r="HP493" s="541"/>
      <c r="HQ493" s="16"/>
      <c r="HS493" s="10"/>
      <c r="HT493" s="539"/>
      <c r="HU493" s="19"/>
      <c r="HW493" s="10"/>
      <c r="HX493" s="539"/>
      <c r="HY493" s="420"/>
      <c r="IA493" s="10"/>
      <c r="IB493" s="539"/>
    </row>
    <row r="494" spans="55:236">
      <c r="BC494" s="420"/>
      <c r="BQ494" s="420"/>
      <c r="BR494" s="19"/>
      <c r="BS494" s="16"/>
      <c r="BW494" s="420"/>
      <c r="BX494" s="540"/>
      <c r="BY494" s="420"/>
      <c r="CA494" s="10"/>
      <c r="CB494" s="540"/>
      <c r="CC494" s="420"/>
      <c r="CE494" s="10"/>
      <c r="CF494" s="540"/>
      <c r="CG494" s="420"/>
      <c r="CI494" s="10"/>
      <c r="CJ494" s="540"/>
      <c r="CK494" s="420"/>
      <c r="CM494" s="10"/>
      <c r="CN494" s="540"/>
      <c r="CO494" s="420"/>
      <c r="CQ494" s="10"/>
      <c r="CR494" s="540"/>
      <c r="CS494" s="420"/>
      <c r="CU494" s="10"/>
      <c r="CV494" s="540"/>
      <c r="CW494" s="420"/>
      <c r="CY494" s="10"/>
      <c r="CZ494" s="540"/>
      <c r="DA494" s="420"/>
      <c r="DC494" s="10"/>
      <c r="DD494" s="540"/>
      <c r="DE494" s="420"/>
      <c r="DG494" s="10"/>
      <c r="DH494" s="540"/>
      <c r="DI494" s="420"/>
      <c r="DK494" s="10"/>
      <c r="DL494" s="540"/>
      <c r="DM494" s="420"/>
      <c r="DO494" s="10"/>
      <c r="DP494" s="540"/>
      <c r="DQ494" s="420"/>
      <c r="DS494" s="10"/>
      <c r="DT494" s="540"/>
      <c r="DU494" s="420"/>
      <c r="DW494" s="10"/>
      <c r="DX494" s="540"/>
      <c r="DY494" s="420"/>
      <c r="EA494" s="10"/>
      <c r="EB494" s="540"/>
      <c r="EC494" s="420"/>
      <c r="EE494" s="10"/>
      <c r="EF494" s="539"/>
      <c r="EG494" s="19"/>
      <c r="EI494" s="10"/>
      <c r="EJ494" s="539"/>
      <c r="EK494" s="19"/>
      <c r="EM494" s="10"/>
      <c r="EN494" s="539"/>
      <c r="EO494" s="19"/>
      <c r="EQ494" s="10"/>
      <c r="ER494" s="539"/>
      <c r="ES494" s="19"/>
      <c r="EU494" s="10"/>
      <c r="EV494" s="539"/>
      <c r="EW494" s="19"/>
      <c r="EY494" s="10"/>
      <c r="EZ494" s="539"/>
      <c r="FA494" s="19"/>
      <c r="FC494" s="10"/>
      <c r="FD494" s="539"/>
      <c r="FE494" s="19"/>
      <c r="FG494" s="10"/>
      <c r="FH494" s="539"/>
      <c r="FI494" s="19"/>
      <c r="FK494" s="10"/>
      <c r="FL494" s="539"/>
      <c r="FM494" s="19"/>
      <c r="FO494" s="10"/>
      <c r="FP494" s="539"/>
      <c r="FQ494" s="19"/>
      <c r="FS494" s="10"/>
      <c r="FT494" s="539"/>
      <c r="FU494" s="19"/>
      <c r="FW494" s="10"/>
      <c r="FX494" s="539"/>
      <c r="FY494" s="19"/>
      <c r="GA494" s="10"/>
      <c r="GB494" s="539"/>
      <c r="GC494" s="19"/>
      <c r="GE494" s="10"/>
      <c r="GF494" s="539"/>
      <c r="GG494" s="19"/>
      <c r="GI494" s="10"/>
      <c r="GJ494" s="539"/>
      <c r="GK494" s="19"/>
      <c r="GM494" s="10"/>
      <c r="GN494" s="539"/>
      <c r="GO494" s="16"/>
      <c r="GQ494" s="10"/>
      <c r="GR494" s="541"/>
      <c r="GS494" s="16"/>
      <c r="GU494" s="10"/>
      <c r="GV494" s="541"/>
      <c r="GW494" s="16"/>
      <c r="GY494" s="10"/>
      <c r="GZ494" s="541"/>
      <c r="HA494" s="16"/>
      <c r="HC494" s="10"/>
      <c r="HD494" s="541"/>
      <c r="HE494" s="16"/>
      <c r="HG494" s="10"/>
      <c r="HH494" s="541"/>
      <c r="HI494" s="16"/>
      <c r="HK494" s="10"/>
      <c r="HL494" s="541"/>
      <c r="HM494" s="16"/>
      <c r="HO494" s="10"/>
      <c r="HP494" s="541"/>
      <c r="HQ494" s="16"/>
      <c r="HS494" s="10"/>
      <c r="HT494" s="539"/>
      <c r="HU494" s="19"/>
      <c r="HW494" s="10"/>
      <c r="HX494" s="539"/>
      <c r="HY494" s="420"/>
      <c r="IA494" s="10"/>
      <c r="IB494" s="539"/>
    </row>
    <row r="495" spans="55:236">
      <c r="BC495" s="420"/>
      <c r="BQ495" s="420"/>
      <c r="BR495" s="19"/>
      <c r="BS495" s="16"/>
      <c r="BW495" s="420"/>
      <c r="BX495" s="540"/>
      <c r="BY495" s="420"/>
      <c r="CA495" s="10"/>
      <c r="CB495" s="540"/>
      <c r="CC495" s="420"/>
      <c r="CE495" s="10"/>
      <c r="CF495" s="540"/>
      <c r="CG495" s="420"/>
      <c r="CI495" s="10"/>
      <c r="CJ495" s="540"/>
      <c r="CK495" s="420"/>
      <c r="CM495" s="10"/>
      <c r="CN495" s="540"/>
      <c r="CO495" s="420"/>
      <c r="CQ495" s="10"/>
      <c r="CR495" s="540"/>
      <c r="CS495" s="420"/>
      <c r="CU495" s="10"/>
      <c r="CV495" s="540"/>
      <c r="CW495" s="420"/>
      <c r="CY495" s="10"/>
      <c r="CZ495" s="540"/>
      <c r="DA495" s="420"/>
      <c r="DC495" s="10"/>
      <c r="DD495" s="540"/>
      <c r="DE495" s="420"/>
      <c r="DG495" s="10"/>
      <c r="DH495" s="540"/>
      <c r="DI495" s="420"/>
      <c r="DK495" s="10"/>
      <c r="DL495" s="540"/>
      <c r="DM495" s="420"/>
      <c r="DO495" s="10"/>
      <c r="DP495" s="540"/>
      <c r="DQ495" s="420"/>
      <c r="DS495" s="10"/>
      <c r="DT495" s="540"/>
      <c r="DU495" s="420"/>
      <c r="DW495" s="10"/>
      <c r="DX495" s="540"/>
      <c r="DY495" s="420"/>
      <c r="EA495" s="10"/>
      <c r="EB495" s="540"/>
      <c r="EC495" s="420"/>
      <c r="EE495" s="10"/>
      <c r="EF495" s="539"/>
      <c r="EG495" s="19"/>
      <c r="EI495" s="10"/>
      <c r="EJ495" s="539"/>
      <c r="EK495" s="19"/>
      <c r="EM495" s="10"/>
      <c r="EN495" s="539"/>
      <c r="EO495" s="19"/>
      <c r="EQ495" s="10"/>
      <c r="ER495" s="539"/>
      <c r="ES495" s="19"/>
      <c r="EU495" s="10"/>
      <c r="EV495" s="539"/>
      <c r="EW495" s="19"/>
      <c r="EY495" s="10"/>
      <c r="EZ495" s="539"/>
      <c r="FA495" s="19"/>
      <c r="FC495" s="10"/>
      <c r="FD495" s="539"/>
      <c r="FE495" s="19"/>
      <c r="FG495" s="10"/>
      <c r="FH495" s="539"/>
      <c r="FI495" s="19"/>
      <c r="FK495" s="10"/>
      <c r="FL495" s="539"/>
      <c r="FM495" s="19"/>
      <c r="FO495" s="10"/>
      <c r="FP495" s="539"/>
      <c r="FQ495" s="19"/>
      <c r="FS495" s="10"/>
      <c r="FT495" s="539"/>
      <c r="FU495" s="19"/>
      <c r="FW495" s="10"/>
      <c r="FX495" s="539"/>
      <c r="FY495" s="19"/>
      <c r="GA495" s="10"/>
      <c r="GB495" s="539"/>
      <c r="GC495" s="19"/>
      <c r="GE495" s="10"/>
      <c r="GF495" s="539"/>
      <c r="GG495" s="19"/>
      <c r="GI495" s="10"/>
      <c r="GJ495" s="539"/>
      <c r="GK495" s="19"/>
      <c r="GM495" s="10"/>
      <c r="GN495" s="539"/>
      <c r="GO495" s="16"/>
      <c r="GQ495" s="10"/>
      <c r="GR495" s="541"/>
      <c r="GS495" s="16"/>
      <c r="GU495" s="10"/>
      <c r="GV495" s="541"/>
      <c r="GW495" s="16"/>
      <c r="GY495" s="10"/>
      <c r="GZ495" s="541"/>
      <c r="HA495" s="16"/>
      <c r="HC495" s="10"/>
      <c r="HD495" s="541"/>
      <c r="HE495" s="16"/>
      <c r="HG495" s="10"/>
      <c r="HH495" s="541"/>
      <c r="HI495" s="16"/>
      <c r="HK495" s="10"/>
      <c r="HL495" s="541"/>
      <c r="HM495" s="16"/>
      <c r="HO495" s="10"/>
      <c r="HP495" s="541"/>
      <c r="HQ495" s="16"/>
      <c r="HS495" s="10"/>
      <c r="HT495" s="539"/>
      <c r="HU495" s="19"/>
      <c r="HW495" s="10"/>
      <c r="HX495" s="539"/>
      <c r="HY495" s="420"/>
      <c r="IA495" s="10"/>
      <c r="IB495" s="539"/>
    </row>
    <row r="496" spans="55:236">
      <c r="BC496" s="420"/>
      <c r="BQ496" s="420"/>
      <c r="BR496" s="19"/>
      <c r="BS496" s="16"/>
      <c r="BW496" s="420"/>
      <c r="BX496" s="540"/>
      <c r="BY496" s="420"/>
      <c r="CA496" s="10"/>
      <c r="CB496" s="540"/>
      <c r="CC496" s="420"/>
      <c r="CE496" s="10"/>
      <c r="CF496" s="540"/>
      <c r="CG496" s="420"/>
      <c r="CI496" s="10"/>
      <c r="CJ496" s="540"/>
      <c r="CK496" s="420"/>
      <c r="CM496" s="10"/>
      <c r="CN496" s="540"/>
      <c r="CO496" s="420"/>
      <c r="CQ496" s="10"/>
      <c r="CR496" s="540"/>
      <c r="CS496" s="420"/>
      <c r="CU496" s="10"/>
      <c r="CV496" s="540"/>
      <c r="CW496" s="420"/>
      <c r="CY496" s="10"/>
      <c r="CZ496" s="540"/>
      <c r="DA496" s="420"/>
      <c r="DC496" s="10"/>
      <c r="DD496" s="540"/>
      <c r="DE496" s="420"/>
      <c r="DG496" s="10"/>
      <c r="DH496" s="540"/>
      <c r="DI496" s="420"/>
      <c r="DK496" s="10"/>
      <c r="DL496" s="540"/>
      <c r="DM496" s="420"/>
      <c r="DO496" s="10"/>
      <c r="DP496" s="540"/>
      <c r="DQ496" s="420"/>
      <c r="DS496" s="10"/>
      <c r="DT496" s="540"/>
      <c r="DU496" s="420"/>
      <c r="DW496" s="10"/>
      <c r="DX496" s="540"/>
      <c r="DY496" s="420"/>
      <c r="EA496" s="10"/>
      <c r="EB496" s="540"/>
      <c r="EC496" s="420"/>
      <c r="EE496" s="10"/>
      <c r="EF496" s="539"/>
      <c r="EG496" s="19"/>
      <c r="EI496" s="10"/>
      <c r="EJ496" s="539"/>
      <c r="EK496" s="19"/>
      <c r="EM496" s="10"/>
      <c r="EN496" s="539"/>
      <c r="EO496" s="19"/>
      <c r="EQ496" s="10"/>
      <c r="ER496" s="539"/>
      <c r="ES496" s="19"/>
      <c r="EU496" s="10"/>
      <c r="EV496" s="539"/>
      <c r="EW496" s="19"/>
      <c r="EY496" s="10"/>
      <c r="EZ496" s="539"/>
      <c r="FA496" s="19"/>
      <c r="FC496" s="10"/>
      <c r="FD496" s="539"/>
      <c r="FE496" s="19"/>
      <c r="FG496" s="10"/>
      <c r="FH496" s="539"/>
      <c r="FI496" s="19"/>
      <c r="FK496" s="10"/>
      <c r="FL496" s="539"/>
      <c r="FM496" s="19"/>
      <c r="FO496" s="10"/>
      <c r="FP496" s="539"/>
      <c r="FQ496" s="19"/>
      <c r="FS496" s="10"/>
      <c r="FT496" s="539"/>
      <c r="FU496" s="19"/>
      <c r="FW496" s="10"/>
      <c r="FX496" s="539"/>
      <c r="FY496" s="19"/>
      <c r="GA496" s="10"/>
      <c r="GB496" s="539"/>
      <c r="GC496" s="19"/>
      <c r="GE496" s="10"/>
      <c r="GF496" s="539"/>
      <c r="GG496" s="19"/>
      <c r="GI496" s="10"/>
      <c r="GJ496" s="539"/>
      <c r="GK496" s="19"/>
      <c r="GM496" s="10"/>
      <c r="GN496" s="539"/>
      <c r="GO496" s="16"/>
      <c r="GQ496" s="10"/>
      <c r="GR496" s="541"/>
      <c r="GS496" s="16"/>
      <c r="GU496" s="10"/>
      <c r="GV496" s="541"/>
      <c r="GW496" s="16"/>
      <c r="GY496" s="10"/>
      <c r="GZ496" s="541"/>
      <c r="HA496" s="16"/>
      <c r="HC496" s="10"/>
      <c r="HD496" s="541"/>
      <c r="HE496" s="16"/>
      <c r="HG496" s="10"/>
      <c r="HH496" s="541"/>
      <c r="HI496" s="16"/>
      <c r="HK496" s="10"/>
      <c r="HL496" s="541"/>
      <c r="HM496" s="16"/>
      <c r="HO496" s="10"/>
      <c r="HP496" s="541"/>
      <c r="HQ496" s="16"/>
      <c r="HS496" s="10"/>
      <c r="HT496" s="539"/>
      <c r="HU496" s="19"/>
      <c r="HW496" s="10"/>
      <c r="HX496" s="539"/>
      <c r="HY496" s="420"/>
      <c r="IA496" s="10"/>
      <c r="IB496" s="539"/>
    </row>
    <row r="497" spans="47:236">
      <c r="BC497" s="420"/>
      <c r="BQ497" s="420"/>
      <c r="BR497" s="19"/>
      <c r="BS497" s="16"/>
      <c r="BW497" s="420"/>
      <c r="BX497" s="540"/>
      <c r="BY497" s="420"/>
      <c r="CA497" s="10"/>
      <c r="CB497" s="540"/>
      <c r="CC497" s="420"/>
      <c r="CE497" s="10"/>
      <c r="CF497" s="540"/>
      <c r="CG497" s="420"/>
      <c r="CI497" s="10"/>
      <c r="CJ497" s="540"/>
      <c r="CK497" s="420"/>
      <c r="CM497" s="10"/>
      <c r="CN497" s="540"/>
      <c r="CO497" s="420"/>
      <c r="CQ497" s="10"/>
      <c r="CR497" s="540"/>
      <c r="CS497" s="420"/>
      <c r="CU497" s="10"/>
      <c r="CV497" s="540"/>
      <c r="CW497" s="420"/>
      <c r="CY497" s="10"/>
      <c r="CZ497" s="540"/>
      <c r="DA497" s="420"/>
      <c r="DC497" s="10"/>
      <c r="DD497" s="540"/>
      <c r="DE497" s="420"/>
      <c r="DG497" s="10"/>
      <c r="DH497" s="540"/>
      <c r="DI497" s="420"/>
      <c r="DK497" s="10"/>
      <c r="DL497" s="540"/>
      <c r="DM497" s="420"/>
      <c r="DO497" s="10"/>
      <c r="DP497" s="540"/>
      <c r="DQ497" s="420"/>
      <c r="DS497" s="10"/>
      <c r="DT497" s="540"/>
      <c r="DU497" s="420"/>
      <c r="DW497" s="10"/>
      <c r="DX497" s="540"/>
      <c r="DY497" s="420"/>
      <c r="EA497" s="10"/>
      <c r="EB497" s="540"/>
      <c r="EC497" s="420"/>
      <c r="EE497" s="10"/>
      <c r="EF497" s="539"/>
      <c r="EG497" s="19"/>
      <c r="EI497" s="10"/>
      <c r="EJ497" s="539"/>
      <c r="EK497" s="19"/>
      <c r="EM497" s="10"/>
      <c r="EN497" s="539"/>
      <c r="EO497" s="19"/>
      <c r="EQ497" s="10"/>
      <c r="ER497" s="539"/>
      <c r="ES497" s="19"/>
      <c r="EU497" s="10"/>
      <c r="EV497" s="539"/>
      <c r="EW497" s="19"/>
      <c r="EY497" s="10"/>
      <c r="EZ497" s="539"/>
      <c r="FA497" s="19"/>
      <c r="FC497" s="10"/>
      <c r="FD497" s="539"/>
      <c r="FE497" s="19"/>
      <c r="FG497" s="10"/>
      <c r="FH497" s="539"/>
      <c r="FI497" s="19"/>
      <c r="FK497" s="10"/>
      <c r="FL497" s="539"/>
      <c r="FM497" s="19"/>
      <c r="FO497" s="10"/>
      <c r="FP497" s="539"/>
      <c r="FQ497" s="19"/>
      <c r="FS497" s="10"/>
      <c r="FT497" s="539"/>
      <c r="FU497" s="19"/>
      <c r="FW497" s="10"/>
      <c r="FX497" s="539"/>
      <c r="FY497" s="19"/>
      <c r="GA497" s="10"/>
      <c r="GB497" s="539"/>
      <c r="GC497" s="19"/>
      <c r="GE497" s="10"/>
      <c r="GF497" s="539"/>
      <c r="GG497" s="19"/>
      <c r="GI497" s="10"/>
      <c r="GJ497" s="539"/>
      <c r="GK497" s="19"/>
      <c r="GM497" s="10"/>
      <c r="GN497" s="539"/>
      <c r="GO497" s="16"/>
      <c r="GQ497" s="10"/>
      <c r="GR497" s="541"/>
      <c r="GS497" s="16"/>
      <c r="GU497" s="10"/>
      <c r="GV497" s="541"/>
      <c r="GW497" s="16"/>
      <c r="GY497" s="10"/>
      <c r="GZ497" s="541"/>
      <c r="HA497" s="16"/>
      <c r="HC497" s="10"/>
      <c r="HD497" s="541"/>
      <c r="HE497" s="16"/>
      <c r="HG497" s="10"/>
      <c r="HH497" s="541"/>
      <c r="HI497" s="16"/>
      <c r="HK497" s="10"/>
      <c r="HL497" s="541"/>
      <c r="HM497" s="16"/>
      <c r="HO497" s="10"/>
      <c r="HP497" s="541"/>
      <c r="HQ497" s="16"/>
      <c r="HS497" s="10"/>
      <c r="HT497" s="539"/>
      <c r="HU497" s="19"/>
      <c r="HW497" s="10"/>
      <c r="HX497" s="539"/>
      <c r="HY497" s="420"/>
      <c r="IA497" s="10"/>
      <c r="IB497" s="539"/>
    </row>
    <row r="498" spans="47:236">
      <c r="BQ498" s="420"/>
      <c r="BR498" s="19"/>
      <c r="BS498" s="16"/>
      <c r="BW498" s="420"/>
      <c r="BX498" s="540"/>
      <c r="BY498" s="420"/>
      <c r="CA498" s="10"/>
      <c r="CB498" s="540"/>
      <c r="CC498" s="420"/>
      <c r="CE498" s="10"/>
      <c r="CF498" s="540"/>
      <c r="CG498" s="420"/>
      <c r="CI498" s="10"/>
      <c r="CJ498" s="540"/>
      <c r="CK498" s="420"/>
      <c r="CM498" s="10"/>
      <c r="CN498" s="540"/>
      <c r="CO498" s="420"/>
      <c r="CQ498" s="10"/>
      <c r="CR498" s="540"/>
      <c r="CS498" s="420"/>
      <c r="CU498" s="10"/>
      <c r="CV498" s="540"/>
      <c r="CW498" s="420"/>
      <c r="CY498" s="10"/>
      <c r="CZ498" s="540"/>
      <c r="DA498" s="420"/>
      <c r="DC498" s="10"/>
      <c r="DD498" s="540"/>
      <c r="DE498" s="420"/>
      <c r="DG498" s="10"/>
      <c r="DH498" s="540"/>
      <c r="DI498" s="420"/>
      <c r="DK498" s="10"/>
      <c r="DL498" s="540"/>
      <c r="DM498" s="420"/>
      <c r="DO498" s="10"/>
      <c r="DP498" s="540"/>
      <c r="DQ498" s="420"/>
      <c r="DS498" s="10"/>
      <c r="DT498" s="540"/>
      <c r="DU498" s="420"/>
      <c r="DW498" s="10"/>
      <c r="DX498" s="540"/>
      <c r="DY498" s="420"/>
      <c r="EA498" s="10"/>
      <c r="EB498" s="540"/>
      <c r="EC498" s="420"/>
      <c r="EE498" s="10"/>
      <c r="EF498" s="539"/>
      <c r="EG498" s="19"/>
      <c r="EI498" s="10"/>
      <c r="EJ498" s="539"/>
      <c r="EK498" s="19"/>
      <c r="EM498" s="10"/>
      <c r="EN498" s="539"/>
      <c r="EO498" s="19"/>
      <c r="EQ498" s="10"/>
      <c r="ER498" s="539"/>
      <c r="ES498" s="19"/>
      <c r="EU498" s="10"/>
      <c r="EV498" s="539"/>
      <c r="EW498" s="19"/>
      <c r="EY498" s="10"/>
      <c r="EZ498" s="539"/>
      <c r="FA498" s="19"/>
      <c r="FC498" s="10"/>
      <c r="FD498" s="539"/>
      <c r="FE498" s="19"/>
      <c r="FG498" s="10"/>
      <c r="FH498" s="539"/>
      <c r="FI498" s="19"/>
      <c r="FK498" s="10"/>
      <c r="FL498" s="539"/>
      <c r="FM498" s="19"/>
      <c r="FO498" s="10"/>
      <c r="FP498" s="539"/>
      <c r="FQ498" s="19"/>
      <c r="FS498" s="10"/>
      <c r="FT498" s="539"/>
      <c r="FU498" s="19"/>
      <c r="FW498" s="10"/>
      <c r="FX498" s="539"/>
      <c r="FY498" s="19"/>
      <c r="GA498" s="10"/>
      <c r="GB498" s="539"/>
      <c r="GC498" s="19"/>
      <c r="GE498" s="10"/>
      <c r="GF498" s="539"/>
      <c r="GG498" s="19"/>
      <c r="GI498" s="10"/>
      <c r="GJ498" s="539"/>
      <c r="GK498" s="19"/>
      <c r="GM498" s="10"/>
      <c r="GN498" s="539"/>
      <c r="GO498" s="16"/>
      <c r="GQ498" s="10"/>
      <c r="GR498" s="541"/>
      <c r="GS498" s="16"/>
      <c r="GU498" s="10"/>
      <c r="GV498" s="541"/>
      <c r="GW498" s="16"/>
      <c r="GY498" s="10"/>
      <c r="GZ498" s="541"/>
      <c r="HA498" s="16"/>
      <c r="HC498" s="10"/>
      <c r="HD498" s="541"/>
      <c r="HE498" s="16"/>
      <c r="HG498" s="10"/>
      <c r="HH498" s="541"/>
      <c r="HI498" s="16"/>
      <c r="HK498" s="10"/>
      <c r="HL498" s="541"/>
      <c r="HM498" s="16"/>
      <c r="HO498" s="10"/>
      <c r="HP498" s="541"/>
      <c r="HQ498" s="16"/>
      <c r="HS498" s="10"/>
      <c r="HT498" s="539"/>
      <c r="HU498" s="19"/>
      <c r="HW498" s="10"/>
      <c r="HX498" s="539"/>
      <c r="HY498" s="420"/>
      <c r="IA498" s="10"/>
      <c r="IB498" s="539"/>
    </row>
    <row r="499" spans="47:236">
      <c r="BQ499" s="420"/>
      <c r="BR499" s="19"/>
      <c r="BS499" s="16"/>
      <c r="BW499" s="420"/>
      <c r="BX499" s="540"/>
      <c r="BY499" s="420"/>
      <c r="CA499" s="10"/>
      <c r="CB499" s="540"/>
      <c r="CC499" s="420"/>
      <c r="CE499" s="10"/>
      <c r="CF499" s="540"/>
      <c r="CG499" s="420"/>
      <c r="CI499" s="10"/>
      <c r="CJ499" s="540"/>
      <c r="CK499" s="420"/>
      <c r="CM499" s="10"/>
      <c r="CN499" s="540"/>
      <c r="CO499" s="420"/>
      <c r="CQ499" s="10"/>
      <c r="CR499" s="540"/>
      <c r="CS499" s="420"/>
      <c r="CU499" s="10"/>
      <c r="CV499" s="540"/>
      <c r="CW499" s="420"/>
      <c r="CY499" s="10"/>
      <c r="CZ499" s="540"/>
      <c r="DA499" s="420"/>
      <c r="DC499" s="10"/>
      <c r="DD499" s="540"/>
      <c r="DE499" s="420"/>
      <c r="DG499" s="10"/>
      <c r="DH499" s="540"/>
      <c r="DI499" s="420"/>
      <c r="DK499" s="10"/>
      <c r="DL499" s="540"/>
      <c r="DM499" s="420"/>
      <c r="DO499" s="10"/>
      <c r="DP499" s="540"/>
      <c r="DQ499" s="420"/>
      <c r="DS499" s="10"/>
      <c r="DT499" s="540"/>
      <c r="DU499" s="420"/>
      <c r="DW499" s="10"/>
      <c r="DX499" s="540"/>
      <c r="DY499" s="420"/>
      <c r="EA499" s="10"/>
      <c r="EB499" s="540"/>
      <c r="EC499" s="420"/>
      <c r="EE499" s="10"/>
      <c r="EF499" s="539"/>
      <c r="EG499" s="19"/>
      <c r="EI499" s="10"/>
      <c r="EJ499" s="539"/>
      <c r="EK499" s="19"/>
      <c r="EM499" s="10"/>
      <c r="EN499" s="539"/>
      <c r="EO499" s="19"/>
      <c r="EQ499" s="10"/>
      <c r="ER499" s="539"/>
      <c r="ES499" s="19"/>
      <c r="EU499" s="10"/>
      <c r="EV499" s="539"/>
      <c r="EW499" s="19"/>
      <c r="EY499" s="10"/>
      <c r="EZ499" s="539"/>
      <c r="FA499" s="19"/>
      <c r="FC499" s="10"/>
      <c r="FD499" s="539"/>
      <c r="FE499" s="19"/>
      <c r="FG499" s="10"/>
      <c r="FH499" s="539"/>
      <c r="FI499" s="19"/>
      <c r="FK499" s="10"/>
      <c r="FL499" s="539"/>
      <c r="FM499" s="19"/>
      <c r="FO499" s="10"/>
      <c r="FP499" s="539"/>
      <c r="FQ499" s="19"/>
      <c r="FS499" s="10"/>
      <c r="FT499" s="539"/>
      <c r="FU499" s="19"/>
      <c r="FW499" s="10"/>
      <c r="FX499" s="539"/>
      <c r="FY499" s="19"/>
      <c r="GA499" s="10"/>
      <c r="GB499" s="539"/>
      <c r="GC499" s="19"/>
      <c r="GE499" s="10"/>
      <c r="GF499" s="539"/>
      <c r="GG499" s="19"/>
      <c r="GI499" s="10"/>
      <c r="GJ499" s="539"/>
      <c r="GK499" s="19"/>
      <c r="GM499" s="10"/>
      <c r="GN499" s="539"/>
      <c r="GO499" s="16"/>
      <c r="GQ499" s="10"/>
      <c r="GR499" s="541"/>
      <c r="GS499" s="16"/>
      <c r="GU499" s="10"/>
      <c r="GV499" s="541"/>
      <c r="GW499" s="16"/>
      <c r="GY499" s="10"/>
      <c r="GZ499" s="541"/>
      <c r="HA499" s="16"/>
      <c r="HC499" s="10"/>
      <c r="HD499" s="541"/>
      <c r="HE499" s="16"/>
      <c r="HG499" s="10"/>
      <c r="HH499" s="541"/>
      <c r="HI499" s="16"/>
      <c r="HK499" s="10"/>
      <c r="HL499" s="541"/>
      <c r="HM499" s="16"/>
      <c r="HO499" s="10"/>
      <c r="HP499" s="541"/>
      <c r="HQ499" s="16"/>
      <c r="HS499" s="10"/>
      <c r="HT499" s="539"/>
      <c r="HU499" s="19"/>
      <c r="HW499" s="10"/>
      <c r="HX499" s="539"/>
      <c r="HY499" s="420"/>
      <c r="IA499" s="10"/>
      <c r="IB499" s="539"/>
    </row>
    <row r="500" spans="47:236">
      <c r="BR500" s="19"/>
      <c r="BS500" s="16"/>
      <c r="BW500" s="420"/>
      <c r="BX500" s="540"/>
      <c r="BY500" s="420"/>
      <c r="CA500" s="10"/>
      <c r="CB500" s="540"/>
      <c r="CC500" s="420"/>
      <c r="CE500" s="10"/>
      <c r="CF500" s="540"/>
      <c r="CG500" s="420"/>
      <c r="CI500" s="10"/>
      <c r="CJ500" s="540"/>
      <c r="CK500" s="420"/>
      <c r="CM500" s="10"/>
      <c r="CN500" s="540"/>
      <c r="CO500" s="420"/>
      <c r="CQ500" s="10"/>
      <c r="CR500" s="540"/>
      <c r="CS500" s="420"/>
      <c r="CU500" s="10"/>
      <c r="CV500" s="540"/>
      <c r="CW500" s="420"/>
      <c r="CY500" s="10"/>
      <c r="CZ500" s="540"/>
      <c r="DA500" s="420"/>
      <c r="DC500" s="10"/>
      <c r="DD500" s="540"/>
      <c r="DE500" s="420"/>
      <c r="DG500" s="10"/>
      <c r="DH500" s="540"/>
      <c r="DI500" s="420"/>
      <c r="DK500" s="10"/>
      <c r="DL500" s="540"/>
      <c r="DM500" s="420"/>
      <c r="DO500" s="10"/>
      <c r="DP500" s="540"/>
      <c r="DQ500" s="420"/>
      <c r="DS500" s="10"/>
      <c r="DT500" s="540"/>
      <c r="DU500" s="420"/>
      <c r="DW500" s="10"/>
      <c r="DX500" s="540"/>
      <c r="DY500" s="420"/>
      <c r="EA500" s="10"/>
      <c r="EB500" s="540"/>
      <c r="EC500" s="420"/>
      <c r="EE500" s="10"/>
      <c r="EF500" s="539"/>
      <c r="EG500" s="19"/>
      <c r="EI500" s="10"/>
      <c r="EJ500" s="539"/>
      <c r="EK500" s="19"/>
      <c r="EM500" s="10"/>
      <c r="EN500" s="539"/>
      <c r="EO500" s="19"/>
      <c r="EQ500" s="10"/>
      <c r="ER500" s="539"/>
      <c r="ES500" s="19"/>
      <c r="EU500" s="10"/>
      <c r="EV500" s="539"/>
      <c r="EW500" s="19"/>
      <c r="EY500" s="10"/>
      <c r="EZ500" s="539"/>
      <c r="FA500" s="19"/>
      <c r="FC500" s="10"/>
      <c r="FD500" s="539"/>
      <c r="FE500" s="19"/>
      <c r="FG500" s="10"/>
      <c r="FH500" s="539"/>
      <c r="FI500" s="19"/>
      <c r="FK500" s="10"/>
      <c r="FL500" s="539"/>
      <c r="FM500" s="19"/>
      <c r="FO500" s="10"/>
      <c r="FP500" s="539"/>
      <c r="FQ500" s="19"/>
      <c r="FS500" s="10"/>
      <c r="FT500" s="539"/>
      <c r="FU500" s="19"/>
      <c r="FW500" s="10"/>
      <c r="FX500" s="539"/>
      <c r="FY500" s="19"/>
      <c r="GA500" s="10"/>
      <c r="GB500" s="539"/>
      <c r="GC500" s="19"/>
      <c r="GE500" s="10"/>
      <c r="GF500" s="539"/>
      <c r="GG500" s="19"/>
      <c r="GI500" s="10"/>
      <c r="GJ500" s="539"/>
      <c r="GK500" s="19"/>
      <c r="GM500" s="10"/>
      <c r="GN500" s="539"/>
      <c r="GO500" s="16"/>
      <c r="GQ500" s="10"/>
      <c r="GR500" s="541"/>
      <c r="GS500" s="16"/>
      <c r="GU500" s="10"/>
      <c r="GV500" s="541"/>
      <c r="GW500" s="16"/>
      <c r="GY500" s="10"/>
      <c r="GZ500" s="541"/>
      <c r="HA500" s="16"/>
      <c r="HC500" s="10"/>
      <c r="HD500" s="541"/>
      <c r="HE500" s="16"/>
      <c r="HG500" s="10"/>
      <c r="HH500" s="541"/>
      <c r="HI500" s="16"/>
      <c r="HK500" s="10"/>
      <c r="HL500" s="541"/>
      <c r="HM500" s="16"/>
      <c r="HO500" s="10"/>
      <c r="HP500" s="541"/>
      <c r="HQ500" s="16"/>
      <c r="HS500" s="10"/>
      <c r="HT500" s="539"/>
      <c r="HU500" s="19"/>
      <c r="HW500" s="10"/>
      <c r="HX500" s="539"/>
      <c r="HY500" s="420"/>
      <c r="IA500" s="10"/>
      <c r="IB500" s="539"/>
    </row>
    <row r="501" spans="47:236">
      <c r="AU501" s="7"/>
      <c r="AV501" s="19"/>
      <c r="AW501" s="19"/>
      <c r="BR501" s="19"/>
      <c r="BS501" s="16"/>
      <c r="BW501" s="420"/>
      <c r="BX501" s="540"/>
      <c r="BY501" s="420"/>
      <c r="CA501" s="10"/>
      <c r="CB501" s="540"/>
      <c r="CC501" s="420"/>
      <c r="CE501" s="10"/>
      <c r="CF501" s="540"/>
      <c r="CG501" s="420"/>
      <c r="CI501" s="10"/>
      <c r="CJ501" s="540"/>
      <c r="CK501" s="420"/>
      <c r="CM501" s="10"/>
      <c r="CN501" s="540"/>
      <c r="CO501" s="420"/>
      <c r="CQ501" s="10"/>
      <c r="CR501" s="540"/>
      <c r="CS501" s="420"/>
      <c r="CU501" s="10"/>
      <c r="CV501" s="540"/>
      <c r="CW501" s="420"/>
      <c r="CY501" s="10"/>
      <c r="CZ501" s="540"/>
      <c r="DA501" s="420"/>
      <c r="DC501" s="10"/>
      <c r="DD501" s="540"/>
      <c r="DE501" s="420"/>
      <c r="DG501" s="10"/>
      <c r="DH501" s="540"/>
      <c r="DI501" s="420"/>
      <c r="DK501" s="10"/>
      <c r="DL501" s="540"/>
      <c r="DM501" s="420"/>
      <c r="DO501" s="10"/>
      <c r="DP501" s="540"/>
      <c r="DQ501" s="420"/>
      <c r="DS501" s="10"/>
      <c r="DT501" s="540"/>
      <c r="DU501" s="420"/>
      <c r="DW501" s="10"/>
      <c r="DX501" s="540"/>
      <c r="DY501" s="420"/>
      <c r="EA501" s="10"/>
      <c r="EB501" s="540"/>
      <c r="EC501" s="420"/>
      <c r="EE501" s="10"/>
      <c r="EF501" s="539"/>
      <c r="EG501" s="19"/>
      <c r="EI501" s="10"/>
      <c r="EJ501" s="539"/>
      <c r="EK501" s="19"/>
      <c r="EM501" s="10"/>
      <c r="EN501" s="539"/>
      <c r="EO501" s="19"/>
      <c r="EQ501" s="10"/>
      <c r="ER501" s="539"/>
      <c r="ES501" s="19"/>
      <c r="EU501" s="10"/>
      <c r="EV501" s="539"/>
      <c r="EW501" s="19"/>
      <c r="EY501" s="10"/>
      <c r="EZ501" s="539"/>
      <c r="FA501" s="19"/>
      <c r="FC501" s="10"/>
      <c r="FD501" s="539"/>
      <c r="FE501" s="19"/>
      <c r="FG501" s="10"/>
      <c r="FH501" s="539"/>
      <c r="FI501" s="19"/>
      <c r="FK501" s="10"/>
      <c r="FL501" s="539"/>
      <c r="FM501" s="19"/>
      <c r="FO501" s="10"/>
      <c r="FP501" s="539"/>
      <c r="FQ501" s="19"/>
      <c r="FS501" s="10"/>
      <c r="FT501" s="539"/>
      <c r="FU501" s="19"/>
      <c r="FW501" s="10"/>
      <c r="FX501" s="539"/>
      <c r="FY501" s="19"/>
      <c r="GA501" s="10"/>
      <c r="GB501" s="539"/>
      <c r="GC501" s="19"/>
      <c r="GE501" s="10"/>
      <c r="GF501" s="539"/>
      <c r="GG501" s="19"/>
      <c r="GI501" s="10"/>
      <c r="GJ501" s="539"/>
      <c r="GK501" s="19"/>
      <c r="GM501" s="10"/>
      <c r="GN501" s="539"/>
      <c r="GO501" s="16"/>
      <c r="GQ501" s="10"/>
      <c r="GR501" s="541"/>
      <c r="GS501" s="16"/>
      <c r="GU501" s="10"/>
      <c r="GV501" s="541"/>
      <c r="GW501" s="16"/>
      <c r="GY501" s="10"/>
      <c r="GZ501" s="541"/>
      <c r="HA501" s="16"/>
      <c r="HC501" s="10"/>
      <c r="HD501" s="541"/>
      <c r="HE501" s="16"/>
      <c r="HG501" s="10"/>
      <c r="HH501" s="541"/>
      <c r="HI501" s="16"/>
      <c r="HK501" s="10"/>
      <c r="HL501" s="541"/>
      <c r="HM501" s="16"/>
      <c r="HO501" s="10"/>
      <c r="HP501" s="541"/>
      <c r="HQ501" s="16"/>
      <c r="HS501" s="10"/>
      <c r="HT501" s="539"/>
      <c r="HU501" s="19"/>
      <c r="HW501" s="10"/>
      <c r="HX501" s="539"/>
      <c r="HY501" s="420"/>
      <c r="IA501" s="10"/>
      <c r="IB501" s="539"/>
    </row>
    <row r="502" spans="47:236">
      <c r="AU502" s="1415"/>
      <c r="AV502" s="21"/>
      <c r="AW502" s="21"/>
      <c r="BR502" s="19"/>
      <c r="BS502" s="16"/>
      <c r="BW502" s="420"/>
      <c r="BX502" s="540"/>
      <c r="BY502" s="420"/>
      <c r="CA502" s="10"/>
      <c r="CB502" s="540"/>
      <c r="CC502" s="420"/>
      <c r="CE502" s="10"/>
      <c r="CF502" s="540"/>
      <c r="CG502" s="420"/>
      <c r="CI502" s="10"/>
      <c r="CJ502" s="540"/>
      <c r="CK502" s="420"/>
      <c r="CM502" s="10"/>
      <c r="CN502" s="540"/>
      <c r="CO502" s="420"/>
      <c r="CQ502" s="10"/>
      <c r="CR502" s="540"/>
      <c r="CS502" s="420"/>
      <c r="CU502" s="10"/>
      <c r="CV502" s="540"/>
      <c r="CW502" s="420"/>
      <c r="CY502" s="10"/>
      <c r="CZ502" s="540"/>
      <c r="DA502" s="420"/>
      <c r="DC502" s="10"/>
      <c r="DD502" s="540"/>
      <c r="DE502" s="420"/>
      <c r="DG502" s="10"/>
      <c r="DH502" s="540"/>
      <c r="DI502" s="420"/>
      <c r="DK502" s="10"/>
      <c r="DL502" s="540"/>
      <c r="DM502" s="420"/>
      <c r="DO502" s="10"/>
      <c r="DP502" s="540"/>
      <c r="DQ502" s="420"/>
      <c r="DS502" s="10"/>
      <c r="DT502" s="540"/>
      <c r="DU502" s="420"/>
      <c r="DW502" s="10"/>
      <c r="DX502" s="540"/>
      <c r="DY502" s="420"/>
      <c r="EA502" s="10"/>
      <c r="EB502" s="540"/>
      <c r="EC502" s="420"/>
      <c r="EE502" s="10"/>
      <c r="EF502" s="539"/>
      <c r="EG502" s="19"/>
      <c r="EI502" s="10"/>
      <c r="EJ502" s="539"/>
      <c r="EK502" s="19"/>
      <c r="EM502" s="10"/>
      <c r="EN502" s="539"/>
      <c r="EO502" s="19"/>
      <c r="EQ502" s="10"/>
      <c r="ER502" s="539"/>
      <c r="ES502" s="19"/>
      <c r="EU502" s="10"/>
      <c r="EV502" s="539"/>
      <c r="EW502" s="19"/>
      <c r="EY502" s="10"/>
      <c r="EZ502" s="539"/>
      <c r="FA502" s="19"/>
      <c r="FC502" s="10"/>
      <c r="FD502" s="539"/>
      <c r="FE502" s="19"/>
      <c r="FG502" s="10"/>
      <c r="FH502" s="539"/>
      <c r="FI502" s="19"/>
      <c r="FK502" s="10"/>
      <c r="FL502" s="539"/>
      <c r="FM502" s="19"/>
      <c r="FO502" s="10"/>
      <c r="FP502" s="539"/>
      <c r="FQ502" s="19"/>
      <c r="FS502" s="10"/>
      <c r="FT502" s="539"/>
      <c r="FU502" s="19"/>
      <c r="FW502" s="10"/>
      <c r="FX502" s="539"/>
      <c r="FY502" s="19"/>
      <c r="GA502" s="10"/>
      <c r="GB502" s="539"/>
      <c r="GC502" s="19"/>
      <c r="GE502" s="10"/>
      <c r="GF502" s="539"/>
      <c r="GG502" s="19"/>
      <c r="GI502" s="10"/>
      <c r="GJ502" s="539"/>
      <c r="GK502" s="19"/>
      <c r="GM502" s="10"/>
      <c r="GN502" s="539"/>
      <c r="GO502" s="16"/>
      <c r="GQ502" s="10"/>
      <c r="GR502" s="541"/>
      <c r="GS502" s="16"/>
      <c r="GU502" s="10"/>
      <c r="GV502" s="541"/>
      <c r="GW502" s="16"/>
      <c r="GY502" s="10"/>
      <c r="GZ502" s="541"/>
      <c r="HA502" s="16"/>
      <c r="HC502" s="10"/>
      <c r="HD502" s="541"/>
      <c r="HE502" s="16"/>
      <c r="HG502" s="10"/>
      <c r="HH502" s="541"/>
      <c r="HI502" s="16"/>
      <c r="HK502" s="10"/>
      <c r="HL502" s="541"/>
      <c r="HM502" s="16"/>
      <c r="HO502" s="10"/>
      <c r="HP502" s="541"/>
      <c r="HQ502" s="16"/>
      <c r="HS502" s="10"/>
      <c r="HT502" s="539"/>
      <c r="HU502" s="19"/>
      <c r="HW502" s="10"/>
      <c r="HX502" s="539"/>
      <c r="HY502" s="420"/>
      <c r="IA502" s="10"/>
      <c r="IB502" s="539"/>
    </row>
    <row r="503" spans="47:236">
      <c r="AU503" s="7"/>
      <c r="AV503" s="21"/>
      <c r="AW503" s="21"/>
      <c r="BR503" s="19"/>
      <c r="BS503" s="16"/>
      <c r="BW503" s="420"/>
      <c r="BX503" s="540"/>
      <c r="BY503" s="420"/>
      <c r="CA503" s="10"/>
      <c r="CB503" s="540"/>
      <c r="CC503" s="420"/>
      <c r="CE503" s="10"/>
      <c r="CF503" s="540"/>
      <c r="CG503" s="420"/>
      <c r="CI503" s="10"/>
      <c r="CJ503" s="540"/>
      <c r="CK503" s="420"/>
      <c r="CM503" s="10"/>
      <c r="CN503" s="540"/>
      <c r="CO503" s="420"/>
      <c r="CQ503" s="10"/>
      <c r="CR503" s="540"/>
      <c r="CS503" s="420"/>
      <c r="CU503" s="10"/>
      <c r="CV503" s="540"/>
      <c r="CW503" s="420"/>
      <c r="CY503" s="10"/>
      <c r="CZ503" s="540"/>
      <c r="DA503" s="420"/>
      <c r="DC503" s="10"/>
      <c r="DD503" s="540"/>
      <c r="DE503" s="420"/>
      <c r="DG503" s="10"/>
      <c r="DH503" s="540"/>
      <c r="DI503" s="420"/>
      <c r="DK503" s="10"/>
      <c r="DL503" s="540"/>
      <c r="DM503" s="420"/>
      <c r="DO503" s="10"/>
      <c r="DP503" s="540"/>
      <c r="DQ503" s="420"/>
      <c r="DS503" s="10"/>
      <c r="DT503" s="540"/>
      <c r="DU503" s="420"/>
      <c r="DW503" s="10"/>
      <c r="DX503" s="540"/>
      <c r="DY503" s="420"/>
      <c r="EA503" s="10"/>
      <c r="EB503" s="540"/>
      <c r="EC503" s="420"/>
      <c r="EE503" s="10"/>
      <c r="EF503" s="539"/>
      <c r="EG503" s="19"/>
      <c r="EI503" s="10"/>
      <c r="EJ503" s="539"/>
      <c r="EK503" s="19"/>
      <c r="EM503" s="10"/>
      <c r="EN503" s="539"/>
      <c r="EO503" s="19"/>
      <c r="EQ503" s="10"/>
      <c r="ER503" s="539"/>
      <c r="ES503" s="19"/>
      <c r="EU503" s="10"/>
      <c r="EV503" s="539"/>
      <c r="EW503" s="19"/>
      <c r="EY503" s="10"/>
      <c r="EZ503" s="539"/>
      <c r="FA503" s="19"/>
      <c r="FC503" s="10"/>
      <c r="FD503" s="539"/>
      <c r="FE503" s="19"/>
      <c r="FG503" s="10"/>
      <c r="FH503" s="539"/>
      <c r="FI503" s="19"/>
      <c r="FK503" s="10"/>
      <c r="FL503" s="539"/>
      <c r="FM503" s="19"/>
      <c r="FO503" s="10"/>
      <c r="FP503" s="539"/>
      <c r="FQ503" s="19"/>
      <c r="FS503" s="10"/>
      <c r="FT503" s="539"/>
      <c r="FU503" s="19"/>
      <c r="FW503" s="10"/>
      <c r="FX503" s="539"/>
      <c r="FY503" s="19"/>
      <c r="GA503" s="10"/>
      <c r="GB503" s="539"/>
      <c r="GC503" s="19"/>
      <c r="GE503" s="10"/>
      <c r="GF503" s="539"/>
      <c r="GG503" s="19"/>
      <c r="GI503" s="10"/>
      <c r="GJ503" s="539"/>
      <c r="GK503" s="19"/>
      <c r="GM503" s="10"/>
      <c r="GN503" s="539"/>
      <c r="GO503" s="16"/>
      <c r="GQ503" s="10"/>
      <c r="GR503" s="541"/>
      <c r="GS503" s="16"/>
      <c r="GU503" s="10"/>
      <c r="GV503" s="541"/>
      <c r="GW503" s="16"/>
      <c r="GY503" s="10"/>
      <c r="GZ503" s="541"/>
      <c r="HA503" s="16"/>
      <c r="HC503" s="10"/>
      <c r="HD503" s="541"/>
      <c r="HE503" s="16"/>
      <c r="HG503" s="10"/>
      <c r="HH503" s="541"/>
      <c r="HI503" s="16"/>
      <c r="HK503" s="10"/>
      <c r="HL503" s="541"/>
      <c r="HM503" s="16"/>
      <c r="HO503" s="10"/>
      <c r="HP503" s="541"/>
      <c r="HQ503" s="16"/>
      <c r="HS503" s="10"/>
      <c r="HT503" s="539"/>
      <c r="HU503" s="19"/>
      <c r="HW503" s="10"/>
      <c r="HX503" s="539"/>
      <c r="HY503" s="420"/>
      <c r="IA503" s="10"/>
      <c r="IB503" s="539"/>
    </row>
    <row r="504" spans="47:236">
      <c r="AU504" s="210"/>
      <c r="AV504" s="46"/>
      <c r="AW504" s="420"/>
      <c r="BR504" s="19"/>
      <c r="BS504" s="16"/>
      <c r="BW504" s="420"/>
      <c r="BX504" s="540"/>
      <c r="BY504" s="420"/>
      <c r="CA504" s="10"/>
      <c r="CB504" s="540"/>
      <c r="CC504" s="420"/>
      <c r="CE504" s="10"/>
      <c r="CF504" s="540"/>
      <c r="CG504" s="420"/>
      <c r="CI504" s="10"/>
      <c r="CJ504" s="540"/>
      <c r="CK504" s="420"/>
      <c r="CM504" s="10"/>
      <c r="CN504" s="540"/>
      <c r="CO504" s="420"/>
      <c r="CQ504" s="10"/>
      <c r="CR504" s="540"/>
      <c r="CS504" s="420"/>
      <c r="CU504" s="10"/>
      <c r="CV504" s="540"/>
      <c r="CW504" s="420"/>
      <c r="CY504" s="10"/>
      <c r="CZ504" s="540"/>
      <c r="DA504" s="420"/>
      <c r="DC504" s="10"/>
      <c r="DD504" s="540"/>
      <c r="DE504" s="420"/>
      <c r="DG504" s="10"/>
      <c r="DH504" s="540"/>
      <c r="DI504" s="420"/>
      <c r="DK504" s="10"/>
      <c r="DL504" s="540"/>
      <c r="DM504" s="420"/>
      <c r="DO504" s="10"/>
      <c r="DP504" s="540"/>
      <c r="DQ504" s="420"/>
      <c r="DS504" s="10"/>
      <c r="DT504" s="540"/>
      <c r="DU504" s="420"/>
      <c r="DW504" s="10"/>
      <c r="DX504" s="540"/>
      <c r="DY504" s="420"/>
      <c r="EA504" s="10"/>
      <c r="EB504" s="540"/>
      <c r="EC504" s="420"/>
      <c r="EE504" s="10"/>
      <c r="EF504" s="539"/>
      <c r="EG504" s="19"/>
      <c r="EI504" s="10"/>
      <c r="EJ504" s="539"/>
      <c r="EK504" s="19"/>
      <c r="EM504" s="10"/>
      <c r="EN504" s="539"/>
      <c r="EO504" s="19"/>
      <c r="EQ504" s="10"/>
      <c r="ER504" s="539"/>
      <c r="ES504" s="19"/>
      <c r="EU504" s="10"/>
      <c r="EV504" s="539"/>
      <c r="EW504" s="19"/>
      <c r="EY504" s="10"/>
      <c r="EZ504" s="539"/>
      <c r="FA504" s="19"/>
      <c r="FC504" s="10"/>
      <c r="FD504" s="539"/>
      <c r="FE504" s="19"/>
      <c r="FG504" s="10"/>
      <c r="FH504" s="539"/>
      <c r="FI504" s="19"/>
      <c r="FK504" s="10"/>
      <c r="FL504" s="539"/>
      <c r="FM504" s="19"/>
      <c r="FO504" s="10"/>
      <c r="FP504" s="539"/>
      <c r="FQ504" s="19"/>
      <c r="FS504" s="10"/>
      <c r="FT504" s="539"/>
      <c r="FU504" s="19"/>
      <c r="FW504" s="10"/>
      <c r="FX504" s="539"/>
      <c r="FY504" s="19"/>
      <c r="GA504" s="10"/>
      <c r="GB504" s="539"/>
      <c r="GC504" s="19"/>
      <c r="GE504" s="10"/>
      <c r="GF504" s="539"/>
      <c r="GG504" s="19"/>
      <c r="GI504" s="10"/>
      <c r="GJ504" s="539"/>
      <c r="GK504" s="19"/>
      <c r="GM504" s="10"/>
      <c r="GN504" s="539"/>
      <c r="GO504" s="16"/>
      <c r="GQ504" s="10"/>
      <c r="GR504" s="541"/>
      <c r="GS504" s="16"/>
      <c r="GU504" s="10"/>
      <c r="GV504" s="541"/>
      <c r="GW504" s="16"/>
      <c r="GY504" s="10"/>
      <c r="GZ504" s="541"/>
      <c r="HA504" s="16"/>
      <c r="HC504" s="10"/>
      <c r="HD504" s="541"/>
      <c r="HE504" s="16"/>
      <c r="HG504" s="10"/>
      <c r="HH504" s="541"/>
      <c r="HI504" s="16"/>
      <c r="HK504" s="10"/>
      <c r="HL504" s="541"/>
      <c r="HM504" s="16"/>
      <c r="HO504" s="10"/>
      <c r="HP504" s="541"/>
      <c r="HQ504" s="16"/>
      <c r="HS504" s="10"/>
      <c r="HT504" s="539"/>
      <c r="HU504" s="19"/>
      <c r="HW504" s="10"/>
      <c r="HX504" s="539"/>
      <c r="HY504" s="420"/>
      <c r="IA504" s="10"/>
      <c r="IB504" s="539"/>
    </row>
    <row r="505" spans="47:236">
      <c r="AU505" s="210"/>
      <c r="AV505" s="46"/>
      <c r="AW505" s="420"/>
      <c r="BS505" s="16"/>
      <c r="BW505" s="420"/>
      <c r="BX505" s="540"/>
      <c r="BY505" s="420"/>
      <c r="CA505" s="10"/>
      <c r="CB505" s="540"/>
      <c r="CC505" s="420"/>
      <c r="CE505" s="10"/>
      <c r="CF505" s="540"/>
      <c r="CG505" s="420"/>
      <c r="CI505" s="10"/>
      <c r="CJ505" s="540"/>
      <c r="CK505" s="420"/>
      <c r="CM505" s="10"/>
      <c r="CN505" s="540"/>
      <c r="CO505" s="420"/>
      <c r="CQ505" s="10"/>
      <c r="CR505" s="540"/>
      <c r="CS505" s="420"/>
      <c r="CU505" s="10"/>
      <c r="CV505" s="540"/>
      <c r="CW505" s="420"/>
      <c r="CY505" s="10"/>
      <c r="CZ505" s="540"/>
      <c r="DA505" s="420"/>
      <c r="DC505" s="10"/>
      <c r="DD505" s="540"/>
      <c r="DE505" s="420"/>
      <c r="DG505" s="10"/>
      <c r="DH505" s="540"/>
      <c r="DI505" s="420"/>
      <c r="DK505" s="10"/>
      <c r="DL505" s="540"/>
      <c r="DM505" s="420"/>
      <c r="DO505" s="10"/>
      <c r="DP505" s="540"/>
      <c r="DQ505" s="420"/>
      <c r="DS505" s="10"/>
      <c r="DT505" s="540"/>
      <c r="DU505" s="420"/>
      <c r="DW505" s="10"/>
      <c r="DX505" s="540"/>
      <c r="DY505" s="420"/>
      <c r="EA505" s="10"/>
      <c r="EB505" s="540"/>
      <c r="EC505" s="420"/>
      <c r="EE505" s="10"/>
      <c r="EF505" s="539"/>
      <c r="EG505" s="19"/>
      <c r="EI505" s="10"/>
      <c r="EJ505" s="539"/>
      <c r="EK505" s="19"/>
      <c r="EM505" s="10"/>
      <c r="EN505" s="539"/>
      <c r="EO505" s="19"/>
      <c r="EQ505" s="10"/>
      <c r="ER505" s="539"/>
      <c r="ES505" s="19"/>
      <c r="EU505" s="10"/>
      <c r="EV505" s="539"/>
      <c r="EW505" s="19"/>
      <c r="EY505" s="10"/>
      <c r="EZ505" s="539"/>
      <c r="FA505" s="19"/>
      <c r="FC505" s="10"/>
      <c r="FD505" s="539"/>
      <c r="FE505" s="19"/>
      <c r="FG505" s="10"/>
      <c r="FH505" s="539"/>
      <c r="FI505" s="19"/>
      <c r="FK505" s="10"/>
      <c r="FL505" s="539"/>
      <c r="FM505" s="19"/>
      <c r="FO505" s="10"/>
      <c r="FP505" s="539"/>
      <c r="FQ505" s="19"/>
      <c r="FS505" s="10"/>
      <c r="FT505" s="539"/>
      <c r="FU505" s="19"/>
      <c r="FW505" s="10"/>
      <c r="FX505" s="539"/>
      <c r="FY505" s="19"/>
      <c r="GA505" s="10"/>
      <c r="GB505" s="539"/>
      <c r="GC505" s="19"/>
      <c r="GE505" s="10"/>
      <c r="GF505" s="539"/>
      <c r="GG505" s="19"/>
      <c r="GI505" s="10"/>
      <c r="GJ505" s="539"/>
      <c r="GK505" s="19"/>
      <c r="GM505" s="10"/>
      <c r="GN505" s="539"/>
      <c r="GO505" s="16"/>
      <c r="GQ505" s="10"/>
      <c r="GR505" s="541"/>
      <c r="GS505" s="16"/>
      <c r="GU505" s="10"/>
      <c r="GV505" s="541"/>
      <c r="GW505" s="16"/>
      <c r="GY505" s="10"/>
      <c r="GZ505" s="541"/>
      <c r="HA505" s="16"/>
      <c r="HC505" s="10"/>
      <c r="HD505" s="541"/>
      <c r="HE505" s="16"/>
      <c r="HG505" s="10"/>
      <c r="HH505" s="541"/>
      <c r="HI505" s="16"/>
      <c r="HK505" s="10"/>
      <c r="HL505" s="541"/>
      <c r="HM505" s="16"/>
      <c r="HO505" s="10"/>
      <c r="HP505" s="541"/>
      <c r="HQ505" s="16"/>
      <c r="HS505" s="10"/>
      <c r="HT505" s="539"/>
      <c r="HU505" s="19"/>
      <c r="HW505" s="10"/>
      <c r="HX505" s="539"/>
      <c r="HY505" s="420"/>
      <c r="IA505" s="10"/>
      <c r="IB505" s="539"/>
    </row>
    <row r="506" spans="47:236">
      <c r="AU506" s="210"/>
      <c r="AV506" s="46"/>
      <c r="AW506" s="420"/>
      <c r="BE506" s="15"/>
      <c r="BS506" s="16"/>
      <c r="BW506" s="420"/>
      <c r="BX506" s="540"/>
      <c r="BY506" s="420"/>
      <c r="CA506" s="10"/>
      <c r="CB506" s="540"/>
      <c r="CC506" s="420"/>
      <c r="CE506" s="10"/>
      <c r="CF506" s="540"/>
      <c r="CG506" s="420"/>
      <c r="CI506" s="10"/>
      <c r="CJ506" s="540"/>
      <c r="CK506" s="420"/>
      <c r="CM506" s="10"/>
      <c r="CN506" s="540"/>
      <c r="CO506" s="420"/>
      <c r="CQ506" s="10"/>
      <c r="CR506" s="540"/>
      <c r="CS506" s="420"/>
      <c r="CU506" s="10"/>
      <c r="CV506" s="540"/>
      <c r="CW506" s="420"/>
      <c r="CY506" s="10"/>
      <c r="CZ506" s="540"/>
      <c r="DA506" s="420"/>
      <c r="DC506" s="10"/>
      <c r="DD506" s="540"/>
      <c r="DE506" s="420"/>
      <c r="DG506" s="10"/>
      <c r="DH506" s="540"/>
      <c r="DI506" s="420"/>
      <c r="DK506" s="10"/>
      <c r="DL506" s="540"/>
      <c r="DM506" s="420"/>
      <c r="DO506" s="10"/>
      <c r="DP506" s="540"/>
      <c r="DQ506" s="420"/>
      <c r="DS506" s="10"/>
      <c r="DT506" s="540"/>
      <c r="DU506" s="420"/>
      <c r="DW506" s="10"/>
      <c r="DX506" s="540"/>
      <c r="DY506" s="420"/>
      <c r="EA506" s="10"/>
      <c r="EB506" s="540"/>
      <c r="EC506" s="420"/>
      <c r="EE506" s="10"/>
      <c r="EF506" s="539"/>
      <c r="EG506" s="19"/>
      <c r="EI506" s="10"/>
      <c r="EJ506" s="539"/>
      <c r="EK506" s="19"/>
      <c r="EM506" s="10"/>
      <c r="EN506" s="539"/>
      <c r="EO506" s="19"/>
      <c r="EQ506" s="10"/>
      <c r="ER506" s="539"/>
      <c r="ES506" s="19"/>
      <c r="EU506" s="10"/>
      <c r="EV506" s="539"/>
      <c r="EW506" s="19"/>
      <c r="EY506" s="10"/>
      <c r="EZ506" s="539"/>
      <c r="FA506" s="19"/>
      <c r="FC506" s="10"/>
      <c r="FD506" s="539"/>
      <c r="FE506" s="19"/>
      <c r="FG506" s="10"/>
      <c r="FH506" s="539"/>
      <c r="FI506" s="19"/>
      <c r="FK506" s="10"/>
      <c r="FL506" s="539"/>
      <c r="FM506" s="19"/>
      <c r="FO506" s="10"/>
      <c r="FP506" s="539"/>
      <c r="FQ506" s="19"/>
      <c r="FS506" s="10"/>
      <c r="FT506" s="539"/>
      <c r="FU506" s="19"/>
      <c r="FW506" s="10"/>
      <c r="FX506" s="539"/>
      <c r="FY506" s="19"/>
      <c r="GA506" s="10"/>
      <c r="GB506" s="539"/>
      <c r="GC506" s="19"/>
      <c r="GE506" s="10"/>
      <c r="GF506" s="539"/>
      <c r="GG506" s="19"/>
      <c r="GI506" s="10"/>
      <c r="GJ506" s="539"/>
      <c r="GK506" s="19"/>
      <c r="GM506" s="10"/>
      <c r="GN506" s="539"/>
      <c r="GO506" s="16"/>
      <c r="GQ506" s="10"/>
      <c r="GR506" s="541"/>
      <c r="GS506" s="16"/>
      <c r="GU506" s="10"/>
      <c r="GV506" s="541"/>
      <c r="GW506" s="16"/>
      <c r="GY506" s="10"/>
      <c r="GZ506" s="541"/>
      <c r="HA506" s="16"/>
      <c r="HC506" s="10"/>
      <c r="HD506" s="541"/>
      <c r="HE506" s="16"/>
      <c r="HG506" s="10"/>
      <c r="HH506" s="541"/>
      <c r="HI506" s="16"/>
      <c r="HK506" s="10"/>
      <c r="HL506" s="541"/>
      <c r="HM506" s="16"/>
      <c r="HO506" s="10"/>
      <c r="HP506" s="541"/>
      <c r="HQ506" s="16"/>
      <c r="HS506" s="10"/>
      <c r="HT506" s="539"/>
      <c r="HU506" s="19"/>
      <c r="HW506" s="10"/>
      <c r="HX506" s="539"/>
      <c r="HY506" s="420"/>
      <c r="IA506" s="10"/>
      <c r="IB506" s="539"/>
    </row>
    <row r="507" spans="47:236">
      <c r="AU507" s="210"/>
      <c r="AV507" s="46"/>
      <c r="AW507" s="420"/>
      <c r="BE507" s="15"/>
      <c r="BS507" s="16"/>
      <c r="BW507" s="420"/>
      <c r="BX507" s="540"/>
      <c r="BY507" s="420"/>
      <c r="CA507" s="10"/>
      <c r="CB507" s="540"/>
      <c r="CC507" s="420"/>
      <c r="CE507" s="10"/>
      <c r="CF507" s="540"/>
      <c r="CG507" s="420"/>
      <c r="CI507" s="10"/>
      <c r="CJ507" s="540"/>
      <c r="CK507" s="420"/>
      <c r="CM507" s="10"/>
      <c r="CN507" s="540"/>
      <c r="CO507" s="420"/>
      <c r="CQ507" s="10"/>
      <c r="CR507" s="540"/>
      <c r="CS507" s="420"/>
      <c r="CU507" s="10"/>
      <c r="CV507" s="540"/>
      <c r="CW507" s="420"/>
      <c r="CY507" s="10"/>
      <c r="CZ507" s="540"/>
      <c r="DA507" s="420"/>
      <c r="DC507" s="10"/>
      <c r="DD507" s="540"/>
      <c r="DE507" s="420"/>
      <c r="DG507" s="10"/>
      <c r="DH507" s="540"/>
      <c r="DI507" s="420"/>
      <c r="DK507" s="10"/>
      <c r="DL507" s="540"/>
      <c r="DM507" s="420"/>
      <c r="DO507" s="10"/>
      <c r="DP507" s="540"/>
      <c r="DQ507" s="420"/>
      <c r="DS507" s="10"/>
      <c r="DT507" s="540"/>
      <c r="DU507" s="420"/>
      <c r="DW507" s="10"/>
      <c r="DX507" s="540"/>
      <c r="DY507" s="420"/>
      <c r="EA507" s="10"/>
      <c r="EB507" s="540"/>
      <c r="EC507" s="420"/>
      <c r="EE507" s="10"/>
      <c r="EF507" s="539"/>
      <c r="EG507" s="19"/>
      <c r="EI507" s="10"/>
      <c r="EJ507" s="539"/>
      <c r="EK507" s="19"/>
      <c r="EM507" s="10"/>
      <c r="EN507" s="539"/>
      <c r="EO507" s="19"/>
      <c r="EQ507" s="10"/>
      <c r="ER507" s="539"/>
      <c r="ES507" s="19"/>
      <c r="EU507" s="10"/>
      <c r="EV507" s="539"/>
      <c r="EW507" s="19"/>
      <c r="EY507" s="10"/>
      <c r="EZ507" s="539"/>
      <c r="FA507" s="19"/>
      <c r="FC507" s="10"/>
      <c r="FD507" s="539"/>
      <c r="FE507" s="19"/>
      <c r="FG507" s="10"/>
      <c r="FH507" s="539"/>
      <c r="FI507" s="19"/>
      <c r="FK507" s="10"/>
      <c r="FL507" s="539"/>
      <c r="FM507" s="19"/>
      <c r="FO507" s="10"/>
      <c r="FP507" s="539"/>
      <c r="FQ507" s="19"/>
      <c r="FS507" s="10"/>
      <c r="FT507" s="539"/>
      <c r="FU507" s="19"/>
      <c r="FW507" s="10"/>
      <c r="FX507" s="539"/>
      <c r="FY507" s="19"/>
      <c r="GA507" s="10"/>
      <c r="GB507" s="539"/>
      <c r="GC507" s="19"/>
      <c r="GE507" s="10"/>
      <c r="GF507" s="539"/>
      <c r="GG507" s="19"/>
      <c r="GI507" s="10"/>
      <c r="GJ507" s="539"/>
      <c r="GK507" s="19"/>
      <c r="GM507" s="10"/>
      <c r="GN507" s="539"/>
      <c r="GO507" s="16"/>
      <c r="GQ507" s="10"/>
      <c r="GR507" s="541"/>
      <c r="GS507" s="16"/>
      <c r="GU507" s="10"/>
      <c r="GV507" s="541"/>
      <c r="GW507" s="16"/>
      <c r="GY507" s="10"/>
      <c r="GZ507" s="541"/>
      <c r="HA507" s="16"/>
      <c r="HC507" s="10"/>
      <c r="HD507" s="541"/>
      <c r="HE507" s="16"/>
      <c r="HG507" s="10"/>
      <c r="HH507" s="541"/>
      <c r="HI507" s="16"/>
      <c r="HK507" s="10"/>
      <c r="HL507" s="541"/>
      <c r="HM507" s="16"/>
      <c r="HO507" s="10"/>
      <c r="HP507" s="541"/>
      <c r="HQ507" s="16"/>
      <c r="HS507" s="10"/>
      <c r="HT507" s="539"/>
      <c r="HU507" s="19"/>
      <c r="HW507" s="10"/>
      <c r="HX507" s="539"/>
      <c r="HY507" s="420"/>
      <c r="IA507" s="10"/>
      <c r="IB507" s="539"/>
    </row>
    <row r="508" spans="47:236">
      <c r="AU508" s="210"/>
      <c r="AV508" s="46"/>
      <c r="AW508" s="420"/>
      <c r="BE508" s="15"/>
      <c r="BS508" s="16"/>
      <c r="BW508" s="420"/>
      <c r="BX508" s="540"/>
      <c r="BY508" s="420"/>
      <c r="CA508" s="10"/>
      <c r="CB508" s="540"/>
      <c r="CC508" s="420"/>
      <c r="CE508" s="10"/>
      <c r="CF508" s="540"/>
      <c r="CG508" s="420"/>
      <c r="CI508" s="10"/>
      <c r="CJ508" s="540"/>
      <c r="CK508" s="420"/>
      <c r="CM508" s="10"/>
      <c r="CN508" s="540"/>
      <c r="CO508" s="420"/>
      <c r="CQ508" s="10"/>
      <c r="CR508" s="540"/>
      <c r="CS508" s="420"/>
      <c r="CU508" s="10"/>
      <c r="CV508" s="540"/>
      <c r="CW508" s="420"/>
      <c r="CY508" s="10"/>
      <c r="CZ508" s="540"/>
      <c r="DA508" s="420"/>
      <c r="DC508" s="10"/>
      <c r="DD508" s="540"/>
      <c r="DE508" s="420"/>
      <c r="DG508" s="10"/>
      <c r="DH508" s="540"/>
      <c r="DI508" s="420"/>
      <c r="DK508" s="10"/>
      <c r="DL508" s="540"/>
      <c r="DM508" s="420"/>
      <c r="DO508" s="10"/>
      <c r="DP508" s="540"/>
      <c r="DQ508" s="420"/>
      <c r="DS508" s="10"/>
      <c r="DT508" s="540"/>
      <c r="DU508" s="420"/>
      <c r="DW508" s="10"/>
      <c r="DX508" s="540"/>
      <c r="DY508" s="420"/>
      <c r="EA508" s="10"/>
      <c r="EB508" s="540"/>
      <c r="EC508" s="420"/>
      <c r="EE508" s="10"/>
      <c r="EF508" s="539"/>
      <c r="EG508" s="19"/>
      <c r="EI508" s="10"/>
      <c r="EJ508" s="539"/>
      <c r="EK508" s="19"/>
      <c r="EM508" s="10"/>
      <c r="EN508" s="539"/>
      <c r="EO508" s="19"/>
      <c r="EQ508" s="10"/>
      <c r="ER508" s="539"/>
      <c r="ES508" s="19"/>
      <c r="EU508" s="10"/>
      <c r="EV508" s="539"/>
      <c r="EW508" s="19"/>
      <c r="EY508" s="10"/>
      <c r="EZ508" s="539"/>
      <c r="FA508" s="19"/>
      <c r="FC508" s="10"/>
      <c r="FD508" s="539"/>
      <c r="FE508" s="19"/>
      <c r="FG508" s="10"/>
      <c r="FH508" s="539"/>
      <c r="FI508" s="19"/>
      <c r="FK508" s="10"/>
      <c r="FL508" s="539"/>
      <c r="FM508" s="19"/>
      <c r="FO508" s="10"/>
      <c r="FP508" s="539"/>
      <c r="FQ508" s="19"/>
      <c r="FS508" s="10"/>
      <c r="FT508" s="539"/>
      <c r="FU508" s="19"/>
      <c r="FW508" s="10"/>
      <c r="FX508" s="539"/>
      <c r="FY508" s="19"/>
      <c r="GA508" s="10"/>
      <c r="GB508" s="539"/>
      <c r="GC508" s="19"/>
      <c r="GE508" s="10"/>
      <c r="GF508" s="539"/>
      <c r="GG508" s="19"/>
      <c r="GI508" s="10"/>
      <c r="GJ508" s="539"/>
      <c r="GK508" s="19"/>
      <c r="GM508" s="10"/>
      <c r="GN508" s="539"/>
      <c r="GO508" s="16"/>
      <c r="GQ508" s="10"/>
      <c r="GR508" s="541"/>
      <c r="GS508" s="16"/>
      <c r="GU508" s="10"/>
      <c r="GV508" s="541"/>
      <c r="GW508" s="16"/>
      <c r="GY508" s="10"/>
      <c r="GZ508" s="541"/>
      <c r="HA508" s="16"/>
      <c r="HC508" s="10"/>
      <c r="HD508" s="541"/>
      <c r="HE508" s="16"/>
      <c r="HG508" s="10"/>
      <c r="HH508" s="541"/>
      <c r="HI508" s="16"/>
      <c r="HK508" s="10"/>
      <c r="HL508" s="541"/>
      <c r="HM508" s="16"/>
      <c r="HO508" s="10"/>
      <c r="HP508" s="541"/>
      <c r="HQ508" s="16"/>
      <c r="HS508" s="10"/>
      <c r="HT508" s="539"/>
      <c r="HU508" s="19"/>
      <c r="HW508" s="10"/>
      <c r="HX508" s="539"/>
      <c r="HY508" s="420"/>
      <c r="IA508" s="10"/>
      <c r="IB508" s="539"/>
    </row>
    <row r="509" spans="47:236">
      <c r="AU509" s="210"/>
      <c r="AV509" s="46"/>
      <c r="AW509" s="420"/>
      <c r="BE509" s="15"/>
      <c r="BS509" s="16"/>
      <c r="BW509" s="420"/>
      <c r="BX509" s="540"/>
      <c r="BY509" s="420"/>
      <c r="CA509" s="10"/>
      <c r="CB509" s="540"/>
      <c r="CC509" s="420"/>
      <c r="CE509" s="10"/>
      <c r="CF509" s="540"/>
      <c r="CG509" s="420"/>
      <c r="CI509" s="10"/>
      <c r="CJ509" s="540"/>
      <c r="CK509" s="420"/>
      <c r="CM509" s="10"/>
      <c r="CN509" s="540"/>
      <c r="CO509" s="420"/>
      <c r="CQ509" s="10"/>
      <c r="CR509" s="540"/>
      <c r="CS509" s="420"/>
      <c r="CU509" s="10"/>
      <c r="CV509" s="540"/>
      <c r="CW509" s="420"/>
      <c r="CY509" s="10"/>
      <c r="CZ509" s="540"/>
      <c r="DA509" s="420"/>
      <c r="DC509" s="10"/>
      <c r="DD509" s="540"/>
      <c r="DE509" s="420"/>
      <c r="DG509" s="10"/>
      <c r="DH509" s="540"/>
      <c r="DI509" s="420"/>
      <c r="DK509" s="10"/>
      <c r="DL509" s="540"/>
      <c r="DM509" s="420"/>
      <c r="DO509" s="10"/>
      <c r="DP509" s="540"/>
      <c r="DQ509" s="420"/>
      <c r="DS509" s="10"/>
      <c r="DT509" s="540"/>
      <c r="DU509" s="420"/>
      <c r="DW509" s="10"/>
      <c r="DX509" s="540"/>
      <c r="DY509" s="420"/>
      <c r="EA509" s="10"/>
      <c r="EB509" s="540"/>
      <c r="EC509" s="420"/>
      <c r="EE509" s="10"/>
      <c r="EF509" s="539"/>
      <c r="EG509" s="19"/>
      <c r="EI509" s="10"/>
      <c r="EJ509" s="539"/>
      <c r="EK509" s="19"/>
      <c r="EM509" s="10"/>
      <c r="EN509" s="539"/>
      <c r="EO509" s="19"/>
      <c r="EQ509" s="10"/>
      <c r="ER509" s="539"/>
      <c r="ES509" s="19"/>
      <c r="EU509" s="10"/>
      <c r="EV509" s="539"/>
      <c r="EW509" s="19"/>
      <c r="EY509" s="10"/>
      <c r="EZ509" s="539"/>
      <c r="FA509" s="19"/>
      <c r="FC509" s="10"/>
      <c r="FD509" s="539"/>
      <c r="FE509" s="19"/>
      <c r="FG509" s="10"/>
      <c r="FH509" s="539"/>
      <c r="FI509" s="19"/>
      <c r="FK509" s="10"/>
      <c r="FL509" s="539"/>
      <c r="FM509" s="19"/>
      <c r="FO509" s="10"/>
      <c r="FP509" s="539"/>
      <c r="FQ509" s="19"/>
      <c r="FS509" s="10"/>
      <c r="FT509" s="539"/>
      <c r="FU509" s="19"/>
      <c r="FW509" s="10"/>
      <c r="FX509" s="539"/>
      <c r="FY509" s="19"/>
      <c r="GA509" s="10"/>
      <c r="GB509" s="539"/>
      <c r="GC509" s="19"/>
      <c r="GE509" s="10"/>
      <c r="GF509" s="539"/>
      <c r="GG509" s="19"/>
      <c r="GI509" s="10"/>
      <c r="GJ509" s="539"/>
      <c r="GK509" s="19"/>
      <c r="GM509" s="10"/>
      <c r="GN509" s="539"/>
      <c r="GO509" s="16"/>
      <c r="GQ509" s="10"/>
      <c r="GR509" s="541"/>
      <c r="GS509" s="16"/>
      <c r="GU509" s="10"/>
      <c r="GV509" s="541"/>
      <c r="GW509" s="16"/>
      <c r="GY509" s="10"/>
      <c r="GZ509" s="541"/>
      <c r="HA509" s="16"/>
      <c r="HC509" s="10"/>
      <c r="HD509" s="541"/>
      <c r="HE509" s="16"/>
      <c r="HG509" s="10"/>
      <c r="HH509" s="541"/>
      <c r="HI509" s="16"/>
      <c r="HK509" s="10"/>
      <c r="HL509" s="541"/>
      <c r="HM509" s="16"/>
      <c r="HO509" s="10"/>
      <c r="HP509" s="541"/>
      <c r="HQ509" s="16"/>
      <c r="HS509" s="10"/>
      <c r="HT509" s="539"/>
      <c r="HU509" s="19"/>
      <c r="HW509" s="10"/>
      <c r="HX509" s="539"/>
      <c r="HY509" s="420"/>
      <c r="IA509" s="10"/>
      <c r="IB509" s="539"/>
    </row>
    <row r="510" spans="47:236">
      <c r="AU510" s="210"/>
      <c r="AV510" s="46"/>
      <c r="AW510" s="420"/>
      <c r="BE510" s="15"/>
      <c r="BS510" s="16"/>
      <c r="BW510" s="420"/>
      <c r="BX510" s="540"/>
      <c r="BY510" s="420"/>
      <c r="CA510" s="10"/>
      <c r="CB510" s="540"/>
      <c r="CC510" s="420"/>
      <c r="CE510" s="10"/>
      <c r="CF510" s="540"/>
      <c r="CG510" s="420"/>
      <c r="CI510" s="10"/>
      <c r="CJ510" s="540"/>
      <c r="CK510" s="420"/>
      <c r="CM510" s="10"/>
      <c r="CN510" s="540"/>
      <c r="CO510" s="420"/>
      <c r="CQ510" s="10"/>
      <c r="CR510" s="540"/>
      <c r="CS510" s="420"/>
      <c r="CU510" s="10"/>
      <c r="CV510" s="540"/>
      <c r="CW510" s="420"/>
      <c r="CY510" s="10"/>
      <c r="CZ510" s="540"/>
      <c r="DA510" s="420"/>
      <c r="DC510" s="10"/>
      <c r="DD510" s="540"/>
      <c r="DE510" s="420"/>
      <c r="DG510" s="10"/>
      <c r="DH510" s="540"/>
      <c r="DI510" s="420"/>
      <c r="DK510" s="10"/>
      <c r="DL510" s="540"/>
      <c r="DM510" s="420"/>
      <c r="DO510" s="10"/>
      <c r="DP510" s="540"/>
      <c r="DQ510" s="420"/>
      <c r="DS510" s="10"/>
      <c r="DT510" s="540"/>
      <c r="DU510" s="420"/>
      <c r="DW510" s="10"/>
      <c r="DX510" s="540"/>
      <c r="DY510" s="420"/>
      <c r="EA510" s="10"/>
      <c r="EB510" s="540"/>
      <c r="EC510" s="420"/>
      <c r="EE510" s="10"/>
      <c r="EF510" s="539"/>
      <c r="EG510" s="19"/>
      <c r="EI510" s="10"/>
      <c r="EJ510" s="539"/>
      <c r="EK510" s="19"/>
      <c r="EM510" s="10"/>
      <c r="EN510" s="539"/>
      <c r="EO510" s="19"/>
      <c r="EQ510" s="10"/>
      <c r="ER510" s="539"/>
      <c r="ES510" s="19"/>
      <c r="EU510" s="10"/>
      <c r="EV510" s="539"/>
      <c r="EW510" s="19"/>
      <c r="EY510" s="10"/>
      <c r="EZ510" s="539"/>
      <c r="FA510" s="19"/>
      <c r="FC510" s="10"/>
      <c r="FD510" s="539"/>
      <c r="FE510" s="19"/>
      <c r="FG510" s="10"/>
      <c r="FH510" s="539"/>
      <c r="FI510" s="19"/>
      <c r="FK510" s="10"/>
      <c r="FL510" s="539"/>
      <c r="FM510" s="19"/>
      <c r="FO510" s="10"/>
      <c r="FP510" s="539"/>
      <c r="FQ510" s="19"/>
      <c r="FS510" s="10"/>
      <c r="FT510" s="539"/>
      <c r="FU510" s="19"/>
      <c r="FW510" s="10"/>
      <c r="FX510" s="539"/>
      <c r="FY510" s="19"/>
      <c r="GA510" s="10"/>
      <c r="GB510" s="539"/>
      <c r="GC510" s="19"/>
      <c r="GE510" s="10"/>
      <c r="GF510" s="539"/>
      <c r="GG510" s="19"/>
      <c r="GI510" s="10"/>
      <c r="GJ510" s="539"/>
      <c r="GK510" s="19"/>
      <c r="GM510" s="10"/>
      <c r="GN510" s="539"/>
      <c r="GO510" s="16"/>
      <c r="GQ510" s="10"/>
      <c r="GR510" s="541"/>
      <c r="GS510" s="16"/>
      <c r="GU510" s="10"/>
      <c r="GV510" s="541"/>
      <c r="GW510" s="16"/>
      <c r="GY510" s="10"/>
      <c r="GZ510" s="541"/>
      <c r="HA510" s="16"/>
      <c r="HC510" s="10"/>
      <c r="HD510" s="541"/>
      <c r="HE510" s="16"/>
      <c r="HG510" s="10"/>
      <c r="HH510" s="541"/>
      <c r="HI510" s="16"/>
      <c r="HK510" s="10"/>
      <c r="HL510" s="541"/>
      <c r="HM510" s="16"/>
      <c r="HO510" s="10"/>
      <c r="HP510" s="541"/>
      <c r="HQ510" s="16"/>
      <c r="HS510" s="10"/>
      <c r="HT510" s="539"/>
      <c r="HU510" s="19"/>
      <c r="HW510" s="10"/>
      <c r="HX510" s="539"/>
      <c r="HY510" s="420"/>
      <c r="IA510" s="10"/>
      <c r="IB510" s="539"/>
    </row>
    <row r="511" spans="47:236">
      <c r="AU511" s="210"/>
      <c r="AV511" s="46"/>
      <c r="AW511" s="420"/>
      <c r="BE511" s="15"/>
      <c r="BS511" s="16"/>
      <c r="BW511" s="420"/>
      <c r="BX511" s="540"/>
      <c r="BY511" s="420"/>
      <c r="CA511" s="10"/>
      <c r="CB511" s="540"/>
      <c r="CC511" s="420"/>
      <c r="CE511" s="10"/>
      <c r="CF511" s="540"/>
      <c r="CG511" s="420"/>
      <c r="CI511" s="10"/>
      <c r="CJ511" s="540"/>
      <c r="CK511" s="420"/>
      <c r="CM511" s="10"/>
      <c r="CN511" s="540"/>
      <c r="CO511" s="420"/>
      <c r="CQ511" s="10"/>
      <c r="CR511" s="540"/>
      <c r="CS511" s="420"/>
      <c r="CU511" s="10"/>
      <c r="CV511" s="540"/>
      <c r="CW511" s="420"/>
      <c r="CY511" s="10"/>
      <c r="CZ511" s="540"/>
      <c r="DA511" s="420"/>
      <c r="DC511" s="10"/>
      <c r="DD511" s="540"/>
      <c r="DE511" s="420"/>
      <c r="DG511" s="10"/>
      <c r="DH511" s="540"/>
      <c r="DI511" s="420"/>
      <c r="DK511" s="10"/>
      <c r="DL511" s="540"/>
      <c r="DM511" s="420"/>
      <c r="DO511" s="10"/>
      <c r="DP511" s="540"/>
      <c r="DQ511" s="420"/>
      <c r="DS511" s="10"/>
      <c r="DT511" s="540"/>
      <c r="DU511" s="420"/>
      <c r="DW511" s="10"/>
      <c r="DX511" s="540"/>
      <c r="DY511" s="420"/>
      <c r="EA511" s="10"/>
      <c r="EB511" s="540"/>
      <c r="EC511" s="420"/>
      <c r="EE511" s="10"/>
      <c r="EF511" s="539"/>
      <c r="EG511" s="19"/>
      <c r="EI511" s="10"/>
      <c r="EJ511" s="539"/>
      <c r="EK511" s="19"/>
      <c r="EM511" s="10"/>
      <c r="EN511" s="539"/>
      <c r="EO511" s="19"/>
      <c r="EQ511" s="10"/>
      <c r="ER511" s="539"/>
      <c r="ES511" s="19"/>
      <c r="EU511" s="10"/>
      <c r="EV511" s="539"/>
      <c r="EW511" s="19"/>
      <c r="EY511" s="10"/>
      <c r="EZ511" s="539"/>
      <c r="FA511" s="19"/>
      <c r="FC511" s="10"/>
      <c r="FD511" s="539"/>
      <c r="FE511" s="19"/>
      <c r="FG511" s="10"/>
      <c r="FH511" s="539"/>
      <c r="FI511" s="19"/>
      <c r="FK511" s="10"/>
      <c r="FL511" s="539"/>
      <c r="FM511" s="19"/>
      <c r="FO511" s="10"/>
      <c r="FP511" s="539"/>
      <c r="FQ511" s="19"/>
      <c r="FS511" s="10"/>
      <c r="FT511" s="539"/>
      <c r="FU511" s="19"/>
      <c r="FW511" s="10"/>
      <c r="FX511" s="539"/>
      <c r="FY511" s="19"/>
      <c r="GA511" s="10"/>
      <c r="GB511" s="539"/>
      <c r="GC511" s="19"/>
      <c r="GE511" s="10"/>
      <c r="GF511" s="539"/>
      <c r="GG511" s="19"/>
      <c r="GI511" s="10"/>
      <c r="GJ511" s="539"/>
      <c r="GK511" s="19"/>
      <c r="GM511" s="10"/>
      <c r="GN511" s="539"/>
      <c r="GO511" s="16"/>
      <c r="GQ511" s="10"/>
      <c r="GR511" s="541"/>
      <c r="GS511" s="16"/>
      <c r="GU511" s="10"/>
      <c r="GV511" s="541"/>
      <c r="GW511" s="16"/>
      <c r="GY511" s="10"/>
      <c r="GZ511" s="541"/>
      <c r="HA511" s="16"/>
      <c r="HC511" s="10"/>
      <c r="HD511" s="541"/>
      <c r="HE511" s="16"/>
      <c r="HG511" s="10"/>
      <c r="HH511" s="541"/>
      <c r="HI511" s="16"/>
      <c r="HK511" s="10"/>
      <c r="HL511" s="541"/>
      <c r="HM511" s="16"/>
      <c r="HO511" s="10"/>
      <c r="HP511" s="541"/>
      <c r="HQ511" s="16"/>
      <c r="HS511" s="10"/>
      <c r="HT511" s="539"/>
      <c r="HU511" s="19"/>
      <c r="HW511" s="10"/>
      <c r="HX511" s="539"/>
      <c r="HY511" s="420"/>
      <c r="IA511" s="10"/>
      <c r="IB511" s="539"/>
    </row>
    <row r="512" spans="47:236">
      <c r="AU512" s="210"/>
      <c r="AV512" s="46"/>
      <c r="AW512" s="420"/>
      <c r="BE512" s="15"/>
      <c r="BS512" s="16"/>
      <c r="BW512" s="420"/>
      <c r="BX512" s="540"/>
      <c r="BY512" s="420"/>
      <c r="CA512" s="10"/>
      <c r="CB512" s="540"/>
      <c r="CC512" s="420"/>
      <c r="CE512" s="10"/>
      <c r="CF512" s="540"/>
      <c r="CG512" s="420"/>
      <c r="CI512" s="10"/>
      <c r="CJ512" s="540"/>
      <c r="CK512" s="420"/>
      <c r="CM512" s="10"/>
      <c r="CN512" s="540"/>
      <c r="CO512" s="420"/>
      <c r="CQ512" s="10"/>
      <c r="CR512" s="540"/>
      <c r="CS512" s="420"/>
      <c r="CU512" s="10"/>
      <c r="CV512" s="540"/>
      <c r="CW512" s="420"/>
      <c r="CY512" s="10"/>
      <c r="CZ512" s="540"/>
      <c r="DA512" s="420"/>
      <c r="DC512" s="10"/>
      <c r="DD512" s="540"/>
      <c r="DE512" s="420"/>
      <c r="DG512" s="10"/>
      <c r="DH512" s="540"/>
      <c r="DI512" s="420"/>
      <c r="DK512" s="10"/>
      <c r="DL512" s="540"/>
      <c r="DM512" s="420"/>
      <c r="DO512" s="10"/>
      <c r="DP512" s="540"/>
      <c r="DQ512" s="420"/>
      <c r="DS512" s="10"/>
      <c r="DT512" s="540"/>
      <c r="DU512" s="420"/>
      <c r="DW512" s="10"/>
      <c r="DX512" s="540"/>
      <c r="DY512" s="420"/>
      <c r="EA512" s="10"/>
      <c r="EB512" s="540"/>
      <c r="EC512" s="420"/>
      <c r="EE512" s="10"/>
      <c r="EF512" s="539"/>
      <c r="EG512" s="19"/>
      <c r="EI512" s="10"/>
      <c r="EJ512" s="539"/>
      <c r="EK512" s="19"/>
      <c r="EM512" s="10"/>
      <c r="EN512" s="539"/>
      <c r="EO512" s="19"/>
      <c r="EQ512" s="10"/>
      <c r="ER512" s="539"/>
      <c r="ES512" s="19"/>
      <c r="EU512" s="10"/>
      <c r="EV512" s="539"/>
      <c r="EW512" s="19"/>
      <c r="EY512" s="10"/>
      <c r="EZ512" s="539"/>
      <c r="FA512" s="19"/>
      <c r="FC512" s="10"/>
      <c r="FD512" s="539"/>
      <c r="FE512" s="19"/>
      <c r="FG512" s="10"/>
      <c r="FH512" s="539"/>
      <c r="FI512" s="19"/>
      <c r="FK512" s="10"/>
      <c r="FL512" s="539"/>
      <c r="FM512" s="19"/>
      <c r="FO512" s="10"/>
      <c r="FP512" s="539"/>
      <c r="FQ512" s="19"/>
      <c r="FS512" s="10"/>
      <c r="FT512" s="539"/>
      <c r="FU512" s="19"/>
      <c r="FW512" s="10"/>
      <c r="FX512" s="539"/>
      <c r="FY512" s="19"/>
      <c r="GA512" s="10"/>
      <c r="GB512" s="539"/>
      <c r="GC512" s="19"/>
      <c r="GE512" s="10"/>
      <c r="GF512" s="539"/>
      <c r="GG512" s="19"/>
      <c r="GI512" s="10"/>
      <c r="GJ512" s="539"/>
      <c r="GK512" s="19"/>
      <c r="GM512" s="10"/>
      <c r="GN512" s="539"/>
      <c r="GO512" s="16"/>
      <c r="GQ512" s="10"/>
      <c r="GR512" s="541"/>
      <c r="GS512" s="16"/>
      <c r="GU512" s="10"/>
      <c r="GV512" s="541"/>
      <c r="GW512" s="16"/>
      <c r="GY512" s="10"/>
      <c r="GZ512" s="541"/>
      <c r="HA512" s="16"/>
      <c r="HC512" s="10"/>
      <c r="HD512" s="541"/>
      <c r="HE512" s="16"/>
      <c r="HG512" s="10"/>
      <c r="HH512" s="541"/>
      <c r="HI512" s="16"/>
      <c r="HK512" s="10"/>
      <c r="HL512" s="541"/>
      <c r="HM512" s="16"/>
      <c r="HO512" s="10"/>
      <c r="HP512" s="541"/>
      <c r="HQ512" s="16"/>
      <c r="HS512" s="10"/>
      <c r="HT512" s="539"/>
      <c r="HU512" s="19"/>
      <c r="HW512" s="10"/>
      <c r="HX512" s="539"/>
      <c r="HY512" s="420"/>
      <c r="IA512" s="10"/>
      <c r="IB512" s="539"/>
    </row>
    <row r="513" spans="47:236">
      <c r="AU513" s="210"/>
      <c r="AV513" s="46"/>
      <c r="AW513" s="420"/>
      <c r="BE513" s="15"/>
      <c r="BS513" s="16"/>
      <c r="BW513" s="420"/>
      <c r="BX513" s="540"/>
      <c r="BY513" s="420"/>
      <c r="CA513" s="10"/>
      <c r="CB513" s="540"/>
      <c r="CC513" s="420"/>
      <c r="CE513" s="10"/>
      <c r="CF513" s="540"/>
      <c r="CG513" s="420"/>
      <c r="CI513" s="10"/>
      <c r="CJ513" s="540"/>
      <c r="CK513" s="420"/>
      <c r="CM513" s="10"/>
      <c r="CN513" s="540"/>
      <c r="CO513" s="420"/>
      <c r="CQ513" s="10"/>
      <c r="CR513" s="540"/>
      <c r="CS513" s="420"/>
      <c r="CU513" s="10"/>
      <c r="CV513" s="540"/>
      <c r="CW513" s="420"/>
      <c r="CY513" s="10"/>
      <c r="CZ513" s="540"/>
      <c r="DA513" s="420"/>
      <c r="DC513" s="10"/>
      <c r="DD513" s="540"/>
      <c r="DE513" s="420"/>
      <c r="DG513" s="10"/>
      <c r="DH513" s="540"/>
      <c r="DI513" s="420"/>
      <c r="DK513" s="10"/>
      <c r="DL513" s="540"/>
      <c r="DM513" s="420"/>
      <c r="DO513" s="10"/>
      <c r="DP513" s="540"/>
      <c r="DQ513" s="420"/>
      <c r="DS513" s="10"/>
      <c r="DT513" s="540"/>
      <c r="DU513" s="420"/>
      <c r="DW513" s="10"/>
      <c r="DX513" s="540"/>
      <c r="DY513" s="420"/>
      <c r="EA513" s="10"/>
      <c r="EB513" s="540"/>
      <c r="EC513" s="420"/>
      <c r="EE513" s="10"/>
      <c r="EF513" s="539"/>
      <c r="EG513" s="19"/>
      <c r="EI513" s="10"/>
      <c r="EJ513" s="539"/>
      <c r="EK513" s="19"/>
      <c r="EM513" s="10"/>
      <c r="EN513" s="539"/>
      <c r="EO513" s="19"/>
      <c r="EQ513" s="10"/>
      <c r="ER513" s="539"/>
      <c r="ES513" s="19"/>
      <c r="EU513" s="10"/>
      <c r="EV513" s="539"/>
      <c r="EW513" s="19"/>
      <c r="EY513" s="10"/>
      <c r="EZ513" s="539"/>
      <c r="FA513" s="19"/>
      <c r="FC513" s="10"/>
      <c r="FD513" s="539"/>
      <c r="FE513" s="19"/>
      <c r="FG513" s="10"/>
      <c r="FH513" s="539"/>
      <c r="FI513" s="19"/>
      <c r="FK513" s="10"/>
      <c r="FL513" s="539"/>
      <c r="FM513" s="19"/>
      <c r="FO513" s="10"/>
      <c r="FP513" s="539"/>
      <c r="FQ513" s="19"/>
      <c r="FS513" s="10"/>
      <c r="FT513" s="539"/>
      <c r="FU513" s="19"/>
      <c r="FW513" s="10"/>
      <c r="FX513" s="539"/>
      <c r="FY513" s="19"/>
      <c r="GA513" s="10"/>
      <c r="GB513" s="539"/>
      <c r="GC513" s="19"/>
      <c r="GE513" s="10"/>
      <c r="GF513" s="539"/>
      <c r="GG513" s="19"/>
      <c r="GI513" s="10"/>
      <c r="GJ513" s="539"/>
      <c r="GK513" s="19"/>
      <c r="GM513" s="10"/>
      <c r="GN513" s="539"/>
      <c r="GO513" s="16"/>
      <c r="GQ513" s="10"/>
      <c r="GR513" s="541"/>
      <c r="GS513" s="16"/>
      <c r="GU513" s="10"/>
      <c r="GV513" s="541"/>
      <c r="GW513" s="16"/>
      <c r="GY513" s="10"/>
      <c r="GZ513" s="541"/>
      <c r="HA513" s="16"/>
      <c r="HC513" s="10"/>
      <c r="HD513" s="541"/>
      <c r="HE513" s="16"/>
      <c r="HG513" s="10"/>
      <c r="HH513" s="541"/>
      <c r="HI513" s="16"/>
      <c r="HK513" s="10"/>
      <c r="HL513" s="541"/>
      <c r="HM513" s="16"/>
      <c r="HO513" s="10"/>
      <c r="HP513" s="541"/>
      <c r="HQ513" s="16"/>
      <c r="HS513" s="10"/>
      <c r="HT513" s="539"/>
      <c r="HU513" s="19"/>
      <c r="HW513" s="10"/>
      <c r="HX513" s="539"/>
      <c r="HY513" s="420"/>
      <c r="IA513" s="10"/>
      <c r="IB513" s="539"/>
    </row>
    <row r="514" spans="47:236">
      <c r="AU514" s="210"/>
      <c r="AV514" s="46"/>
      <c r="AW514" s="420"/>
      <c r="BE514" s="15"/>
      <c r="BS514" s="16"/>
      <c r="BW514" s="420"/>
      <c r="BX514" s="540"/>
      <c r="BY514" s="420"/>
      <c r="CA514" s="10"/>
      <c r="CB514" s="540"/>
      <c r="CC514" s="420"/>
      <c r="CE514" s="10"/>
      <c r="CF514" s="540"/>
      <c r="CG514" s="420"/>
      <c r="CI514" s="10"/>
      <c r="CJ514" s="540"/>
      <c r="CK514" s="420"/>
      <c r="CM514" s="10"/>
      <c r="CN514" s="540"/>
      <c r="CO514" s="420"/>
      <c r="CQ514" s="10"/>
      <c r="CR514" s="540"/>
      <c r="CS514" s="420"/>
      <c r="CU514" s="10"/>
      <c r="CV514" s="540"/>
      <c r="CW514" s="420"/>
      <c r="CY514" s="10"/>
      <c r="CZ514" s="540"/>
      <c r="DA514" s="420"/>
      <c r="DC514" s="10"/>
      <c r="DD514" s="540"/>
      <c r="DE514" s="420"/>
      <c r="DG514" s="10"/>
      <c r="DH514" s="540"/>
      <c r="DI514" s="420"/>
      <c r="DK514" s="10"/>
      <c r="DL514" s="540"/>
      <c r="DM514" s="420"/>
      <c r="DO514" s="10"/>
      <c r="DP514" s="540"/>
      <c r="DQ514" s="420"/>
      <c r="DS514" s="10"/>
      <c r="DT514" s="540"/>
      <c r="DU514" s="420"/>
      <c r="DW514" s="10"/>
      <c r="DX514" s="540"/>
      <c r="DY514" s="420"/>
      <c r="EA514" s="10"/>
      <c r="EB514" s="540"/>
      <c r="EC514" s="420"/>
      <c r="EE514" s="10"/>
      <c r="EF514" s="539"/>
      <c r="EG514" s="19"/>
      <c r="EI514" s="10"/>
      <c r="EJ514" s="539"/>
      <c r="EK514" s="19"/>
      <c r="EM514" s="10"/>
      <c r="EN514" s="539"/>
      <c r="EO514" s="19"/>
      <c r="EQ514" s="10"/>
      <c r="ER514" s="539"/>
      <c r="ES514" s="19"/>
      <c r="EU514" s="10"/>
      <c r="EV514" s="539"/>
      <c r="EW514" s="19"/>
      <c r="EY514" s="10"/>
      <c r="EZ514" s="539"/>
      <c r="FA514" s="19"/>
      <c r="FC514" s="10"/>
      <c r="FD514" s="539"/>
      <c r="FE514" s="19"/>
      <c r="FG514" s="10"/>
      <c r="FH514" s="539"/>
      <c r="FI514" s="19"/>
      <c r="FK514" s="10"/>
      <c r="FL514" s="539"/>
      <c r="FM514" s="19"/>
      <c r="FO514" s="10"/>
      <c r="FP514" s="539"/>
      <c r="FQ514" s="19"/>
      <c r="FS514" s="10"/>
      <c r="FT514" s="539"/>
      <c r="FU514" s="19"/>
      <c r="FW514" s="10"/>
      <c r="FX514" s="539"/>
      <c r="FY514" s="19"/>
      <c r="GA514" s="10"/>
      <c r="GB514" s="539"/>
      <c r="GC514" s="19"/>
      <c r="GE514" s="10"/>
      <c r="GF514" s="539"/>
      <c r="GG514" s="19"/>
      <c r="GI514" s="10"/>
      <c r="GJ514" s="539"/>
      <c r="GK514" s="19"/>
      <c r="GM514" s="10"/>
      <c r="GN514" s="539"/>
      <c r="GO514" s="16"/>
      <c r="GQ514" s="10"/>
      <c r="GR514" s="541"/>
      <c r="GS514" s="16"/>
      <c r="GU514" s="10"/>
      <c r="GV514" s="541"/>
      <c r="GW514" s="16"/>
      <c r="GY514" s="10"/>
      <c r="GZ514" s="541"/>
      <c r="HA514" s="16"/>
      <c r="HC514" s="10"/>
      <c r="HD514" s="541"/>
      <c r="HE514" s="16"/>
      <c r="HG514" s="10"/>
      <c r="HH514" s="541"/>
      <c r="HI514" s="16"/>
      <c r="HK514" s="10"/>
      <c r="HL514" s="541"/>
      <c r="HM514" s="16"/>
      <c r="HO514" s="10"/>
      <c r="HP514" s="541"/>
      <c r="HQ514" s="16"/>
      <c r="HS514" s="10"/>
      <c r="HT514" s="539"/>
      <c r="HU514" s="19"/>
      <c r="HW514" s="10"/>
      <c r="HX514" s="539"/>
      <c r="HY514" s="420"/>
      <c r="IA514" s="10"/>
      <c r="IB514" s="539"/>
    </row>
    <row r="515" spans="47:236">
      <c r="AU515" s="210"/>
      <c r="AV515" s="46"/>
      <c r="AW515" s="420"/>
      <c r="BE515" s="15"/>
      <c r="BS515" s="16"/>
      <c r="BW515" s="420"/>
      <c r="BX515" s="540"/>
      <c r="BY515" s="420"/>
      <c r="CA515" s="10"/>
      <c r="CB515" s="540"/>
      <c r="CC515" s="420"/>
      <c r="CE515" s="10"/>
      <c r="CF515" s="540"/>
      <c r="CG515" s="420"/>
      <c r="CI515" s="10"/>
      <c r="CJ515" s="540"/>
      <c r="CK515" s="420"/>
      <c r="CM515" s="10"/>
      <c r="CN515" s="540"/>
      <c r="CO515" s="420"/>
      <c r="CQ515" s="10"/>
      <c r="CR515" s="540"/>
      <c r="CS515" s="420"/>
      <c r="CU515" s="10"/>
      <c r="CV515" s="540"/>
      <c r="CW515" s="420"/>
      <c r="CY515" s="10"/>
      <c r="CZ515" s="540"/>
      <c r="DA515" s="420"/>
      <c r="DC515" s="10"/>
      <c r="DD515" s="540"/>
      <c r="DE515" s="420"/>
      <c r="DG515" s="10"/>
      <c r="DH515" s="540"/>
      <c r="DI515" s="420"/>
      <c r="DK515" s="10"/>
      <c r="DL515" s="540"/>
      <c r="DM515" s="420"/>
      <c r="DO515" s="10"/>
      <c r="DP515" s="540"/>
      <c r="DQ515" s="420"/>
      <c r="DS515" s="10"/>
      <c r="DT515" s="540"/>
      <c r="DU515" s="420"/>
      <c r="DW515" s="10"/>
      <c r="DX515" s="540"/>
      <c r="DY515" s="420"/>
      <c r="EA515" s="10"/>
      <c r="EB515" s="540"/>
      <c r="EC515" s="420"/>
      <c r="EE515" s="10"/>
      <c r="EF515" s="539"/>
      <c r="EG515" s="19"/>
      <c r="EI515" s="10"/>
      <c r="EJ515" s="539"/>
      <c r="EK515" s="19"/>
      <c r="EM515" s="10"/>
      <c r="EN515" s="539"/>
      <c r="EO515" s="19"/>
      <c r="EQ515" s="10"/>
      <c r="ER515" s="539"/>
      <c r="ES515" s="19"/>
      <c r="EU515" s="10"/>
      <c r="EV515" s="539"/>
      <c r="EW515" s="19"/>
      <c r="EY515" s="10"/>
      <c r="EZ515" s="539"/>
      <c r="FA515" s="19"/>
      <c r="FC515" s="10"/>
      <c r="FD515" s="539"/>
      <c r="FE515" s="19"/>
      <c r="FG515" s="10"/>
      <c r="FH515" s="539"/>
      <c r="FI515" s="19"/>
      <c r="FK515" s="10"/>
      <c r="FL515" s="539"/>
      <c r="FM515" s="19"/>
      <c r="FO515" s="10"/>
      <c r="FP515" s="539"/>
      <c r="FQ515" s="19"/>
      <c r="FS515" s="10"/>
      <c r="FT515" s="539"/>
      <c r="FU515" s="19"/>
      <c r="FW515" s="10"/>
      <c r="FX515" s="539"/>
      <c r="FY515" s="19"/>
      <c r="GA515" s="10"/>
      <c r="GB515" s="539"/>
      <c r="GC515" s="19"/>
      <c r="GE515" s="10"/>
      <c r="GF515" s="539"/>
      <c r="GG515" s="19"/>
      <c r="GI515" s="10"/>
      <c r="GJ515" s="539"/>
      <c r="GK515" s="19"/>
      <c r="GM515" s="10"/>
      <c r="GN515" s="539"/>
      <c r="GO515" s="16"/>
      <c r="GQ515" s="10"/>
      <c r="GR515" s="541"/>
      <c r="GS515" s="16"/>
      <c r="GU515" s="10"/>
      <c r="GV515" s="541"/>
      <c r="GW515" s="16"/>
      <c r="GY515" s="10"/>
      <c r="GZ515" s="541"/>
      <c r="HA515" s="16"/>
      <c r="HC515" s="10"/>
      <c r="HD515" s="541"/>
      <c r="HE515" s="16"/>
      <c r="HG515" s="10"/>
      <c r="HH515" s="541"/>
      <c r="HI515" s="16"/>
      <c r="HK515" s="10"/>
      <c r="HL515" s="541"/>
      <c r="HM515" s="16"/>
      <c r="HO515" s="10"/>
      <c r="HP515" s="541"/>
      <c r="HQ515" s="16"/>
      <c r="HS515" s="10"/>
      <c r="HT515" s="539"/>
      <c r="HU515" s="19"/>
      <c r="HW515" s="10"/>
      <c r="HX515" s="539"/>
      <c r="HY515" s="420"/>
      <c r="IA515" s="10"/>
      <c r="IB515" s="539"/>
    </row>
    <row r="516" spans="47:236">
      <c r="AU516" s="210"/>
      <c r="AV516" s="46"/>
      <c r="AW516" s="420"/>
      <c r="BE516" s="15"/>
    </row>
    <row r="517" spans="47:236">
      <c r="AU517" s="210"/>
      <c r="AV517" s="46"/>
      <c r="AW517" s="420"/>
      <c r="BE517" s="15"/>
    </row>
    <row r="518" spans="47:236">
      <c r="AU518" s="210"/>
      <c r="AV518" s="46"/>
      <c r="AW518" s="420"/>
      <c r="BD518" s="15"/>
      <c r="BE518" s="15"/>
    </row>
    <row r="519" spans="47:236">
      <c r="AU519" s="210"/>
      <c r="AV519" s="46"/>
      <c r="AW519" s="420"/>
      <c r="BE519" s="15"/>
    </row>
    <row r="520" spans="47:236">
      <c r="AU520" s="210"/>
      <c r="AV520" s="46"/>
      <c r="AW520" s="420"/>
      <c r="BE520" s="15"/>
    </row>
    <row r="521" spans="47:236">
      <c r="AU521" s="210"/>
      <c r="AV521" s="46"/>
      <c r="AW521" s="420"/>
      <c r="BE521" s="15"/>
    </row>
    <row r="522" spans="47:236">
      <c r="AU522" s="210"/>
      <c r="AV522" s="46"/>
      <c r="AW522" s="420"/>
      <c r="BE522" s="15"/>
    </row>
    <row r="523" spans="47:236">
      <c r="AU523" s="210"/>
      <c r="AV523" s="46"/>
      <c r="AW523" s="420"/>
      <c r="BE523" s="15"/>
    </row>
    <row r="524" spans="47:236">
      <c r="AU524" s="210"/>
      <c r="AV524" s="46"/>
      <c r="AW524" s="420"/>
      <c r="BE524" s="15"/>
    </row>
    <row r="525" spans="47:236">
      <c r="AU525" s="210"/>
      <c r="AV525" s="46"/>
      <c r="AW525" s="420"/>
      <c r="BE525" s="15"/>
    </row>
    <row r="526" spans="47:236">
      <c r="AU526" s="210"/>
      <c r="AV526" s="46"/>
      <c r="AW526" s="420"/>
      <c r="BE526" s="15"/>
    </row>
    <row r="527" spans="47:236">
      <c r="AU527" s="210"/>
      <c r="AV527" s="46"/>
      <c r="AW527" s="420"/>
      <c r="BE527" s="15"/>
    </row>
    <row r="528" spans="47:236">
      <c r="AU528" s="210"/>
      <c r="AV528" s="46"/>
      <c r="AW528" s="420"/>
      <c r="BE528" s="15"/>
    </row>
    <row r="529" spans="47:57">
      <c r="AU529" s="210"/>
      <c r="AV529" s="46"/>
      <c r="AW529" s="420"/>
      <c r="BE529" s="15"/>
    </row>
    <row r="530" spans="47:57">
      <c r="AU530" s="210"/>
      <c r="AV530" s="46"/>
      <c r="AW530" s="420"/>
      <c r="BE530" s="15"/>
    </row>
    <row r="531" spans="47:57">
      <c r="AU531" s="210"/>
      <c r="AV531" s="46"/>
      <c r="AW531" s="420"/>
      <c r="BE531" s="15"/>
    </row>
    <row r="532" spans="47:57">
      <c r="AU532" s="210"/>
      <c r="AV532" s="46"/>
      <c r="AW532" s="420"/>
      <c r="BE532" s="15"/>
    </row>
    <row r="533" spans="47:57">
      <c r="AU533" s="210"/>
      <c r="AV533" s="46"/>
      <c r="AW533" s="420"/>
      <c r="BE533" s="15"/>
    </row>
    <row r="534" spans="47:57">
      <c r="AU534" s="210"/>
      <c r="AV534" s="46"/>
      <c r="AW534" s="420"/>
      <c r="BE534" s="15"/>
    </row>
    <row r="536" spans="47:57">
      <c r="AV536" s="210"/>
      <c r="AW536" s="894"/>
    </row>
    <row r="537" spans="47:57">
      <c r="AV537" s="210"/>
      <c r="AW537" s="894"/>
    </row>
    <row r="543" spans="47:57">
      <c r="AU543" s="175"/>
    </row>
    <row r="544" spans="47:57">
      <c r="AU544" s="19"/>
    </row>
    <row r="545" spans="47:47">
      <c r="AU545" s="1307"/>
    </row>
    <row r="546" spans="47:47">
      <c r="AU546" s="19"/>
    </row>
  </sheetData>
  <sortState ref="A154:A162">
    <sortCondition ref="A154"/>
  </sortState>
  <mergeCells count="1">
    <mergeCell ref="BB75:BC75"/>
  </mergeCells>
  <phoneticPr fontId="0" type="noConversion"/>
  <conditionalFormatting sqref="T2:T140">
    <cfRule type="cellIs" dxfId="72" priority="123" operator="lessThan">
      <formula>1</formula>
    </cfRule>
  </conditionalFormatting>
  <conditionalFormatting sqref="BC96:BC109">
    <cfRule type="containsText" dxfId="71" priority="104" operator="containsText" text="Between">
      <formula>NOT(ISERROR(SEARCH("Between",BC96)))</formula>
    </cfRule>
    <cfRule type="containsText" dxfId="70" priority="105" operator="containsText" text="At low">
      <formula>NOT(ISERROR(SEARCH("At low",BC96)))</formula>
    </cfRule>
    <cfRule type="containsText" dxfId="69" priority="106" operator="containsText" text="At high">
      <formula>NOT(ISERROR(SEARCH("At high",BC96)))</formula>
    </cfRule>
  </conditionalFormatting>
  <conditionalFormatting sqref="BA77:BA90">
    <cfRule type="cellIs" dxfId="68" priority="129" operator="greaterThan">
      <formula>0</formula>
    </cfRule>
    <cfRule type="cellIs" dxfId="67" priority="130" operator="lessThan">
      <formula>0</formula>
    </cfRule>
  </conditionalFormatting>
  <conditionalFormatting sqref="AG207:AG233">
    <cfRule type="cellIs" dxfId="66" priority="89" operator="equal">
      <formula>"moderate concentration"</formula>
    </cfRule>
    <cfRule type="cellIs" dxfId="65" priority="90" operator="equal">
      <formula>"diversified"</formula>
    </cfRule>
    <cfRule type="cellIs" dxfId="64" priority="92" operator="equal">
      <formula>"too concentrated"</formula>
    </cfRule>
  </conditionalFormatting>
  <conditionalFormatting sqref="AC239 AC205 AU134:AV134 AV112:AV127">
    <cfRule type="cellIs" dxfId="63" priority="111" operator="lessThan">
      <formula>0</formula>
    </cfRule>
    <cfRule type="cellIs" dxfId="62" priority="112" operator="greaterThan">
      <formula>0</formula>
    </cfRule>
  </conditionalFormatting>
  <conditionalFormatting sqref="H154:I156 BD77:BD86 L2:M146">
    <cfRule type="cellIs" dxfId="61" priority="85" operator="greaterThan">
      <formula>0</formula>
    </cfRule>
    <cfRule type="cellIs" dxfId="60" priority="86" operator="lessThan">
      <formula>0</formula>
    </cfRule>
  </conditionalFormatting>
  <conditionalFormatting sqref="AA248 AA258 AB242:AC242 AA214 AA224 L154:M156 G176:G179 F169:G175 AB208:AC208 BE86 AW92 BI86:BJ86 BE77:BE84 BH77:BH86 BD89:BE90 BD59:BD70 F176:F177 F179:F181">
    <cfRule type="cellIs" dxfId="59" priority="75" operator="lessThan">
      <formula>0</formula>
    </cfRule>
    <cfRule type="cellIs" dxfId="58" priority="76" operator="greaterThan">
      <formula>0</formula>
    </cfRule>
  </conditionalFormatting>
  <conditionalFormatting sqref="AY427:AZ431 AY433:AZ434 AY437:AZ439">
    <cfRule type="cellIs" dxfId="57" priority="62" operator="greaterThan">
      <formula>0</formula>
    </cfRule>
  </conditionalFormatting>
  <conditionalFormatting sqref="AY427:AZ431 AY433:AZ434 AY437:AZ439">
    <cfRule type="cellIs" dxfId="56" priority="61" operator="lessThan">
      <formula>0</formula>
    </cfRule>
  </conditionalFormatting>
  <conditionalFormatting sqref="H141:H146">
    <cfRule type="top10" dxfId="55" priority="55" percent="1" bottom="1" rank="10"/>
    <cfRule type="top10" dxfId="54" priority="56" percent="1" rank="10"/>
  </conditionalFormatting>
  <conditionalFormatting sqref="AV446:BD454">
    <cfRule type="cellIs" dxfId="53" priority="52" operator="greaterThan">
      <formula>1</formula>
    </cfRule>
  </conditionalFormatting>
  <conditionalFormatting sqref="V2:V140">
    <cfRule type="top10" dxfId="52" priority="8176" stopIfTrue="1" percent="1" rank="1"/>
  </conditionalFormatting>
  <conditionalFormatting sqref="E202:E211">
    <cfRule type="top10" dxfId="51" priority="32" percent="1" bottom="1" rank="1"/>
    <cfRule type="top10" dxfId="50" priority="33" percent="1" rank="1"/>
  </conditionalFormatting>
  <conditionalFormatting sqref="F202:F211">
    <cfRule type="top10" dxfId="49" priority="30" percent="1" bottom="1" rank="1"/>
    <cfRule type="top10" dxfId="48" priority="31" percent="1" rank="1"/>
  </conditionalFormatting>
  <conditionalFormatting sqref="G202:G211">
    <cfRule type="top10" dxfId="47" priority="28" percent="1" bottom="1" rank="1"/>
    <cfRule type="top10" dxfId="46" priority="29" percent="1" rank="1"/>
  </conditionalFormatting>
  <conditionalFormatting sqref="E216:E224">
    <cfRule type="top10" dxfId="45" priority="8279" percent="1" bottom="1" rank="1"/>
    <cfRule type="top10" dxfId="44" priority="8280" percent="1" rank="1"/>
  </conditionalFormatting>
  <conditionalFormatting sqref="F216:F224">
    <cfRule type="top10" dxfId="43" priority="8283" percent="1" bottom="1" rank="1"/>
    <cfRule type="top10" dxfId="42" priority="8284" percent="1" rank="1"/>
  </conditionalFormatting>
  <conditionalFormatting sqref="G216:G224">
    <cfRule type="top10" dxfId="41" priority="8287" percent="1" bottom="1" rank="1"/>
    <cfRule type="top10" dxfId="40" priority="8288" percent="1" rank="1"/>
  </conditionalFormatting>
  <conditionalFormatting sqref="H202:H211">
    <cfRule type="top10" dxfId="39" priority="8" percent="1" bottom="1" rank="1"/>
    <cfRule type="top10" dxfId="38" priority="9" percent="1" rank="1"/>
  </conditionalFormatting>
  <conditionalFormatting sqref="H216:H224">
    <cfRule type="top10" dxfId="37" priority="6" percent="1" bottom="1" rank="1"/>
    <cfRule type="top10" dxfId="36" priority="7" percent="1" rank="1"/>
  </conditionalFormatting>
  <conditionalFormatting sqref="E227:E233">
    <cfRule type="top10" dxfId="35" priority="8781" percent="1" bottom="1" rank="1"/>
    <cfRule type="top10" dxfId="34" priority="8782" percent="1" rank="1"/>
  </conditionalFormatting>
  <conditionalFormatting sqref="F227:F233">
    <cfRule type="top10" dxfId="33" priority="8783" percent="1" bottom="1" rank="1"/>
    <cfRule type="top10" dxfId="32" priority="8784" percent="1" rank="1"/>
  </conditionalFormatting>
  <conditionalFormatting sqref="G227:G233">
    <cfRule type="top10" dxfId="31" priority="8785" percent="1" bottom="1" rank="1"/>
    <cfRule type="top10" dxfId="30" priority="8786" percent="1" rank="1"/>
  </conditionalFormatting>
  <conditionalFormatting sqref="H227:H233">
    <cfRule type="top10" dxfId="29" priority="8787" percent="1" bottom="1" rank="1"/>
    <cfRule type="top10" dxfId="28" priority="8788" percent="1" rank="1"/>
  </conditionalFormatting>
  <conditionalFormatting sqref="IF33:II37 IG23 IF16 IP22 IH22 II19:IL19 II23:IK28 IM28:IN28 IO16">
    <cfRule type="cellIs" dxfId="27" priority="107" operator="equal">
      <formula>"Undervalued"</formula>
    </cfRule>
    <cfRule type="cellIs" dxfId="26" priority="108" operator="equal">
      <formula>"Overvalued"</formula>
    </cfRule>
  </conditionalFormatting>
  <conditionalFormatting sqref="B38">
    <cfRule type="cellIs" dxfId="25" priority="2" operator="equal">
      <formula>"Buy (or don't sell)"</formula>
    </cfRule>
    <cfRule type="cellIs" dxfId="24" priority="3" operator="equal">
      <formula>"Sell (or don't buy)"</formula>
    </cfRule>
  </conditionalFormatting>
  <conditionalFormatting sqref="Q2:Q141">
    <cfRule type="top10" dxfId="23" priority="8931" stopIfTrue="1" rank="1"/>
  </conditionalFormatting>
  <conditionalFormatting sqref="P2:P140">
    <cfRule type="top10" dxfId="22" priority="8933" stopIfTrue="1" percent="1" bottom="1" rank="1"/>
  </conditionalFormatting>
  <conditionalFormatting sqref="R2:R141">
    <cfRule type="top10" dxfId="21" priority="8935" stopIfTrue="1" percent="1" rank="1"/>
  </conditionalFormatting>
  <conditionalFormatting sqref="X2:X140">
    <cfRule type="top10" dxfId="20" priority="8937" stopIfTrue="1" percent="1" rank="1"/>
  </conditionalFormatting>
  <conditionalFormatting sqref="AF2:AF146">
    <cfRule type="top10" dxfId="19" priority="8939" stopIfTrue="1" percent="1" bottom="1" rank="1"/>
  </conditionalFormatting>
  <conditionalFormatting sqref="AB2:AB140">
    <cfRule type="top10" dxfId="18" priority="8941" percent="1" bottom="1" rank="1"/>
  </conditionalFormatting>
  <conditionalFormatting sqref="H2:H140">
    <cfRule type="top10" dxfId="17" priority="8943" percent="1" bottom="1" rank="10"/>
    <cfRule type="top10" dxfId="16" priority="8944" percent="1" rank="10"/>
  </conditionalFormatting>
  <conditionalFormatting sqref="O2:O140">
    <cfRule type="top10" dxfId="15" priority="8947" percent="1" rank="1"/>
    <cfRule type="cellIs" dxfId="14" priority="8948" operator="greaterThan">
      <formula>0</formula>
    </cfRule>
  </conditionalFormatting>
  <conditionalFormatting sqref="W2:W146">
    <cfRule type="top10" dxfId="13" priority="1" percent="1" rank="1"/>
  </conditionalFormatting>
  <hyperlinks>
    <hyperlink ref="IF2" r:id="rId1"/>
    <hyperlink ref="AW307" r:id="rId2"/>
  </hyperlinks>
  <pageMargins left="0.75" right="0.75" top="1" bottom="1" header="0.5" footer="0.5"/>
  <pageSetup orientation="portrait" r:id="rId3"/>
  <headerFooter alignWithMargins="0"/>
  <ignoredErrors>
    <ignoredError sqref="IJ18 IJ22 BI79 J187:J188 AF191 J195:J197 T224" formula="1"/>
    <ignoredError sqref="E149 I155 M155 U171 X195:Z196" formulaRange="1"/>
    <ignoredError sqref="I163 I165 S192:S196 AX198 AX200 AZ208 AZ210 AA211 AX218:AX220" evalError="1"/>
  </ignoredErrors>
  <drawing r:id="rId4"/>
  <legacyDrawing r:id="rId5"/>
</worksheet>
</file>

<file path=xl/worksheets/sheet3.xml><?xml version="1.0" encoding="utf-8"?>
<worksheet xmlns="http://schemas.openxmlformats.org/spreadsheetml/2006/main" xmlns:r="http://schemas.openxmlformats.org/officeDocument/2006/relationships">
  <sheetPr codeName="Sheet4"/>
  <dimension ref="A1:X29"/>
  <sheetViews>
    <sheetView zoomScale="120" zoomScaleNormal="120" workbookViewId="0">
      <pane ySplit="1" topLeftCell="A2" activePane="bottomLeft" state="frozen"/>
      <selection activeCell="O24" sqref="O24"/>
      <selection pane="bottomLeft" activeCell="B12" sqref="B12"/>
    </sheetView>
  </sheetViews>
  <sheetFormatPr defaultColWidth="12.140625" defaultRowHeight="12.75"/>
  <cols>
    <col min="1" max="1" width="14.5703125" style="148" bestFit="1" customWidth="1"/>
    <col min="2" max="2" width="12.7109375" style="148" customWidth="1"/>
    <col min="3" max="3" width="10.85546875" style="148" customWidth="1"/>
    <col min="4" max="4" width="10" style="148" bestFit="1" customWidth="1"/>
    <col min="5" max="5" width="11.140625" style="148" customWidth="1"/>
    <col min="6" max="8" width="10.42578125" style="1" bestFit="1" customWidth="1"/>
    <col min="9" max="9" width="9.28515625" style="1" bestFit="1" customWidth="1"/>
    <col min="10" max="10" width="10.42578125" style="1" bestFit="1" customWidth="1"/>
    <col min="11" max="11" width="12" style="1" customWidth="1"/>
    <col min="12" max="16" width="3.140625" style="1" bestFit="1" customWidth="1"/>
    <col min="17" max="17" width="7.5703125" style="1" bestFit="1" customWidth="1"/>
    <col min="18" max="18" width="4" style="2" bestFit="1" customWidth="1"/>
    <col min="19" max="19" width="3.85546875" style="2" bestFit="1" customWidth="1"/>
    <col min="20" max="20" width="3.5703125" style="2" bestFit="1" customWidth="1"/>
    <col min="21" max="21" width="3.85546875" style="2" bestFit="1" customWidth="1"/>
    <col min="22" max="22" width="3.7109375" style="2" bestFit="1" customWidth="1"/>
    <col min="23" max="23" width="3.140625" style="2" bestFit="1" customWidth="1"/>
    <col min="24" max="24" width="7.5703125" style="1" bestFit="1" customWidth="1"/>
    <col min="25" max="25" width="7.42578125" style="2" bestFit="1" customWidth="1"/>
    <col min="26" max="31" width="7.140625" style="2" customWidth="1"/>
    <col min="32" max="32" width="7.42578125" style="2" bestFit="1" customWidth="1"/>
    <col min="33" max="16384" width="12.140625" style="2"/>
  </cols>
  <sheetData>
    <row r="1" spans="1:24" s="5" customFormat="1">
      <c r="A1" s="372" t="s">
        <v>2</v>
      </c>
      <c r="B1" s="372" t="s">
        <v>1</v>
      </c>
      <c r="C1" s="372" t="s">
        <v>0</v>
      </c>
      <c r="D1" s="372" t="s">
        <v>5</v>
      </c>
      <c r="E1" s="372" t="s">
        <v>3</v>
      </c>
      <c r="F1" s="4" t="s">
        <v>15</v>
      </c>
      <c r="G1" s="4" t="s">
        <v>16</v>
      </c>
      <c r="H1" s="4" t="s">
        <v>17</v>
      </c>
      <c r="I1" s="4" t="s">
        <v>18</v>
      </c>
      <c r="J1" s="4" t="s">
        <v>19</v>
      </c>
      <c r="K1" s="4" t="s">
        <v>20</v>
      </c>
      <c r="L1" s="4" t="s">
        <v>21</v>
      </c>
      <c r="M1" s="4" t="s">
        <v>22</v>
      </c>
      <c r="N1" s="4" t="s">
        <v>23</v>
      </c>
      <c r="O1" s="4" t="s">
        <v>24</v>
      </c>
      <c r="P1" s="4" t="s">
        <v>25</v>
      </c>
      <c r="Q1" s="4" t="s">
        <v>27</v>
      </c>
      <c r="R1" s="5" t="s">
        <v>26</v>
      </c>
      <c r="S1" s="5" t="s">
        <v>29</v>
      </c>
      <c r="T1" s="5" t="s">
        <v>30</v>
      </c>
      <c r="U1" s="5" t="s">
        <v>31</v>
      </c>
      <c r="V1" s="5" t="s">
        <v>32</v>
      </c>
      <c r="W1" s="5" t="s">
        <v>33</v>
      </c>
      <c r="X1" s="4" t="s">
        <v>28</v>
      </c>
    </row>
    <row r="2" spans="1:24" s="5" customFormat="1">
      <c r="A2" s="577" t="s">
        <v>1132</v>
      </c>
      <c r="B2" s="576"/>
      <c r="C2" s="576"/>
      <c r="D2" s="576"/>
      <c r="E2" s="576"/>
      <c r="F2" s="4"/>
      <c r="G2" s="4"/>
      <c r="H2" s="4"/>
      <c r="I2" s="4"/>
      <c r="J2" s="4"/>
      <c r="K2" s="4"/>
      <c r="L2" s="4"/>
      <c r="M2" s="4"/>
      <c r="N2" s="4"/>
      <c r="O2" s="4"/>
      <c r="P2" s="4"/>
      <c r="Q2" s="4"/>
      <c r="X2" s="4"/>
    </row>
    <row r="3" spans="1:24" s="5" customFormat="1">
      <c r="A3" s="824">
        <v>15.220499999999999</v>
      </c>
      <c r="B3" s="158">
        <v>17.46</v>
      </c>
      <c r="C3" s="158">
        <v>31.726500000000001</v>
      </c>
      <c r="D3" s="158">
        <v>42.327800000000003</v>
      </c>
      <c r="E3" s="158">
        <v>25.458300000000001</v>
      </c>
      <c r="F3" s="371">
        <f>1/A3</f>
        <v>6.5700863966361156E-2</v>
      </c>
      <c r="G3" s="371">
        <f>1/B3</f>
        <v>5.7273768613974797E-2</v>
      </c>
      <c r="H3" s="371">
        <f>1/C3</f>
        <v>3.1519392306116334E-2</v>
      </c>
      <c r="I3" s="371">
        <f>1/D3</f>
        <v>2.3625135253899327E-2</v>
      </c>
      <c r="J3" s="371">
        <f>1/E3</f>
        <v>3.9279920497440911E-2</v>
      </c>
      <c r="K3" s="371">
        <f>SUM(F3:J3)</f>
        <v>0.21739908063779254</v>
      </c>
      <c r="L3" s="2">
        <f>ROUND(100*F3/K3,0)</f>
        <v>30</v>
      </c>
      <c r="M3" s="2">
        <f>ROUND(100*G3/K3,0)</f>
        <v>26</v>
      </c>
      <c r="N3" s="2">
        <f>ROUND(100*H3/K3,0)</f>
        <v>14</v>
      </c>
      <c r="O3" s="2">
        <f>ROUND(100*I3/K3,0)</f>
        <v>11</v>
      </c>
      <c r="P3" s="2">
        <f>ROUND(100*J3/K3,0)</f>
        <v>18</v>
      </c>
      <c r="Q3" s="2">
        <f>SUM(L3:P3)</f>
        <v>99</v>
      </c>
      <c r="R3" s="2">
        <f>Q3-100</f>
        <v>-1</v>
      </c>
      <c r="S3" s="2">
        <f>IF(R3&lt;0,L3,IF(R3&gt;0,L3-R3,L3))</f>
        <v>30</v>
      </c>
      <c r="T3" s="2">
        <f>M3</f>
        <v>26</v>
      </c>
      <c r="U3" s="2">
        <f>IF(R3&lt;0,N3-R3,IF(R3&gt;0,N3,N3))</f>
        <v>15</v>
      </c>
      <c r="V3" s="2">
        <f>O3</f>
        <v>11</v>
      </c>
      <c r="W3" s="2">
        <f>P3</f>
        <v>18</v>
      </c>
      <c r="X3" s="2">
        <f>SUM(S3:W3)</f>
        <v>100</v>
      </c>
    </row>
    <row r="4" spans="1:24">
      <c r="K4" s="371"/>
      <c r="L4" s="2"/>
      <c r="M4" s="2"/>
      <c r="N4" s="2"/>
      <c r="O4" s="2"/>
      <c r="P4" s="2"/>
      <c r="Q4" s="2"/>
      <c r="X4" s="2"/>
    </row>
    <row r="5" spans="1:24">
      <c r="A5" s="148" t="s">
        <v>1856</v>
      </c>
      <c r="K5" s="371"/>
      <c r="L5" s="2"/>
      <c r="M5" s="2"/>
      <c r="N5" s="2"/>
      <c r="O5" s="2"/>
      <c r="P5" s="2"/>
      <c r="Q5" s="2"/>
      <c r="X5" s="2"/>
    </row>
    <row r="6" spans="1:24">
      <c r="A6" s="148">
        <v>15.0783</v>
      </c>
      <c r="B6" s="148">
        <v>17.916499999999999</v>
      </c>
      <c r="C6" s="148">
        <v>29.804400000000001</v>
      </c>
      <c r="D6" s="148">
        <v>38.254800000000003</v>
      </c>
      <c r="E6" s="148">
        <v>24.257999999999999</v>
      </c>
      <c r="F6" s="148">
        <f>A6</f>
        <v>15.0783</v>
      </c>
      <c r="G6" s="148">
        <f>B6</f>
        <v>17.916499999999999</v>
      </c>
      <c r="H6" s="148">
        <f>C6</f>
        <v>29.804400000000001</v>
      </c>
      <c r="I6" s="148">
        <f>D6</f>
        <v>38.254800000000003</v>
      </c>
      <c r="J6" s="148">
        <f>E6</f>
        <v>24.257999999999999</v>
      </c>
      <c r="K6" s="371">
        <f t="shared" ref="K6" si="0">SUM(F6:J6)</f>
        <v>125.312</v>
      </c>
      <c r="L6" s="2">
        <f t="shared" ref="L6" si="1">ROUND(100*F6/K6,0)</f>
        <v>12</v>
      </c>
      <c r="M6" s="2">
        <f t="shared" ref="M6" si="2">ROUND(100*G6/K6,0)</f>
        <v>14</v>
      </c>
      <c r="N6" s="2">
        <f t="shared" ref="N6" si="3">ROUND(100*H6/K6,0)</f>
        <v>24</v>
      </c>
      <c r="O6" s="2">
        <f t="shared" ref="O6" si="4">ROUND(100*I6/K6,0)</f>
        <v>31</v>
      </c>
      <c r="P6" s="2">
        <f t="shared" ref="P6" si="5">ROUND(100*J6/K6,0)</f>
        <v>19</v>
      </c>
      <c r="Q6" s="2">
        <f t="shared" ref="Q6" si="6">SUM(L6:P6)</f>
        <v>100</v>
      </c>
      <c r="R6" s="2">
        <f t="shared" ref="R6" si="7">Q6-100</f>
        <v>0</v>
      </c>
      <c r="S6" s="2">
        <f t="shared" ref="S6" si="8">IF(R6&lt;0,L6,IF(R6&gt;0,L6-R6,L6))</f>
        <v>12</v>
      </c>
      <c r="T6" s="2">
        <f t="shared" ref="T6" si="9">M6</f>
        <v>14</v>
      </c>
      <c r="U6" s="2">
        <f t="shared" ref="U6" si="10">IF(R6&lt;0,N6-R6,IF(R6&gt;0,N6,N6))</f>
        <v>24</v>
      </c>
      <c r="V6" s="2">
        <f t="shared" ref="V6" si="11">O6</f>
        <v>31</v>
      </c>
      <c r="W6" s="2">
        <f t="shared" ref="W6" si="12">P6</f>
        <v>19</v>
      </c>
      <c r="X6" s="2">
        <f t="shared" ref="X6" si="13">SUM(S6:W6)</f>
        <v>100</v>
      </c>
    </row>
    <row r="19" spans="1:13">
      <c r="A19" s="435" t="s">
        <v>433</v>
      </c>
    </row>
    <row r="20" spans="1:13">
      <c r="A20" s="148">
        <f>Stocks!AV84</f>
        <v>145612.19104130002</v>
      </c>
      <c r="M20" s="373"/>
    </row>
    <row r="25" spans="1:13">
      <c r="A25" s="1387" t="s">
        <v>1253</v>
      </c>
    </row>
    <row r="26" spans="1:13">
      <c r="A26" s="1386" t="s">
        <v>1132</v>
      </c>
    </row>
    <row r="27" spans="1:13">
      <c r="A27" s="1386" t="s">
        <v>1252</v>
      </c>
    </row>
    <row r="28" spans="1:13">
      <c r="A28" s="1386" t="s">
        <v>1856</v>
      </c>
    </row>
    <row r="29" spans="1:13">
      <c r="A29" s="1386"/>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sheetPr codeName="Sheet7"/>
  <dimension ref="B1:GI780"/>
  <sheetViews>
    <sheetView zoomScale="80" zoomScaleNormal="80" workbookViewId="0">
      <selection activeCell="B3" sqref="B3"/>
    </sheetView>
  </sheetViews>
  <sheetFormatPr defaultColWidth="22.28515625" defaultRowHeight="12.75"/>
  <cols>
    <col min="1" max="1" width="2.42578125" style="53" customWidth="1"/>
    <col min="2" max="2" width="16" style="53" customWidth="1"/>
    <col min="3" max="3" width="19.5703125" style="53" customWidth="1"/>
    <col min="4" max="4" width="24.28515625" style="53" customWidth="1"/>
    <col min="5" max="5" width="16" style="53" customWidth="1"/>
    <col min="6" max="6" width="17.42578125" style="53" customWidth="1"/>
    <col min="7" max="7" width="15.140625" style="53" customWidth="1"/>
    <col min="8" max="8" width="14" style="38" customWidth="1"/>
    <col min="9" max="9" width="26.42578125" style="38" customWidth="1"/>
    <col min="10" max="10" width="23.85546875" style="38" bestFit="1" customWidth="1"/>
    <col min="11" max="11" width="24" style="38" bestFit="1" customWidth="1"/>
    <col min="12" max="12" width="18.140625" style="38" bestFit="1" customWidth="1"/>
    <col min="13" max="13" width="29.28515625" style="38" bestFit="1" customWidth="1"/>
    <col min="14" max="14" width="15.42578125" style="38" customWidth="1"/>
    <col min="15" max="15" width="21.42578125" style="53" bestFit="1" customWidth="1"/>
    <col min="16" max="16" width="15.140625" style="53" bestFit="1" customWidth="1"/>
    <col min="17" max="17" width="15.140625" style="53" customWidth="1"/>
    <col min="18" max="18" width="13.5703125" style="53" customWidth="1"/>
    <col min="19" max="19" width="14.85546875" style="53" customWidth="1"/>
    <col min="20" max="20" width="14.85546875" style="214" customWidth="1"/>
    <col min="21" max="21" width="14.85546875" style="53" customWidth="1"/>
    <col min="22" max="22" width="11.7109375" style="205" bestFit="1" customWidth="1"/>
    <col min="23" max="23" width="12.5703125" style="53" customWidth="1"/>
    <col min="24" max="24" width="18.42578125" style="53" customWidth="1"/>
    <col min="25" max="32" width="12.5703125" style="53" customWidth="1"/>
    <col min="33" max="33" width="5.42578125" style="53" customWidth="1"/>
    <col min="34" max="34" width="28.5703125" style="53" bestFit="1" customWidth="1"/>
    <col min="35" max="35" width="10" style="53" bestFit="1" customWidth="1"/>
    <col min="36" max="36" width="12.140625" style="53" bestFit="1" customWidth="1"/>
    <col min="37" max="37" width="6.85546875" style="53" bestFit="1" customWidth="1"/>
    <col min="38" max="38" width="14.28515625" style="53" bestFit="1" customWidth="1"/>
    <col min="39" max="39" width="17.42578125" style="53" bestFit="1" customWidth="1"/>
    <col min="40" max="40" width="13.85546875" style="53" customWidth="1"/>
    <col min="41" max="41" width="15.28515625" style="53" bestFit="1" customWidth="1"/>
    <col min="42" max="42" width="5.42578125" style="53" customWidth="1"/>
    <col min="43" max="43" width="28.5703125" style="53" bestFit="1" customWidth="1"/>
    <col min="44" max="44" width="10" style="53" bestFit="1" customWidth="1"/>
    <col min="45" max="45" width="12.140625" style="53" bestFit="1" customWidth="1"/>
    <col min="46" max="46" width="6.85546875" style="53" bestFit="1" customWidth="1"/>
    <col min="47" max="47" width="14.28515625" style="53" bestFit="1" customWidth="1"/>
    <col min="48" max="48" width="17.42578125" style="53" bestFit="1" customWidth="1"/>
    <col min="49" max="49" width="11" style="53" bestFit="1" customWidth="1"/>
    <col min="50" max="50" width="11.7109375" style="53" bestFit="1" customWidth="1"/>
    <col min="51" max="51" width="5.42578125" style="53" customWidth="1"/>
    <col min="52" max="52" width="5.85546875" style="53" bestFit="1" customWidth="1"/>
    <col min="53" max="53" width="19.7109375" style="53" bestFit="1" customWidth="1"/>
    <col min="54" max="54" width="30.5703125" style="53" bestFit="1" customWidth="1"/>
    <col min="55" max="55" width="10" style="53" bestFit="1" customWidth="1"/>
    <col min="56" max="56" width="7.7109375" style="53" bestFit="1" customWidth="1"/>
    <col min="57" max="57" width="14.42578125" style="53" bestFit="1" customWidth="1"/>
    <col min="58" max="58" width="12.85546875" style="53" customWidth="1"/>
    <col min="59" max="59" width="13" style="53" bestFit="1" customWidth="1"/>
    <col min="60" max="60" width="12.140625" style="53" bestFit="1" customWidth="1"/>
    <col min="61" max="61" width="9.140625" style="53" bestFit="1" customWidth="1"/>
    <col min="62" max="62" width="21.5703125" style="53" bestFit="1" customWidth="1"/>
    <col min="63" max="63" width="16.42578125" style="53" bestFit="1" customWidth="1"/>
    <col min="64" max="64" width="19.140625" style="53" bestFit="1" customWidth="1"/>
    <col min="65" max="65" width="11.85546875" style="53" customWidth="1"/>
    <col min="66" max="66" width="18.7109375" style="53" bestFit="1" customWidth="1"/>
    <col min="67" max="69" width="29.5703125" style="53" bestFit="1" customWidth="1"/>
    <col min="70" max="71" width="5.42578125" style="53" customWidth="1"/>
    <col min="72" max="72" width="5.140625" style="53" bestFit="1" customWidth="1"/>
    <col min="73" max="73" width="19.140625" style="53" bestFit="1" customWidth="1"/>
    <col min="74" max="74" width="15.140625" style="38" bestFit="1" customWidth="1"/>
    <col min="75" max="75" width="8" style="38" bestFit="1" customWidth="1"/>
    <col min="76" max="76" width="6" style="154" bestFit="1" customWidth="1"/>
    <col min="77" max="77" width="11.140625" style="38" bestFit="1" customWidth="1"/>
    <col min="78" max="79" width="12" style="38" customWidth="1"/>
    <col min="80" max="80" width="9.7109375" style="38" bestFit="1" customWidth="1"/>
    <col min="81" max="81" width="12.140625" style="162" bestFit="1" customWidth="1"/>
    <col min="82" max="82" width="18" style="166" bestFit="1" customWidth="1"/>
    <col min="83" max="83" width="13.85546875" style="53" bestFit="1" customWidth="1"/>
    <col min="84" max="84" width="15.85546875" style="153" bestFit="1" customWidth="1"/>
    <col min="85" max="85" width="8.85546875" style="53" customWidth="1"/>
    <col min="86" max="86" width="11.42578125" style="53" customWidth="1"/>
    <col min="87" max="88" width="21.140625" style="53" customWidth="1"/>
    <col min="89" max="89" width="4.28515625" style="53" customWidth="1"/>
    <col min="90" max="90" width="7.28515625" style="53" customWidth="1"/>
    <col min="91" max="91" width="21.140625" style="53" customWidth="1"/>
    <col min="92" max="92" width="16.42578125" style="53" customWidth="1"/>
    <col min="93" max="93" width="16.7109375" style="53" bestFit="1" customWidth="1"/>
    <col min="94" max="94" width="15.7109375" style="171" bestFit="1" customWidth="1"/>
    <col min="95" max="95" width="16.7109375" style="53" bestFit="1" customWidth="1"/>
    <col min="96" max="97" width="12.7109375" style="53" customWidth="1"/>
    <col min="98" max="98" width="9.7109375" style="53" bestFit="1" customWidth="1"/>
    <col min="99" max="99" width="8.85546875" style="53" bestFit="1" customWidth="1"/>
    <col min="100" max="100" width="18" style="53" bestFit="1" customWidth="1"/>
    <col min="101" max="101" width="13.85546875" style="53" bestFit="1" customWidth="1"/>
    <col min="102" max="102" width="15.85546875" style="53" bestFit="1" customWidth="1"/>
    <col min="103" max="103" width="12.140625" style="153" bestFit="1" customWidth="1"/>
    <col min="104" max="104" width="12.140625" style="153" customWidth="1"/>
    <col min="105" max="106" width="21.140625" style="53" customWidth="1"/>
    <col min="107" max="107" width="5.140625" style="53" customWidth="1"/>
    <col min="108" max="108" width="5.85546875" style="53" bestFit="1" customWidth="1"/>
    <col min="109" max="109" width="19.85546875" style="392" bestFit="1" customWidth="1"/>
    <col min="110" max="110" width="15.7109375" style="53" bestFit="1" customWidth="1"/>
    <col min="111" max="111" width="9.28515625" style="53" customWidth="1"/>
    <col min="112" max="112" width="12" style="171" customWidth="1"/>
    <col min="113" max="113" width="11.85546875" style="53" bestFit="1" customWidth="1"/>
    <col min="114" max="114" width="11.28515625" style="53" bestFit="1" customWidth="1"/>
    <col min="115" max="115" width="10.85546875" style="53" customWidth="1"/>
    <col min="116" max="116" width="9.7109375" style="53" bestFit="1" customWidth="1"/>
    <col min="117" max="117" width="10.42578125" style="53" customWidth="1"/>
    <col min="118" max="118" width="18.140625" style="53" bestFit="1" customWidth="1"/>
    <col min="119" max="119" width="14" style="53" bestFit="1" customWidth="1"/>
    <col min="120" max="120" width="16" style="53" bestFit="1" customWidth="1"/>
    <col min="121" max="122" width="9.85546875" style="153" customWidth="1"/>
    <col min="123" max="124" width="21.140625" style="53" customWidth="1"/>
    <col min="125" max="125" width="21.140625" style="153" customWidth="1"/>
    <col min="126" max="126" width="21.140625" style="53" customWidth="1"/>
    <col min="127" max="128" width="21.140625" style="679" customWidth="1"/>
    <col min="129" max="129" width="21.140625" style="548" customWidth="1"/>
    <col min="130" max="130" width="21.140625" style="679" customWidth="1"/>
    <col min="131" max="131" width="4.85546875" style="53" customWidth="1"/>
    <col min="132" max="132" width="23" style="53" customWidth="1"/>
    <col min="133" max="133" width="10" style="214" customWidth="1"/>
    <col min="134" max="134" width="9.140625" style="38" customWidth="1"/>
    <col min="135" max="135" width="10.85546875" style="53" bestFit="1" customWidth="1"/>
    <col min="136" max="136" width="13" style="53" bestFit="1" customWidth="1"/>
    <col min="137" max="137" width="10.85546875" style="53" bestFit="1" customWidth="1"/>
    <col min="138" max="138" width="6.28515625" style="53" customWidth="1"/>
    <col min="139" max="139" width="14.28515625" style="53" customWidth="1"/>
    <col min="140" max="140" width="12.140625" style="38" bestFit="1" customWidth="1"/>
    <col min="141" max="141" width="15.140625" style="53" bestFit="1" customWidth="1"/>
    <col min="142" max="142" width="8.5703125" style="53" customWidth="1"/>
    <col min="143" max="143" width="10" style="53" customWidth="1"/>
    <col min="144" max="144" width="11.85546875" style="153" customWidth="1"/>
    <col min="145" max="145" width="10" style="214" customWidth="1"/>
    <col min="146" max="147" width="10" style="153" customWidth="1"/>
    <col min="148" max="148" width="10.28515625" style="153" customWidth="1"/>
    <col min="149" max="149" width="10.28515625" style="53" customWidth="1"/>
    <col min="150" max="150" width="19.85546875" style="38" bestFit="1" customWidth="1"/>
    <col min="151" max="151" width="7" style="43" customWidth="1"/>
    <col min="152" max="152" width="9.140625" style="38" bestFit="1" customWidth="1"/>
    <col min="153" max="155" width="10.85546875" style="38" bestFit="1" customWidth="1"/>
    <col min="156" max="156" width="11.5703125" style="53" customWidth="1"/>
    <col min="157" max="157" width="8.5703125" style="38" customWidth="1"/>
    <col min="158" max="158" width="15.140625" style="38" bestFit="1" customWidth="1"/>
    <col min="159" max="159" width="8.5703125" style="38" bestFit="1" customWidth="1"/>
    <col min="160" max="160" width="7.7109375" style="38" customWidth="1"/>
    <col min="161" max="161" width="9.7109375" style="153" customWidth="1"/>
    <col min="162" max="162" width="10" style="214" customWidth="1"/>
    <col min="163" max="163" width="3.28515625" style="53" customWidth="1"/>
    <col min="164" max="165" width="22.28515625" style="53"/>
    <col min="166" max="166" width="16.85546875" style="67" bestFit="1" customWidth="1"/>
    <col min="167" max="167" width="11.85546875" style="58" customWidth="1"/>
    <col min="168" max="168" width="22.5703125" style="38" customWidth="1"/>
    <col min="169" max="169" width="21.28515625" style="53" bestFit="1" customWidth="1"/>
    <col min="170" max="170" width="20.28515625" style="53" bestFit="1" customWidth="1"/>
    <col min="171" max="171" width="17.140625" style="53" bestFit="1" customWidth="1"/>
    <col min="172" max="172" width="21.28515625" style="53" bestFit="1" customWidth="1"/>
    <col min="173" max="173" width="20.28515625" style="53" bestFit="1" customWidth="1"/>
    <col min="174" max="174" width="12.85546875" style="67" customWidth="1"/>
    <col min="175" max="175" width="22.28515625" style="38"/>
    <col min="176" max="176" width="22.28515625" style="43"/>
    <col min="177" max="177" width="22.28515625" style="548"/>
    <col min="178" max="179" width="22.28515625" style="53"/>
    <col min="180" max="180" width="18" style="53" customWidth="1"/>
    <col min="181" max="181" width="10.85546875" style="53" customWidth="1"/>
    <col min="182" max="182" width="10.5703125" style="53" customWidth="1"/>
    <col min="183" max="16384" width="22.28515625" style="53"/>
  </cols>
  <sheetData>
    <row r="1" spans="2:191" ht="13.5" thickBot="1">
      <c r="D1" s="70" t="s">
        <v>145</v>
      </c>
      <c r="F1" s="1" t="s">
        <v>124</v>
      </c>
      <c r="G1" s="54">
        <f ca="1">TODAY()</f>
        <v>42772</v>
      </c>
      <c r="H1" s="69"/>
      <c r="I1" s="1208" t="str">
        <f>IF(D4&gt;=25,"no leftover really w savings bonds","")</f>
        <v>no leftover really w savings bonds</v>
      </c>
      <c r="J1" s="1209" t="s">
        <v>2335</v>
      </c>
      <c r="K1" s="788" t="s">
        <v>1096</v>
      </c>
      <c r="L1" s="788" t="s">
        <v>1093</v>
      </c>
      <c r="M1" s="77" t="s">
        <v>2338</v>
      </c>
      <c r="N1" s="136"/>
      <c r="O1" s="63" t="s">
        <v>561</v>
      </c>
      <c r="P1" s="42" t="s">
        <v>43</v>
      </c>
      <c r="Q1" s="42" t="s">
        <v>165</v>
      </c>
      <c r="R1" s="42" t="s">
        <v>115</v>
      </c>
      <c r="S1" s="42" t="s">
        <v>162</v>
      </c>
      <c r="T1" s="213" t="s">
        <v>560</v>
      </c>
      <c r="U1" s="57" t="s">
        <v>114</v>
      </c>
      <c r="V1" s="57" t="s">
        <v>416</v>
      </c>
      <c r="W1" s="42"/>
      <c r="X1" s="63" t="s">
        <v>2452</v>
      </c>
      <c r="Y1" s="42" t="s">
        <v>43</v>
      </c>
      <c r="Z1" s="42" t="s">
        <v>165</v>
      </c>
      <c r="AA1" s="42" t="s">
        <v>115</v>
      </c>
      <c r="AB1" s="42" t="s">
        <v>162</v>
      </c>
      <c r="AC1" s="213" t="s">
        <v>560</v>
      </c>
      <c r="AD1" s="57" t="s">
        <v>114</v>
      </c>
      <c r="AE1" s="57" t="s">
        <v>2453</v>
      </c>
      <c r="AF1" s="42"/>
      <c r="AG1" s="42"/>
      <c r="AH1" s="63" t="s">
        <v>2455</v>
      </c>
      <c r="AI1" s="42" t="s">
        <v>43</v>
      </c>
      <c r="AJ1" s="42" t="s">
        <v>165</v>
      </c>
      <c r="AK1" s="42" t="s">
        <v>115</v>
      </c>
      <c r="AL1" s="42" t="s">
        <v>162</v>
      </c>
      <c r="AM1" s="213" t="s">
        <v>560</v>
      </c>
      <c r="AN1" s="57" t="s">
        <v>114</v>
      </c>
      <c r="AO1" s="57" t="s">
        <v>2456</v>
      </c>
      <c r="AP1" s="42"/>
      <c r="AQ1" s="63" t="s">
        <v>2458</v>
      </c>
      <c r="AR1" s="42" t="s">
        <v>43</v>
      </c>
      <c r="AS1" s="42" t="s">
        <v>165</v>
      </c>
      <c r="AT1" s="42" t="s">
        <v>115</v>
      </c>
      <c r="AU1" s="42" t="s">
        <v>162</v>
      </c>
      <c r="AV1" s="213" t="s">
        <v>560</v>
      </c>
      <c r="AW1" s="57" t="s">
        <v>114</v>
      </c>
      <c r="AX1" s="57" t="s">
        <v>2459</v>
      </c>
      <c r="AY1" s="42"/>
      <c r="AZ1" s="42"/>
      <c r="BA1" s="42"/>
      <c r="BB1" s="63" t="s">
        <v>2465</v>
      </c>
      <c r="BC1" s="42" t="s">
        <v>43</v>
      </c>
      <c r="BD1" s="155" t="s">
        <v>112</v>
      </c>
      <c r="BE1" s="42" t="s">
        <v>429</v>
      </c>
      <c r="BF1" s="42" t="s">
        <v>114</v>
      </c>
      <c r="BG1" s="42" t="s">
        <v>1940</v>
      </c>
      <c r="BH1" s="42" t="s">
        <v>165</v>
      </c>
      <c r="BI1" s="161" t="s">
        <v>410</v>
      </c>
      <c r="BJ1" s="164" t="s">
        <v>2466</v>
      </c>
      <c r="BK1" s="42" t="s">
        <v>277</v>
      </c>
      <c r="BL1" s="41" t="s">
        <v>291</v>
      </c>
      <c r="BM1" s="42" t="s">
        <v>8</v>
      </c>
      <c r="BN1" s="42" t="s">
        <v>581</v>
      </c>
      <c r="BO1" s="42" t="s">
        <v>2467</v>
      </c>
      <c r="BP1" s="42" t="s">
        <v>1938</v>
      </c>
      <c r="BQ1" s="42" t="s">
        <v>2468</v>
      </c>
      <c r="BR1" s="42"/>
      <c r="BS1" s="42"/>
      <c r="BT1" s="38"/>
      <c r="BU1" s="38"/>
      <c r="BV1" s="63" t="s">
        <v>275</v>
      </c>
      <c r="BW1" s="42" t="s">
        <v>43</v>
      </c>
      <c r="BX1" s="155" t="s">
        <v>112</v>
      </c>
      <c r="BY1" s="42" t="s">
        <v>429</v>
      </c>
      <c r="BZ1" s="57" t="s">
        <v>114</v>
      </c>
      <c r="CA1" s="57" t="s">
        <v>1940</v>
      </c>
      <c r="CB1" s="42" t="s">
        <v>165</v>
      </c>
      <c r="CC1" s="161" t="s">
        <v>276</v>
      </c>
      <c r="CD1" s="164" t="s">
        <v>278</v>
      </c>
      <c r="CE1" s="42" t="s">
        <v>277</v>
      </c>
      <c r="CF1" s="41" t="s">
        <v>291</v>
      </c>
      <c r="CG1" s="42" t="s">
        <v>8</v>
      </c>
      <c r="CH1" s="42" t="s">
        <v>581</v>
      </c>
      <c r="CI1" s="42" t="s">
        <v>1938</v>
      </c>
      <c r="CJ1" s="42" t="s">
        <v>1939</v>
      </c>
      <c r="CK1" s="42"/>
      <c r="CL1" s="42"/>
      <c r="CM1" s="42"/>
      <c r="CN1" s="63" t="s">
        <v>283</v>
      </c>
      <c r="CO1" s="42" t="s">
        <v>43</v>
      </c>
      <c r="CP1" s="155" t="s">
        <v>112</v>
      </c>
      <c r="CQ1" s="42" t="s">
        <v>429</v>
      </c>
      <c r="CR1" s="57" t="s">
        <v>114</v>
      </c>
      <c r="CS1" s="57" t="s">
        <v>1940</v>
      </c>
      <c r="CT1" s="42" t="s">
        <v>165</v>
      </c>
      <c r="CU1" s="161" t="s">
        <v>276</v>
      </c>
      <c r="CV1" s="164" t="s">
        <v>278</v>
      </c>
      <c r="CW1" s="42" t="s">
        <v>277</v>
      </c>
      <c r="CX1" s="42" t="s">
        <v>291</v>
      </c>
      <c r="CY1" s="41" t="s">
        <v>8</v>
      </c>
      <c r="CZ1" s="41" t="s">
        <v>581</v>
      </c>
      <c r="DA1" s="42" t="s">
        <v>1938</v>
      </c>
      <c r="DB1" s="42" t="s">
        <v>1939</v>
      </c>
      <c r="DC1" s="42"/>
      <c r="DD1" s="42"/>
      <c r="DE1" s="204"/>
      <c r="DF1" s="63" t="s">
        <v>300</v>
      </c>
      <c r="DG1" s="42" t="s">
        <v>43</v>
      </c>
      <c r="DH1" s="155" t="s">
        <v>112</v>
      </c>
      <c r="DI1" s="42" t="s">
        <v>429</v>
      </c>
      <c r="DJ1" s="57" t="s">
        <v>114</v>
      </c>
      <c r="DK1" s="57" t="s">
        <v>1940</v>
      </c>
      <c r="DL1" s="42" t="s">
        <v>165</v>
      </c>
      <c r="DM1" s="161" t="s">
        <v>276</v>
      </c>
      <c r="DN1" s="164" t="s">
        <v>278</v>
      </c>
      <c r="DO1" s="42" t="s">
        <v>277</v>
      </c>
      <c r="DP1" s="42" t="s">
        <v>291</v>
      </c>
      <c r="DQ1" s="41" t="s">
        <v>8</v>
      </c>
      <c r="DR1" s="41" t="s">
        <v>581</v>
      </c>
      <c r="DS1" s="42" t="s">
        <v>1938</v>
      </c>
      <c r="DT1" s="42" t="s">
        <v>1939</v>
      </c>
      <c r="DU1" s="41" t="s">
        <v>1943</v>
      </c>
      <c r="DV1" s="42" t="s">
        <v>1944</v>
      </c>
      <c r="DW1" s="1041" t="s">
        <v>1945</v>
      </c>
      <c r="DX1" s="1041" t="s">
        <v>1947</v>
      </c>
      <c r="DY1" s="1042" t="s">
        <v>115</v>
      </c>
      <c r="DZ1" s="1041" t="s">
        <v>1948</v>
      </c>
      <c r="EA1" s="38"/>
      <c r="EB1" s="64" t="s">
        <v>152</v>
      </c>
      <c r="EC1" s="1359" t="s">
        <v>2664</v>
      </c>
      <c r="ED1" s="42" t="s">
        <v>43</v>
      </c>
      <c r="EE1" s="42" t="s">
        <v>112</v>
      </c>
      <c r="EF1" s="42" t="s">
        <v>113</v>
      </c>
      <c r="EG1" s="42" t="s">
        <v>114</v>
      </c>
      <c r="EH1" s="57" t="s">
        <v>9</v>
      </c>
      <c r="EI1" s="57" t="s">
        <v>342</v>
      </c>
      <c r="EJ1" s="57" t="s">
        <v>165</v>
      </c>
      <c r="EK1" s="57" t="s">
        <v>119</v>
      </c>
      <c r="EL1" s="57" t="s">
        <v>197</v>
      </c>
      <c r="EM1" s="41" t="s">
        <v>198</v>
      </c>
      <c r="EN1" s="41" t="s">
        <v>343</v>
      </c>
      <c r="EO1" s="213" t="s">
        <v>442</v>
      </c>
      <c r="EP1" s="41" t="s">
        <v>832</v>
      </c>
      <c r="EQ1" s="41" t="s">
        <v>1634</v>
      </c>
      <c r="ER1" s="41" t="s">
        <v>1633</v>
      </c>
      <c r="ES1" s="41"/>
      <c r="ET1" s="64" t="s">
        <v>153</v>
      </c>
      <c r="EU1" s="1359" t="s">
        <v>2664</v>
      </c>
      <c r="EV1" s="42" t="s">
        <v>43</v>
      </c>
      <c r="EW1" s="42" t="s">
        <v>112</v>
      </c>
      <c r="EX1" s="42" t="s">
        <v>113</v>
      </c>
      <c r="EY1" s="42" t="s">
        <v>114</v>
      </c>
      <c r="EZ1" s="57" t="s">
        <v>342</v>
      </c>
      <c r="FA1" s="57" t="s">
        <v>165</v>
      </c>
      <c r="FB1" s="57" t="s">
        <v>119</v>
      </c>
      <c r="FC1" s="57" t="s">
        <v>197</v>
      </c>
      <c r="FD1" s="41" t="s">
        <v>198</v>
      </c>
      <c r="FE1" s="41" t="s">
        <v>343</v>
      </c>
      <c r="FF1" s="213" t="s">
        <v>442</v>
      </c>
      <c r="FK1" s="67"/>
      <c r="FS1" s="385" t="s">
        <v>272</v>
      </c>
      <c r="FT1" s="57" t="s">
        <v>200</v>
      </c>
      <c r="FU1" s="42" t="s">
        <v>121</v>
      </c>
      <c r="FV1" s="42"/>
      <c r="FW1" s="42"/>
      <c r="FX1" s="42" t="s">
        <v>43</v>
      </c>
      <c r="FY1" s="42" t="s">
        <v>276</v>
      </c>
    </row>
    <row r="2" spans="2:191" ht="13.5" thickBot="1">
      <c r="B2" s="52"/>
      <c r="I2" s="1208" t="s">
        <v>2337</v>
      </c>
      <c r="J2" s="192" t="s">
        <v>163</v>
      </c>
      <c r="K2" s="1210">
        <f ca="1">25*G4*H48</f>
        <v>0.34233619050293307</v>
      </c>
      <c r="L2" s="96">
        <f ca="1">K2/12</f>
        <v>2.8528015875244422E-2</v>
      </c>
      <c r="M2" s="82">
        <f ca="1">K2/365.25</f>
        <v>9.3726540863226025E-4</v>
      </c>
      <c r="N2" s="96"/>
      <c r="O2" s="59" t="s">
        <v>413</v>
      </c>
      <c r="P2" s="59">
        <v>100</v>
      </c>
      <c r="Q2" s="59" t="s">
        <v>2711</v>
      </c>
      <c r="R2" s="60">
        <v>28</v>
      </c>
      <c r="S2" s="55">
        <v>42733</v>
      </c>
      <c r="T2" s="380">
        <v>25</v>
      </c>
      <c r="U2" s="55">
        <f t="shared" ref="U2" si="0">S2+R2*(T2+1)</f>
        <v>43461</v>
      </c>
      <c r="V2" s="61">
        <f t="shared" ref="V2" ca="1" si="1">DATEDIF($G$1,U2,"M")</f>
        <v>22</v>
      </c>
      <c r="W2" s="38"/>
      <c r="X2" s="59" t="s">
        <v>413</v>
      </c>
      <c r="Y2" s="59">
        <v>100</v>
      </c>
      <c r="Z2" s="59" t="s">
        <v>2705</v>
      </c>
      <c r="AA2" s="60">
        <f>7*13</f>
        <v>91</v>
      </c>
      <c r="AB2" s="55">
        <v>42677</v>
      </c>
      <c r="AC2" s="380">
        <v>6</v>
      </c>
      <c r="AD2" s="55">
        <f>AB2+AA2*(AC2+1)</f>
        <v>43314</v>
      </c>
      <c r="AE2" s="61">
        <f ca="1">DATEDIF($G$1,AD2,"M")/3</f>
        <v>5.666666666666667</v>
      </c>
      <c r="AF2" s="38"/>
      <c r="AG2" s="73"/>
      <c r="AH2" s="59" t="s">
        <v>413</v>
      </c>
      <c r="AI2" s="59">
        <v>100</v>
      </c>
      <c r="AJ2" s="59" t="s">
        <v>2704</v>
      </c>
      <c r="AK2" s="60">
        <f>7*26</f>
        <v>182</v>
      </c>
      <c r="AL2" s="55">
        <v>42699</v>
      </c>
      <c r="AM2" s="380">
        <v>2</v>
      </c>
      <c r="AN2" s="55">
        <f>AL2+AK2*(AM2+1)</f>
        <v>43245</v>
      </c>
      <c r="AO2" s="61">
        <f ca="1">DATEDIF($G$1,AN2,"M")/2</f>
        <v>7.5</v>
      </c>
      <c r="AP2" s="73"/>
      <c r="AQ2" s="59" t="s">
        <v>413</v>
      </c>
      <c r="AR2" s="59">
        <v>100</v>
      </c>
      <c r="AS2" s="59" t="s">
        <v>2702</v>
      </c>
      <c r="AT2" s="60">
        <f>7*52</f>
        <v>364</v>
      </c>
      <c r="AU2" s="55">
        <v>42684</v>
      </c>
      <c r="AV2" s="380">
        <v>0</v>
      </c>
      <c r="AW2" s="55">
        <f>AU2+AT2*(AV2+1)</f>
        <v>43048</v>
      </c>
      <c r="AX2" s="1280">
        <f t="shared" ref="AX2" ca="1" si="2">DATEDIF($G$1,AW2,"M")/12</f>
        <v>0.75</v>
      </c>
      <c r="AY2" s="73"/>
      <c r="AZ2" s="38"/>
      <c r="BA2" s="38"/>
      <c r="BB2" s="747" t="s">
        <v>413</v>
      </c>
      <c r="BC2" s="59">
        <v>100</v>
      </c>
      <c r="BD2" s="3">
        <v>2</v>
      </c>
      <c r="BE2" s="55">
        <v>42401</v>
      </c>
      <c r="BF2" s="55">
        <f t="shared" ref="BF2:BF4" si="3">BE2+BD2*365.25</f>
        <v>43131.5</v>
      </c>
      <c r="BG2" s="55">
        <v>42400</v>
      </c>
      <c r="BH2" s="747" t="s">
        <v>2469</v>
      </c>
      <c r="BI2" s="160">
        <v>1E-3</v>
      </c>
      <c r="BJ2" s="165">
        <f t="shared" ref="BJ2:BJ4" si="4">BK2/4</f>
        <v>2.5000000000000001E-2</v>
      </c>
      <c r="BK2" s="163">
        <f t="shared" ref="BK2:BK4" si="5">BC2*BI2</f>
        <v>0.1</v>
      </c>
      <c r="BL2" s="39">
        <f t="shared" ref="BL2:BL4" si="6">BD2*BK2</f>
        <v>0.2</v>
      </c>
      <c r="BM2" s="73">
        <f t="shared" ref="BM2:BM4" si="7">BC2+BL2</f>
        <v>100.2</v>
      </c>
      <c r="BN2" s="73">
        <f t="shared" ref="BN2:BN4" si="8">BK2/12</f>
        <v>8.3333333333333332E-3</v>
      </c>
      <c r="BO2" s="73" t="str">
        <f>CHOOSE(MONTH(BG2+365.25/4),"Jan","Feb","Mar","Apr","May","Jun","Jul","Aug","Sep","Oct","Nov","Dec")</f>
        <v>May</v>
      </c>
      <c r="BP2" s="73" t="str">
        <f>CHOOSE(MONTH(BG2+365.25/2),"Jan","Feb","Mar","Apr","May","Jun","Jul","Aug","Sep","Oct","Nov","Dec")</f>
        <v>Jul</v>
      </c>
      <c r="BQ2" s="73" t="str">
        <f>CHOOSE(MONTH(BG2+365.25),"Jan","Feb","Mar","Apr","May","Jun","Jul","Aug","Sep","Oct","Nov","Dec")</f>
        <v>Jan</v>
      </c>
      <c r="BR2" s="73"/>
      <c r="BS2" s="73"/>
      <c r="BT2" s="38"/>
      <c r="BU2" s="38"/>
      <c r="BV2" s="1" t="s">
        <v>413</v>
      </c>
      <c r="BW2" s="59">
        <v>100</v>
      </c>
      <c r="BX2" s="3">
        <f>9+(11/12)</f>
        <v>9.9166666666666661</v>
      </c>
      <c r="BY2" s="55">
        <v>42809</v>
      </c>
      <c r="BZ2" s="55">
        <f t="shared" ref="BZ2" si="9">BY2+BX2*365.25</f>
        <v>46431.0625</v>
      </c>
      <c r="CA2" s="55">
        <v>42809</v>
      </c>
      <c r="CB2" s="747" t="s">
        <v>2741</v>
      </c>
      <c r="CC2" s="160">
        <v>0.02</v>
      </c>
      <c r="CD2" s="165">
        <f t="shared" ref="CD2" si="10">CE2/2</f>
        <v>1</v>
      </c>
      <c r="CE2" s="163">
        <f t="shared" ref="CE2" si="11">BW2*CC2</f>
        <v>2</v>
      </c>
      <c r="CF2" s="39">
        <f t="shared" ref="CF2" si="12">BX2*CE2</f>
        <v>19.833333333333332</v>
      </c>
      <c r="CG2" s="73">
        <f t="shared" ref="CG2" si="13">BW2+CF2</f>
        <v>119.83333333333333</v>
      </c>
      <c r="CH2" s="73">
        <f t="shared" ref="CH2" si="14">CE2/12</f>
        <v>0.16666666666666666</v>
      </c>
      <c r="CI2" s="54" t="str">
        <f t="shared" ref="CI2" si="15">CHOOSE(MONTH(CA2+365.25/2),"Jan","Feb","Mar","Apr","May","Jun","Jul","Aug","Sep","Oct","Nov","Dec")</f>
        <v>Sep</v>
      </c>
      <c r="CJ2" s="54" t="str">
        <f t="shared" ref="CJ2" si="16">CHOOSE(MONTH(CA2+365.25),"Jan","Feb","Mar","Apr","May","Jun","Jul","Aug","Sep","Oct","Nov","Dec")</f>
        <v>Mar</v>
      </c>
      <c r="CK2" s="54"/>
      <c r="CL2" s="54"/>
      <c r="CM2" s="54"/>
      <c r="CN2" s="1" t="s">
        <v>413</v>
      </c>
      <c r="CO2" s="59">
        <v>200</v>
      </c>
      <c r="CP2" s="3">
        <f>29+(11/12)</f>
        <v>29.916666666666668</v>
      </c>
      <c r="CQ2" s="55">
        <v>42809</v>
      </c>
      <c r="CR2" s="55">
        <f t="shared" ref="CR2" si="17">CQ2+CP2*365.25</f>
        <v>53736.0625</v>
      </c>
      <c r="CS2" s="55">
        <v>42809</v>
      </c>
      <c r="CT2" s="23" t="s">
        <v>2740</v>
      </c>
      <c r="CU2" s="160">
        <v>2.8750000000000001E-2</v>
      </c>
      <c r="CV2" s="165">
        <f t="shared" ref="CV2" si="18">CW2/2</f>
        <v>2.875</v>
      </c>
      <c r="CW2" s="163">
        <f t="shared" ref="CW2" si="19">CO2*CU2</f>
        <v>5.75</v>
      </c>
      <c r="CX2" s="73">
        <f t="shared" ref="CX2" si="20">CP2*CW2</f>
        <v>172.02083333333334</v>
      </c>
      <c r="CY2" s="203">
        <f t="shared" ref="CY2" si="21">CO2+CX2</f>
        <v>372.02083333333337</v>
      </c>
      <c r="CZ2" s="203">
        <f t="shared" ref="CZ2" si="22">CW2/12</f>
        <v>0.47916666666666669</v>
      </c>
      <c r="DA2" s="54" t="str">
        <f t="shared" ref="DA2" si="23">CHOOSE(MONTH(CS2+365.25/2),"Jan","Feb","Mar","Apr","May","Jun","Jul","Aug","Sep","Oct","Nov","Dec")</f>
        <v>Sep</v>
      </c>
      <c r="DB2" s="54" t="str">
        <f t="shared" ref="DB2" si="24">CHOOSE(MONTH(CS2+365.25),"Jan","Feb","Mar","Apr","May","Jun","Jul","Aug","Sep","Oct","Nov","Dec")</f>
        <v>Mar</v>
      </c>
      <c r="DC2" s="54"/>
      <c r="DD2" s="54"/>
      <c r="DE2" s="204"/>
      <c r="DF2" s="1" t="s">
        <v>413</v>
      </c>
      <c r="DG2" s="59">
        <v>100</v>
      </c>
      <c r="DH2" s="3">
        <f>9+(10/12)</f>
        <v>9.8333333333333339</v>
      </c>
      <c r="DI2" s="55">
        <v>42825</v>
      </c>
      <c r="DJ2" s="55">
        <f t="shared" ref="DJ2" si="25">DI2+DH2*365.25</f>
        <v>46416.625</v>
      </c>
      <c r="DK2" s="55"/>
      <c r="DL2" s="747" t="s">
        <v>2762</v>
      </c>
      <c r="DM2" s="160">
        <v>3.7499999999999999E-3</v>
      </c>
      <c r="DN2" s="165">
        <f t="shared" ref="DN2" si="26">DO2/2</f>
        <v>0.1875</v>
      </c>
      <c r="DO2" s="163">
        <f t="shared" ref="DO2" si="27">DU2*DM2</f>
        <v>0.375</v>
      </c>
      <c r="DP2" s="73">
        <f t="shared" ref="DP2" si="28">DH2*DO2</f>
        <v>3.6875</v>
      </c>
      <c r="DQ2" s="203">
        <f t="shared" ref="DQ2" si="29">DU2+DP2</f>
        <v>103.6875</v>
      </c>
      <c r="DR2" s="203">
        <f t="shared" ref="DR2" si="30">DO2/12</f>
        <v>3.125E-2</v>
      </c>
      <c r="DS2" s="54" t="str">
        <f t="shared" ref="DS2" si="31">CHOOSE(MONTH(DK2+365.25/2),"Jan","Feb","Mar","Apr","May","Jun","Jul","Aug","Sep","Oct","Nov","Dec")</f>
        <v>Jun</v>
      </c>
      <c r="DT2" s="54" t="str">
        <f t="shared" ref="DT2" si="32">CHOOSE(MONTH(DK2+365.25),"Jan","Feb","Mar","Apr","May","Jun","Jul","Aug","Sep","Oct","Nov","Dec")</f>
        <v>Dec</v>
      </c>
      <c r="DU2" s="44">
        <v>100</v>
      </c>
      <c r="DV2" s="579"/>
      <c r="DW2" s="1041"/>
      <c r="DX2" s="39">
        <f t="shared" ref="DX2" si="33">DU2-DG2</f>
        <v>0</v>
      </c>
      <c r="DY2" s="355">
        <f t="shared" ref="DY2" si="34">IF(DV2&lt;&gt;"",DATEDIF(DI2,DV2,"D"),0)</f>
        <v>0</v>
      </c>
      <c r="DZ2" s="39">
        <f t="shared" ref="DZ2" si="35">IF(DY2=0,0,DX2/DY2)</f>
        <v>0</v>
      </c>
      <c r="EA2" s="200"/>
      <c r="EB2" s="1" t="s">
        <v>43</v>
      </c>
      <c r="EC2" s="380">
        <f ca="1">IF(EF2&lt;$G$1-5*365.25,1,0)</f>
        <v>0</v>
      </c>
      <c r="ED2" s="73">
        <v>0</v>
      </c>
      <c r="EE2" s="38">
        <v>30</v>
      </c>
      <c r="EF2" s="54">
        <v>43040</v>
      </c>
      <c r="EG2" s="55">
        <f t="shared" ref="EG2" si="36">EF2+EE2*365.25</f>
        <v>53997.5</v>
      </c>
      <c r="EH2" s="61" t="s">
        <v>122</v>
      </c>
      <c r="EI2" s="61">
        <f t="shared" ref="EI2" ca="1" si="37">IF(EF2&gt;$G$1,0,DATEDIF(EF2,$G$1,"M"))</f>
        <v>0</v>
      </c>
      <c r="EJ2" s="747" t="s">
        <v>2536</v>
      </c>
      <c r="EK2" s="39">
        <v>0</v>
      </c>
      <c r="EL2" s="39">
        <f t="shared" ref="EL2" si="38">EK2-ED2</f>
        <v>0</v>
      </c>
      <c r="EM2" s="40" t="e">
        <f t="shared" ref="EM2" si="39">EK2/ED2-1</f>
        <v>#DIV/0!</v>
      </c>
      <c r="EN2" s="39"/>
      <c r="EO2" s="43">
        <f t="shared" ref="EO2" ca="1" si="40">IF(EF2&lt;$G$1-365.25,1,0)</f>
        <v>0</v>
      </c>
      <c r="EP2" s="39">
        <f t="shared" ref="EP2" ca="1" si="41">ED2*(1+$EB$23)^(EI2/12)</f>
        <v>0</v>
      </c>
      <c r="EQ2" s="39"/>
      <c r="ET2" s="37" t="s">
        <v>43</v>
      </c>
      <c r="EU2" s="1360">
        <f ca="1">IF(EX2&lt;$G$1-5*365.25,1,0)</f>
        <v>0</v>
      </c>
      <c r="EV2" s="173">
        <v>0</v>
      </c>
      <c r="EW2" s="747">
        <v>30</v>
      </c>
      <c r="EX2" s="55">
        <v>43101</v>
      </c>
      <c r="EY2" s="55">
        <f t="shared" ref="EY2" si="42">EX2+EW2*365.25</f>
        <v>54058.5</v>
      </c>
      <c r="EZ2" s="61">
        <f t="shared" ref="EZ2" ca="1" si="43">IF(EX2&gt;$G$1,0,DATEDIF(EX2,$G$1,"M"))</f>
        <v>0</v>
      </c>
      <c r="FA2" s="37" t="s">
        <v>2589</v>
      </c>
      <c r="FB2" s="39">
        <v>0</v>
      </c>
      <c r="FC2" s="39">
        <f t="shared" ref="FC2" si="44">FB2-EV2</f>
        <v>0</v>
      </c>
      <c r="FD2" s="40" t="e">
        <f t="shared" ref="FD2" si="45">FB2/EV2-1</f>
        <v>#DIV/0!</v>
      </c>
      <c r="FE2" s="39"/>
      <c r="FF2" s="43">
        <f t="shared" ref="FF2" ca="1" si="46">IF(EX2&lt;$G$1-365.25,1,0)</f>
        <v>0</v>
      </c>
      <c r="FH2" s="105" t="s">
        <v>155</v>
      </c>
      <c r="FI2" s="106"/>
      <c r="FJ2" s="145"/>
      <c r="FK2" s="145"/>
      <c r="FS2" s="550">
        <v>1</v>
      </c>
      <c r="FT2" s="58">
        <v>1</v>
      </c>
      <c r="FU2" s="38">
        <v>1</v>
      </c>
      <c r="FV2" s="38">
        <f t="shared" ref="FV2:FV13" si="47">(1+$FY$2/2)^(FU2/6)</f>
        <v>1.0002498438930771</v>
      </c>
      <c r="FW2" s="39">
        <f t="shared" ref="FW2:FW7" si="48">$FX$2*FV2</f>
        <v>25.00624609732693</v>
      </c>
      <c r="FX2" s="44">
        <v>25</v>
      </c>
      <c r="FY2" s="368">
        <v>3.0000000000000001E-3</v>
      </c>
    </row>
    <row r="3" spans="2:191" ht="13.5" thickBot="1">
      <c r="D3" s="75" t="s">
        <v>130</v>
      </c>
      <c r="E3" s="788" t="s">
        <v>1532</v>
      </c>
      <c r="F3" s="76" t="s">
        <v>131</v>
      </c>
      <c r="G3" s="76" t="s">
        <v>7</v>
      </c>
      <c r="H3" s="76" t="s">
        <v>135</v>
      </c>
      <c r="I3" s="788" t="s">
        <v>132</v>
      </c>
      <c r="J3" s="192" t="s">
        <v>2336</v>
      </c>
      <c r="K3" s="1210">
        <f>25*G4*EB23</f>
        <v>7.0529847682755165</v>
      </c>
      <c r="L3" s="96">
        <f t="shared" ref="L3:L6" si="49">K3/12</f>
        <v>0.58774873068962641</v>
      </c>
      <c r="M3" s="82">
        <f>K3/365.25</f>
        <v>1.9310019899453842E-2</v>
      </c>
      <c r="N3" s="96"/>
      <c r="O3" s="59">
        <f>SUM(P:P)</f>
        <v>1900</v>
      </c>
      <c r="P3" s="59">
        <v>100</v>
      </c>
      <c r="Q3" s="59" t="s">
        <v>1698</v>
      </c>
      <c r="R3" s="60">
        <v>28</v>
      </c>
      <c r="S3" s="55">
        <v>42397</v>
      </c>
      <c r="T3" s="380">
        <v>25</v>
      </c>
      <c r="U3" s="55">
        <f t="shared" ref="U3:U20" si="50">S3+R3*(T3+1)</f>
        <v>43125</v>
      </c>
      <c r="V3" s="61">
        <f t="shared" ref="V3:V20" ca="1" si="51">DATEDIF($G$1,U3,"M")</f>
        <v>11</v>
      </c>
      <c r="W3" s="38"/>
      <c r="X3" s="59">
        <f>SUM(Y:Y)</f>
        <v>100</v>
      </c>
      <c r="Y3" s="59"/>
      <c r="Z3" s="59"/>
      <c r="AA3" s="60"/>
      <c r="AB3" s="55"/>
      <c r="AC3" s="380"/>
      <c r="AD3" s="55"/>
      <c r="AE3" s="61"/>
      <c r="AF3" s="38"/>
      <c r="AG3" s="73"/>
      <c r="AH3" s="59">
        <f>SUM(AI:AI)</f>
        <v>100</v>
      </c>
      <c r="AI3" s="59"/>
      <c r="AJ3" s="59"/>
      <c r="AK3" s="60"/>
      <c r="AL3" s="55"/>
      <c r="AM3" s="380"/>
      <c r="AN3" s="55"/>
      <c r="AO3" s="61"/>
      <c r="AP3" s="73"/>
      <c r="AQ3" s="59">
        <f>SUM(AR:AR)</f>
        <v>600</v>
      </c>
      <c r="AR3" s="59">
        <v>100</v>
      </c>
      <c r="AS3" s="59" t="s">
        <v>2460</v>
      </c>
      <c r="AT3" s="60">
        <f>7*52</f>
        <v>364</v>
      </c>
      <c r="AU3" s="55">
        <v>42628</v>
      </c>
      <c r="AV3" s="380">
        <v>1</v>
      </c>
      <c r="AW3" s="55">
        <f>AU3+AT3*(AV3+1)</f>
        <v>43356</v>
      </c>
      <c r="AX3" s="1280">
        <f t="shared" ref="AX3:AX7" ca="1" si="52">DATEDIF($G$1,AW3,"M")/12</f>
        <v>1.5833333333333333</v>
      </c>
      <c r="AY3" s="73"/>
      <c r="AZ3" s="38"/>
      <c r="BA3" s="38"/>
      <c r="BB3" s="59">
        <f>SUM(BC:BC)</f>
        <v>300</v>
      </c>
      <c r="BC3" s="59">
        <v>100</v>
      </c>
      <c r="BD3" s="3">
        <v>2</v>
      </c>
      <c r="BE3" s="55">
        <v>42310</v>
      </c>
      <c r="BF3" s="55">
        <f t="shared" si="3"/>
        <v>43040.5</v>
      </c>
      <c r="BG3" s="55">
        <v>42308</v>
      </c>
      <c r="BH3" s="747" t="s">
        <v>2470</v>
      </c>
      <c r="BI3" s="160">
        <v>1E-3</v>
      </c>
      <c r="BJ3" s="165">
        <f t="shared" si="4"/>
        <v>2.5000000000000001E-2</v>
      </c>
      <c r="BK3" s="163">
        <f t="shared" si="5"/>
        <v>0.1</v>
      </c>
      <c r="BL3" s="39">
        <f t="shared" si="6"/>
        <v>0.2</v>
      </c>
      <c r="BM3" s="73">
        <f t="shared" si="7"/>
        <v>100.2</v>
      </c>
      <c r="BN3" s="73">
        <f t="shared" si="8"/>
        <v>8.3333333333333332E-3</v>
      </c>
      <c r="BO3" s="73" t="str">
        <f t="shared" ref="BO3:BO4" si="53">CHOOSE(MONTH(BG3+365.25/4),"Jan","Feb","Mar","Apr","May","Jun","Jul","Aug","Sep","Oct","Nov","Dec")</f>
        <v>Jan</v>
      </c>
      <c r="BP3" s="73" t="str">
        <f t="shared" ref="BP3:BP4" si="54">CHOOSE(MONTH(BG3+365.25/2),"Jan","Feb","Mar","Apr","May","Jun","Jul","Aug","Sep","Oct","Nov","Dec")</f>
        <v>Apr</v>
      </c>
      <c r="BQ3" s="73" t="str">
        <f t="shared" ref="BQ3:BQ4" si="55">CHOOSE(MONTH(BG3+365.25),"Jan","Feb","Mar","Apr","May","Jun","Jul","Aug","Sep","Oct","Nov","Dec")</f>
        <v>Oct</v>
      </c>
      <c r="BR3" s="73"/>
      <c r="BS3" s="73"/>
      <c r="BT3" s="38"/>
      <c r="BU3" s="38"/>
      <c r="BV3" s="59">
        <f>SUM(BW:BW)</f>
        <v>4300</v>
      </c>
      <c r="BW3" s="59">
        <v>100</v>
      </c>
      <c r="BX3" s="3">
        <v>10</v>
      </c>
      <c r="BY3" s="55">
        <v>42781</v>
      </c>
      <c r="BZ3" s="55">
        <f t="shared" ref="BZ3" si="56">BY3+BX3*365.25</f>
        <v>46433.5</v>
      </c>
      <c r="CA3" s="55">
        <v>42781</v>
      </c>
      <c r="CB3" s="747" t="s">
        <v>2690</v>
      </c>
      <c r="CC3" s="160">
        <v>0.02</v>
      </c>
      <c r="CD3" s="165">
        <f t="shared" ref="CD3" si="57">CE3/2</f>
        <v>1</v>
      </c>
      <c r="CE3" s="163">
        <f t="shared" ref="CE3" si="58">BW3*CC3</f>
        <v>2</v>
      </c>
      <c r="CF3" s="39">
        <f t="shared" ref="CF3" si="59">BX3*CE3</f>
        <v>20</v>
      </c>
      <c r="CG3" s="73">
        <f t="shared" ref="CG3" si="60">BW3+CF3</f>
        <v>120</v>
      </c>
      <c r="CH3" s="73">
        <f t="shared" ref="CH3" si="61">CE3/12</f>
        <v>0.16666666666666666</v>
      </c>
      <c r="CI3" s="54" t="str">
        <f t="shared" ref="CI3" si="62">CHOOSE(MONTH(CA3+365.25/2),"Jan","Feb","Mar","Apr","May","Jun","Jul","Aug","Sep","Oct","Nov","Dec")</f>
        <v>Aug</v>
      </c>
      <c r="CJ3" s="54" t="str">
        <f t="shared" ref="CJ3" si="63">CHOOSE(MONTH(CA3+365.25),"Jan","Feb","Mar","Apr","May","Jun","Jul","Aug","Sep","Oct","Nov","Dec")</f>
        <v>Feb</v>
      </c>
      <c r="CK3" s="54"/>
      <c r="CL3" s="54"/>
      <c r="CM3" s="54"/>
      <c r="CN3" s="59">
        <f>SUM(CO:CO)</f>
        <v>7100</v>
      </c>
      <c r="CO3" s="59">
        <v>200</v>
      </c>
      <c r="CP3" s="3">
        <v>30</v>
      </c>
      <c r="CQ3" s="55">
        <v>42781</v>
      </c>
      <c r="CR3" s="55">
        <f t="shared" ref="CR3" si="64">CQ3+CP3*365.25</f>
        <v>53738.5</v>
      </c>
      <c r="CS3" s="55">
        <v>42781</v>
      </c>
      <c r="CT3" s="23" t="s">
        <v>2691</v>
      </c>
      <c r="CU3" s="160">
        <v>2.8750000000000001E-2</v>
      </c>
      <c r="CV3" s="165">
        <f t="shared" ref="CV3" si="65">CW3/2</f>
        <v>2.875</v>
      </c>
      <c r="CW3" s="163">
        <f t="shared" ref="CW3" si="66">CO3*CU3</f>
        <v>5.75</v>
      </c>
      <c r="CX3" s="73">
        <f t="shared" ref="CX3" si="67">CP3*CW3</f>
        <v>172.5</v>
      </c>
      <c r="CY3" s="203">
        <f t="shared" ref="CY3" si="68">CO3+CX3</f>
        <v>372.5</v>
      </c>
      <c r="CZ3" s="203">
        <f t="shared" ref="CZ3" si="69">CW3/12</f>
        <v>0.47916666666666669</v>
      </c>
      <c r="DA3" s="54" t="str">
        <f t="shared" ref="DA3" si="70">CHOOSE(MONTH(CS3+365.25/2),"Jan","Feb","Mar","Apr","May","Jun","Jul","Aug","Sep","Oct","Nov","Dec")</f>
        <v>Aug</v>
      </c>
      <c r="DB3" s="54" t="str">
        <f t="shared" ref="DB3" si="71">CHOOSE(MONTH(CS3+365.25),"Jan","Feb","Mar","Apr","May","Jun","Jul","Aug","Sep","Oct","Nov","Dec")</f>
        <v>Feb</v>
      </c>
      <c r="DC3" s="54"/>
      <c r="DD3" s="54"/>
      <c r="DF3" s="59">
        <f>SUM(DG:DG)</f>
        <v>3900</v>
      </c>
      <c r="DG3" s="59">
        <v>100</v>
      </c>
      <c r="DH3" s="3">
        <v>30</v>
      </c>
      <c r="DI3" s="55">
        <v>42794</v>
      </c>
      <c r="DJ3" s="55">
        <f t="shared" ref="DJ3" si="72">DI3+DH3*365.25</f>
        <v>53751.5</v>
      </c>
      <c r="DK3" s="55"/>
      <c r="DL3" s="747" t="s">
        <v>2710</v>
      </c>
      <c r="DM3" s="160">
        <v>0.01</v>
      </c>
      <c r="DN3" s="165">
        <f t="shared" ref="DN3" si="73">DO3/2</f>
        <v>0.5</v>
      </c>
      <c r="DO3" s="163">
        <f t="shared" ref="DO3" si="74">DU3*DM3</f>
        <v>1</v>
      </c>
      <c r="DP3" s="73">
        <f t="shared" ref="DP3" si="75">DH3*DO3</f>
        <v>30</v>
      </c>
      <c r="DQ3" s="203">
        <f t="shared" ref="DQ3" si="76">DU3+DP3</f>
        <v>130</v>
      </c>
      <c r="DR3" s="203">
        <f t="shared" ref="DR3" si="77">DO3/12</f>
        <v>8.3333333333333329E-2</v>
      </c>
      <c r="DS3" s="54" t="str">
        <f t="shared" ref="DS3" si="78">CHOOSE(MONTH(DK3+365.25/2),"Jan","Feb","Mar","Apr","May","Jun","Jul","Aug","Sep","Oct","Nov","Dec")</f>
        <v>Jun</v>
      </c>
      <c r="DT3" s="54" t="str">
        <f t="shared" ref="DT3" si="79">CHOOSE(MONTH(DK3+365.25),"Jan","Feb","Mar","Apr","May","Jun","Jul","Aug","Sep","Oct","Nov","Dec")</f>
        <v>Dec</v>
      </c>
      <c r="DU3" s="44">
        <v>100</v>
      </c>
      <c r="DV3" s="579"/>
      <c r="DW3" s="1041"/>
      <c r="DX3" s="39">
        <f t="shared" ref="DX3" si="80">DU3-DG3</f>
        <v>0</v>
      </c>
      <c r="DY3" s="355">
        <f t="shared" ref="DY3" si="81">IF(DV3&lt;&gt;"",DATEDIF(DI3,DV3,"D"),0)</f>
        <v>0</v>
      </c>
      <c r="DZ3" s="39">
        <f t="shared" ref="DZ3" si="82">IF(DY3=0,0,DX3/DY3)</f>
        <v>0</v>
      </c>
      <c r="EA3" s="200"/>
      <c r="EB3" s="37">
        <f>SUM(ED:ED)</f>
        <v>3155</v>
      </c>
      <c r="EC3" s="380">
        <f t="shared" ref="EC3:EC66" ca="1" si="83">IF(EF3&lt;$G$1-5*365.25,1,0)</f>
        <v>0</v>
      </c>
      <c r="ED3" s="73">
        <v>0</v>
      </c>
      <c r="EE3" s="38">
        <v>30</v>
      </c>
      <c r="EF3" s="54">
        <v>43009</v>
      </c>
      <c r="EG3" s="55">
        <f t="shared" ref="EG3" si="84">EF3+EE3*365.25</f>
        <v>53966.5</v>
      </c>
      <c r="EH3" s="61" t="s">
        <v>122</v>
      </c>
      <c r="EI3" s="61">
        <f t="shared" ref="EI3" ca="1" si="85">IF(EF3&gt;$G$1,0,DATEDIF(EF3,$G$1,"M"))</f>
        <v>0</v>
      </c>
      <c r="EJ3" s="747" t="s">
        <v>2527</v>
      </c>
      <c r="EK3" s="39">
        <v>0</v>
      </c>
      <c r="EL3" s="39">
        <f t="shared" ref="EL3" si="86">EK3-ED3</f>
        <v>0</v>
      </c>
      <c r="EM3" s="40" t="e">
        <f t="shared" ref="EM3" si="87">EK3/ED3-1</f>
        <v>#DIV/0!</v>
      </c>
      <c r="EN3" s="39"/>
      <c r="EO3" s="43">
        <f t="shared" ref="EO3" ca="1" si="88">IF(EF3&lt;$G$1-365.25,1,0)</f>
        <v>0</v>
      </c>
      <c r="EP3" s="39">
        <f t="shared" ref="EP3" ca="1" si="89">ED3*(1+$EB$23)^(EI3/12)</f>
        <v>0</v>
      </c>
      <c r="EQ3" s="39"/>
      <c r="ET3" s="37">
        <f>SUM(EV:EV)</f>
        <v>10825</v>
      </c>
      <c r="EU3" s="1360">
        <f t="shared" ref="EU3:EU66" ca="1" si="90">IF(EX3&lt;$G$1-5*365.25,1,0)</f>
        <v>0</v>
      </c>
      <c r="EV3" s="173">
        <v>0</v>
      </c>
      <c r="EW3" s="747">
        <v>30</v>
      </c>
      <c r="EX3" s="55">
        <v>43070</v>
      </c>
      <c r="EY3" s="55">
        <f t="shared" ref="EY3" si="91">EX3+EW3*365.25</f>
        <v>54027.5</v>
      </c>
      <c r="EZ3" s="61">
        <f t="shared" ref="EZ3" ca="1" si="92">IF(EX3&gt;$G$1,0,DATEDIF(EX3,$G$1,"M"))</f>
        <v>0</v>
      </c>
      <c r="FA3" s="37" t="s">
        <v>2588</v>
      </c>
      <c r="FB3" s="39">
        <v>0</v>
      </c>
      <c r="FC3" s="39">
        <f t="shared" ref="FC3" si="93">FB3-EV3</f>
        <v>0</v>
      </c>
      <c r="FD3" s="40" t="e">
        <f t="shared" ref="FD3" si="94">FB3/EV3-1</f>
        <v>#DIV/0!</v>
      </c>
      <c r="FE3" s="39"/>
      <c r="FF3" s="43">
        <f t="shared" ref="FF3" ca="1" si="95">IF(EX3&lt;$G$1-365.25,1,0)</f>
        <v>0</v>
      </c>
      <c r="FH3" s="107" t="s">
        <v>136</v>
      </c>
      <c r="FI3" s="108">
        <v>0</v>
      </c>
      <c r="FJ3" s="146"/>
      <c r="FK3" s="146"/>
      <c r="FS3" s="550">
        <v>1</v>
      </c>
      <c r="FT3" s="58">
        <v>1</v>
      </c>
      <c r="FU3" s="38">
        <v>2</v>
      </c>
      <c r="FV3" s="38">
        <f t="shared" si="47"/>
        <v>1.0004997502081252</v>
      </c>
      <c r="FW3" s="39">
        <f t="shared" si="48"/>
        <v>25.012493755203131</v>
      </c>
      <c r="FY3" s="437"/>
    </row>
    <row r="4" spans="2:191">
      <c r="B4" s="153"/>
      <c r="D4" s="78">
        <v>208.57</v>
      </c>
      <c r="E4" s="79" t="s">
        <v>396</v>
      </c>
      <c r="F4" s="80">
        <v>25</v>
      </c>
      <c r="G4" s="81">
        <f>INT($D$4/F4)</f>
        <v>8</v>
      </c>
      <c r="H4" s="80">
        <f>G4*F4</f>
        <v>200</v>
      </c>
      <c r="I4" s="96">
        <f>IF($D$4-F4*G4&gt;=0,$D$4-F4*G4,$D$4)</f>
        <v>8.5699999999999932</v>
      </c>
      <c r="J4" s="192" t="s">
        <v>164</v>
      </c>
      <c r="K4" s="96">
        <f ca="1">25*G4*H49</f>
        <v>1.4575083268438334</v>
      </c>
      <c r="L4" s="96">
        <f ca="1">K4/12</f>
        <v>0.12145902723698611</v>
      </c>
      <c r="M4" s="82">
        <f ca="1">K4/365.25</f>
        <v>3.9904403199009812E-3</v>
      </c>
      <c r="N4" s="96"/>
      <c r="O4" s="59"/>
      <c r="P4" s="59">
        <v>100</v>
      </c>
      <c r="Q4" s="59" t="s">
        <v>1697</v>
      </c>
      <c r="R4" s="60">
        <v>28</v>
      </c>
      <c r="S4" s="55">
        <v>42390</v>
      </c>
      <c r="T4" s="380">
        <v>25</v>
      </c>
      <c r="U4" s="55">
        <f t="shared" si="50"/>
        <v>43118</v>
      </c>
      <c r="V4" s="61">
        <f t="shared" ca="1" si="51"/>
        <v>11</v>
      </c>
      <c r="W4" s="38"/>
      <c r="X4" s="59"/>
      <c r="Y4" s="59"/>
      <c r="Z4" s="59"/>
      <c r="AA4" s="60"/>
      <c r="AB4" s="55"/>
      <c r="AC4" s="380"/>
      <c r="AD4" s="55"/>
      <c r="AE4" s="61"/>
      <c r="AF4" s="38"/>
      <c r="AG4" s="73"/>
      <c r="AH4" s="59"/>
      <c r="AI4" s="59"/>
      <c r="AJ4" s="59"/>
      <c r="AK4" s="60"/>
      <c r="AL4" s="55"/>
      <c r="AM4" s="380"/>
      <c r="AN4" s="55"/>
      <c r="AO4" s="61"/>
      <c r="AP4" s="73"/>
      <c r="AQ4" s="59"/>
      <c r="AR4" s="59">
        <v>100</v>
      </c>
      <c r="AS4" s="59" t="s">
        <v>2461</v>
      </c>
      <c r="AT4" s="60">
        <f t="shared" ref="AT4:AT7" si="96">7*52</f>
        <v>364</v>
      </c>
      <c r="AU4" s="55">
        <v>42600</v>
      </c>
      <c r="AV4" s="380">
        <v>1</v>
      </c>
      <c r="AW4" s="55">
        <f>AU4+AT4*(AV4+1)</f>
        <v>43328</v>
      </c>
      <c r="AX4" s="1280">
        <f t="shared" ca="1" si="52"/>
        <v>1.5</v>
      </c>
      <c r="AY4" s="73"/>
      <c r="AZ4" s="38"/>
      <c r="BA4" s="38"/>
      <c r="BB4" s="38"/>
      <c r="BC4" s="59">
        <v>100</v>
      </c>
      <c r="BD4" s="3">
        <f>1+(11/12)</f>
        <v>1.9166666666666665</v>
      </c>
      <c r="BE4" s="55">
        <v>42244</v>
      </c>
      <c r="BF4" s="55">
        <f t="shared" si="3"/>
        <v>42944.0625</v>
      </c>
      <c r="BG4" s="55">
        <v>42216</v>
      </c>
      <c r="BH4" s="747" t="s">
        <v>2471</v>
      </c>
      <c r="BI4" s="160">
        <v>1E-3</v>
      </c>
      <c r="BJ4" s="165">
        <f t="shared" si="4"/>
        <v>2.5000000000000001E-2</v>
      </c>
      <c r="BK4" s="163">
        <f t="shared" si="5"/>
        <v>0.1</v>
      </c>
      <c r="BL4" s="39">
        <f t="shared" si="6"/>
        <v>0.19166666666666665</v>
      </c>
      <c r="BM4" s="73">
        <f t="shared" si="7"/>
        <v>100.19166666666666</v>
      </c>
      <c r="BN4" s="73">
        <f t="shared" si="8"/>
        <v>8.3333333333333332E-3</v>
      </c>
      <c r="BO4" s="73" t="str">
        <f t="shared" si="53"/>
        <v>Oct</v>
      </c>
      <c r="BP4" s="73" t="str">
        <f t="shared" si="54"/>
        <v>Jan</v>
      </c>
      <c r="BQ4" s="73" t="str">
        <f t="shared" si="55"/>
        <v>Jul</v>
      </c>
      <c r="BR4" s="73"/>
      <c r="BS4" s="73"/>
      <c r="BT4" s="38"/>
      <c r="BU4" s="38"/>
      <c r="BW4" s="59">
        <v>100</v>
      </c>
      <c r="BX4" s="3">
        <f>9+(10/12)</f>
        <v>9.8333333333333339</v>
      </c>
      <c r="BY4" s="55">
        <v>42752</v>
      </c>
      <c r="BZ4" s="55">
        <f t="shared" ref="BZ4" si="97">BY4+BX4*365.25</f>
        <v>46343.625</v>
      </c>
      <c r="CA4" s="55">
        <v>42689</v>
      </c>
      <c r="CB4" s="747" t="s">
        <v>2667</v>
      </c>
      <c r="CC4" s="160">
        <v>0.02</v>
      </c>
      <c r="CD4" s="165">
        <f t="shared" ref="CD4" si="98">CE4/2</f>
        <v>1</v>
      </c>
      <c r="CE4" s="163">
        <f t="shared" ref="CE4" si="99">BW4*CC4</f>
        <v>2</v>
      </c>
      <c r="CF4" s="39">
        <f t="shared" ref="CF4" si="100">BX4*CE4</f>
        <v>19.666666666666668</v>
      </c>
      <c r="CG4" s="73">
        <f t="shared" ref="CG4" si="101">BW4+CF4</f>
        <v>119.66666666666667</v>
      </c>
      <c r="CH4" s="73">
        <f t="shared" ref="CH4" si="102">CE4/12</f>
        <v>0.16666666666666666</v>
      </c>
      <c r="CI4" s="54" t="str">
        <f t="shared" ref="CI4" si="103">CHOOSE(MONTH(CA4+365.25/2),"Jan","Feb","Mar","Apr","May","Jun","Jul","Aug","Sep","Oct","Nov","Dec")</f>
        <v>May</v>
      </c>
      <c r="CJ4" s="54" t="str">
        <f t="shared" ref="CJ4" si="104">CHOOSE(MONTH(CA4+365.25),"Jan","Feb","Mar","Apr","May","Jun","Jul","Aug","Sep","Oct","Nov","Dec")</f>
        <v>Nov</v>
      </c>
      <c r="CK4" s="54"/>
      <c r="CL4" s="54"/>
      <c r="CM4" s="54"/>
      <c r="CO4" s="59">
        <v>200</v>
      </c>
      <c r="CP4" s="3">
        <f>29+(10/12)</f>
        <v>29.833333333333332</v>
      </c>
      <c r="CQ4" s="55">
        <v>42752</v>
      </c>
      <c r="CR4" s="55">
        <f t="shared" ref="CR4" si="105">CQ4+CP4*365.25</f>
        <v>53648.625</v>
      </c>
      <c r="CS4" s="55">
        <v>42689</v>
      </c>
      <c r="CT4" s="23" t="s">
        <v>2668</v>
      </c>
      <c r="CU4" s="160">
        <v>2.8750000000000001E-2</v>
      </c>
      <c r="CV4" s="165">
        <f t="shared" ref="CV4" si="106">CW4/2</f>
        <v>2.875</v>
      </c>
      <c r="CW4" s="163">
        <f t="shared" ref="CW4" si="107">CO4*CU4</f>
        <v>5.75</v>
      </c>
      <c r="CX4" s="73">
        <f t="shared" ref="CX4" si="108">CP4*CW4</f>
        <v>171.54166666666666</v>
      </c>
      <c r="CY4" s="203">
        <f t="shared" ref="CY4" si="109">CO4+CX4</f>
        <v>371.54166666666663</v>
      </c>
      <c r="CZ4" s="203">
        <f t="shared" ref="CZ4" si="110">CW4/12</f>
        <v>0.47916666666666669</v>
      </c>
      <c r="DA4" s="54" t="str">
        <f t="shared" ref="DA4" si="111">CHOOSE(MONTH(CS4+365.25/2),"Jan","Feb","Mar","Apr","May","Jun","Jul","Aug","Sep","Oct","Nov","Dec")</f>
        <v>May</v>
      </c>
      <c r="DB4" s="54" t="str">
        <f t="shared" ref="DB4" si="112">CHOOSE(MONTH(CS4+365.25),"Jan","Feb","Mar","Apr","May","Jun","Jul","Aug","Sep","Oct","Nov","Dec")</f>
        <v>Nov</v>
      </c>
      <c r="DC4" s="54"/>
      <c r="DD4" s="54"/>
      <c r="DG4" s="59">
        <v>100</v>
      </c>
      <c r="DH4" s="3">
        <v>10</v>
      </c>
      <c r="DI4" s="55">
        <v>42766</v>
      </c>
      <c r="DJ4" s="55">
        <f t="shared" ref="DJ4" si="113">DI4+DH4*365.25</f>
        <v>46418.5</v>
      </c>
      <c r="DK4" s="55">
        <v>42750</v>
      </c>
      <c r="DL4" s="747" t="s">
        <v>2688</v>
      </c>
      <c r="DM4" s="160">
        <v>3.7499999999999999E-3</v>
      </c>
      <c r="DN4" s="165">
        <f t="shared" ref="DN4" si="114">DO4/2</f>
        <v>0.1875</v>
      </c>
      <c r="DO4" s="163">
        <f t="shared" ref="DO4" si="115">DU4*DM4</f>
        <v>0.375</v>
      </c>
      <c r="DP4" s="73">
        <f t="shared" ref="DP4" si="116">DH4*DO4</f>
        <v>3.75</v>
      </c>
      <c r="DQ4" s="203">
        <f t="shared" ref="DQ4" si="117">DU4+DP4</f>
        <v>103.75</v>
      </c>
      <c r="DR4" s="203">
        <f t="shared" ref="DR4" si="118">DO4/12</f>
        <v>3.125E-2</v>
      </c>
      <c r="DS4" s="54" t="str">
        <f t="shared" ref="DS4" si="119">CHOOSE(MONTH(DK4+365.25/2),"Jan","Feb","Mar","Apr","May","Jun","Jul","Aug","Sep","Oct","Nov","Dec")</f>
        <v>Jul</v>
      </c>
      <c r="DT4" s="54" t="str">
        <f t="shared" ref="DT4" si="120">CHOOSE(MONTH(DK4+365.25),"Jan","Feb","Mar","Apr","May","Jun","Jul","Aug","Sep","Oct","Nov","Dec")</f>
        <v>Jan</v>
      </c>
      <c r="DU4" s="44">
        <v>100</v>
      </c>
      <c r="DV4" s="579"/>
      <c r="DW4" s="1041"/>
      <c r="DX4" s="39">
        <f t="shared" ref="DX4:DX6" si="121">DU4-DG4</f>
        <v>0</v>
      </c>
      <c r="DY4" s="355">
        <f t="shared" ref="DY4:DY6" si="122">IF(DV4&lt;&gt;"",DATEDIF(DI4,DV4,"D"),0)</f>
        <v>0</v>
      </c>
      <c r="DZ4" s="39">
        <f t="shared" ref="DZ4:DZ6" si="123">IF(DY4=0,0,DX4/DY4)</f>
        <v>0</v>
      </c>
      <c r="EA4" s="200"/>
      <c r="EB4" s="38"/>
      <c r="EC4" s="380">
        <f t="shared" ca="1" si="83"/>
        <v>0</v>
      </c>
      <c r="ED4" s="73">
        <v>0</v>
      </c>
      <c r="EE4" s="38">
        <v>30</v>
      </c>
      <c r="EF4" s="54">
        <v>42979</v>
      </c>
      <c r="EG4" s="55">
        <f t="shared" ref="EG4" si="124">EF4+EE4*365.25</f>
        <v>53936.5</v>
      </c>
      <c r="EH4" s="61" t="s">
        <v>122</v>
      </c>
      <c r="EI4" s="61">
        <f t="shared" ref="EI4" ca="1" si="125">IF(EF4&gt;$G$1,0,DATEDIF(EF4,$G$1,"M"))</f>
        <v>0</v>
      </c>
      <c r="EJ4" s="747" t="s">
        <v>2528</v>
      </c>
      <c r="EK4" s="39">
        <v>0</v>
      </c>
      <c r="EL4" s="39">
        <f t="shared" ref="EL4" si="126">EK4-ED4</f>
        <v>0</v>
      </c>
      <c r="EM4" s="40" t="e">
        <f t="shared" ref="EM4" si="127">EK4/ED4-1</f>
        <v>#DIV/0!</v>
      </c>
      <c r="EN4" s="39"/>
      <c r="EO4" s="43">
        <f t="shared" ref="EO4" ca="1" si="128">IF(EF4&lt;$G$1-365.25,1,0)</f>
        <v>0</v>
      </c>
      <c r="EP4" s="39">
        <f t="shared" ref="EP4" ca="1" si="129">ED4*(1+$EB$23)^(EI4/12)</f>
        <v>0</v>
      </c>
      <c r="EQ4" s="39"/>
      <c r="ET4" s="37"/>
      <c r="EU4" s="1360">
        <f t="shared" ca="1" si="90"/>
        <v>0</v>
      </c>
      <c r="EV4" s="173">
        <v>0</v>
      </c>
      <c r="EW4" s="747">
        <v>30</v>
      </c>
      <c r="EX4" s="55">
        <v>43070</v>
      </c>
      <c r="EY4" s="55">
        <f t="shared" ref="EY4" si="130">EX4+EW4*365.25</f>
        <v>54027.5</v>
      </c>
      <c r="EZ4" s="61">
        <f t="shared" ref="EZ4" ca="1" si="131">IF(EX4&gt;$G$1,0,DATEDIF(EX4,$G$1,"M"))</f>
        <v>0</v>
      </c>
      <c r="FA4" s="37" t="s">
        <v>2587</v>
      </c>
      <c r="FB4" s="39">
        <v>0</v>
      </c>
      <c r="FC4" s="39">
        <f t="shared" ref="FC4" si="132">FB4-EV4</f>
        <v>0</v>
      </c>
      <c r="FD4" s="40" t="e">
        <f t="shared" ref="FD4" si="133">FB4/EV4-1</f>
        <v>#DIV/0!</v>
      </c>
      <c r="FE4" s="39"/>
      <c r="FF4" s="43">
        <f t="shared" ref="FF4" ca="1" si="134">IF(EX4&lt;$G$1-365.25,1,0)</f>
        <v>0</v>
      </c>
      <c r="FH4" s="107" t="s">
        <v>138</v>
      </c>
      <c r="FI4" s="1227">
        <v>1.38E-2</v>
      </c>
      <c r="FJ4" s="1168" t="s">
        <v>1750</v>
      </c>
      <c r="FK4" s="146"/>
      <c r="FS4" s="550">
        <v>1</v>
      </c>
      <c r="FT4" s="58">
        <v>1</v>
      </c>
      <c r="FU4" s="38">
        <v>3</v>
      </c>
      <c r="FV4" s="38">
        <f t="shared" si="47"/>
        <v>1.0007497189607399</v>
      </c>
      <c r="FW4" s="39">
        <f t="shared" si="48"/>
        <v>25.018742974018497</v>
      </c>
      <c r="FX4" s="367" t="s">
        <v>217</v>
      </c>
      <c r="FY4" s="721"/>
      <c r="FZ4" s="722"/>
      <c r="GA4" s="722"/>
      <c r="GD4" s="105" t="s">
        <v>1991</v>
      </c>
      <c r="GE4" s="1108"/>
      <c r="GF4" s="1108"/>
      <c r="GG4" s="111"/>
      <c r="GH4" s="111"/>
      <c r="GI4" s="112"/>
    </row>
    <row r="5" spans="2:191" ht="13.5" thickBot="1">
      <c r="B5" s="153"/>
      <c r="C5" s="153"/>
      <c r="D5" s="84"/>
      <c r="E5" s="85" t="s">
        <v>2339</v>
      </c>
      <c r="F5" s="86">
        <v>100</v>
      </c>
      <c r="G5" s="87">
        <f>INT($D$4/F5)</f>
        <v>2</v>
      </c>
      <c r="H5" s="86">
        <f>G5*F5</f>
        <v>200</v>
      </c>
      <c r="I5" s="102">
        <f>IF($D$4-F5*G5&gt;=0,$D$4-F5*G5,$D$4)</f>
        <v>8.5699999999999932</v>
      </c>
      <c r="J5" s="192" t="s">
        <v>9</v>
      </c>
      <c r="K5" s="1210">
        <f>100*G5*H45</f>
        <v>3.8604651162790695</v>
      </c>
      <c r="L5" s="96">
        <f t="shared" si="49"/>
        <v>0.32170542635658911</v>
      </c>
      <c r="M5" s="82">
        <f>K5/365.25</f>
        <v>1.0569377457300669E-2</v>
      </c>
      <c r="N5" s="96"/>
      <c r="O5" s="59" t="s">
        <v>345</v>
      </c>
      <c r="P5" s="59">
        <v>100</v>
      </c>
      <c r="Q5" s="59" t="s">
        <v>1696</v>
      </c>
      <c r="R5" s="60">
        <v>28</v>
      </c>
      <c r="S5" s="55">
        <v>42383</v>
      </c>
      <c r="T5" s="380">
        <v>25</v>
      </c>
      <c r="U5" s="55">
        <f t="shared" si="50"/>
        <v>43111</v>
      </c>
      <c r="V5" s="61">
        <f t="shared" ca="1" si="51"/>
        <v>11</v>
      </c>
      <c r="W5" s="38"/>
      <c r="X5" s="59" t="s">
        <v>2454</v>
      </c>
      <c r="Y5" s="59"/>
      <c r="Z5" s="59"/>
      <c r="AA5" s="60"/>
      <c r="AB5" s="55"/>
      <c r="AC5" s="380"/>
      <c r="AD5" s="55"/>
      <c r="AE5" s="61"/>
      <c r="AF5" s="38"/>
      <c r="AG5" s="73"/>
      <c r="AH5" s="59" t="s">
        <v>2457</v>
      </c>
      <c r="AI5" s="59"/>
      <c r="AJ5" s="59"/>
      <c r="AK5" s="60"/>
      <c r="AL5" s="55"/>
      <c r="AM5" s="380"/>
      <c r="AN5" s="55"/>
      <c r="AO5" s="61"/>
      <c r="AP5" s="73"/>
      <c r="AQ5" s="59" t="s">
        <v>2463</v>
      </c>
      <c r="AR5" s="59">
        <v>100</v>
      </c>
      <c r="AS5" s="59" t="s">
        <v>2462</v>
      </c>
      <c r="AT5" s="60">
        <f t="shared" si="96"/>
        <v>364</v>
      </c>
      <c r="AU5" s="55">
        <v>42572</v>
      </c>
      <c r="AV5" s="380">
        <v>1</v>
      </c>
      <c r="AW5" s="55">
        <f>AU5+AT5*(AV5+1)</f>
        <v>43300</v>
      </c>
      <c r="AX5" s="1280">
        <f t="shared" ca="1" si="52"/>
        <v>1.4166666666666667</v>
      </c>
      <c r="AY5" s="73"/>
      <c r="AZ5" s="38"/>
      <c r="BA5" s="38"/>
      <c r="BB5" s="747" t="s">
        <v>2472</v>
      </c>
      <c r="BC5" s="59"/>
      <c r="BD5" s="3"/>
      <c r="BE5" s="55"/>
      <c r="BF5" s="55"/>
      <c r="BG5" s="55"/>
      <c r="BH5" s="747"/>
      <c r="BI5" s="160"/>
      <c r="BJ5" s="165"/>
      <c r="BK5" s="163"/>
      <c r="BL5" s="39"/>
      <c r="BM5" s="73"/>
      <c r="BN5" s="73"/>
      <c r="BO5" s="73"/>
      <c r="BP5" s="73"/>
      <c r="BQ5" s="73"/>
      <c r="BR5" s="73"/>
      <c r="BS5" s="73"/>
      <c r="BT5" s="38"/>
      <c r="BU5" s="38"/>
      <c r="BV5" s="1" t="s">
        <v>346</v>
      </c>
      <c r="BW5" s="59">
        <v>100</v>
      </c>
      <c r="BX5" s="3">
        <f>9+(11/12)</f>
        <v>9.9166666666666661</v>
      </c>
      <c r="BY5" s="55">
        <v>42719</v>
      </c>
      <c r="BZ5" s="55">
        <f t="shared" ref="BZ5" si="135">BY5+BX5*365.25</f>
        <v>46341.0625</v>
      </c>
      <c r="CA5" s="55">
        <v>42689</v>
      </c>
      <c r="CB5" s="747" t="s">
        <v>2515</v>
      </c>
      <c r="CC5" s="160">
        <v>0.02</v>
      </c>
      <c r="CD5" s="165">
        <f t="shared" ref="CD5" si="136">CE5/2</f>
        <v>1</v>
      </c>
      <c r="CE5" s="163">
        <f t="shared" ref="CE5" si="137">BW5*CC5</f>
        <v>2</v>
      </c>
      <c r="CF5" s="39">
        <f t="shared" ref="CF5" si="138">BX5*CE5</f>
        <v>19.833333333333332</v>
      </c>
      <c r="CG5" s="73">
        <f t="shared" ref="CG5" si="139">BW5+CF5</f>
        <v>119.83333333333333</v>
      </c>
      <c r="CH5" s="73">
        <f t="shared" ref="CH5" si="140">CE5/12</f>
        <v>0.16666666666666666</v>
      </c>
      <c r="CI5" s="54" t="str">
        <f t="shared" ref="CI5" si="141">CHOOSE(MONTH(CA5+365.25/2),"Jan","Feb","Mar","Apr","May","Jun","Jul","Aug","Sep","Oct","Nov","Dec")</f>
        <v>May</v>
      </c>
      <c r="CJ5" s="54" t="str">
        <f t="shared" ref="CJ5" si="142">CHOOSE(MONTH(CA5+365.25),"Jan","Feb","Mar","Apr","May","Jun","Jul","Aug","Sep","Oct","Nov","Dec")</f>
        <v>Nov</v>
      </c>
      <c r="CK5" s="54"/>
      <c r="CL5" s="54"/>
      <c r="CM5" s="54"/>
      <c r="CN5" s="1" t="s">
        <v>346</v>
      </c>
      <c r="CO5" s="59">
        <v>300</v>
      </c>
      <c r="CP5" s="3">
        <f>29+(11/12)</f>
        <v>29.916666666666668</v>
      </c>
      <c r="CQ5" s="55">
        <v>42719</v>
      </c>
      <c r="CR5" s="55">
        <f t="shared" ref="CR5:CR10" si="143">CQ5+CP5*365.25</f>
        <v>53646.0625</v>
      </c>
      <c r="CS5" s="55">
        <v>42689</v>
      </c>
      <c r="CT5" s="23" t="s">
        <v>2514</v>
      </c>
      <c r="CU5" s="160">
        <v>2.8750000000000001E-2</v>
      </c>
      <c r="CV5" s="165">
        <f t="shared" ref="CV5" si="144">CW5/2</f>
        <v>4.3125</v>
      </c>
      <c r="CW5" s="163">
        <f t="shared" ref="CW5" si="145">CO5*CU5</f>
        <v>8.625</v>
      </c>
      <c r="CX5" s="73">
        <f t="shared" ref="CX5" si="146">CP5*CW5</f>
        <v>258.03125</v>
      </c>
      <c r="CY5" s="203">
        <f t="shared" ref="CY5" si="147">CO5+CX5</f>
        <v>558.03125</v>
      </c>
      <c r="CZ5" s="203">
        <f t="shared" ref="CZ5" si="148">CW5/12</f>
        <v>0.71875</v>
      </c>
      <c r="DA5" s="54" t="str">
        <f t="shared" ref="DA5" si="149">CHOOSE(MONTH(CS5+365.25/2),"Jan","Feb","Mar","Apr","May","Jun","Jul","Aug","Sep","Oct","Nov","Dec")</f>
        <v>May</v>
      </c>
      <c r="DB5" s="54" t="str">
        <f t="shared" ref="DB5" si="150">CHOOSE(MONTH(CS5+365.25),"Jan","Feb","Mar","Apr","May","Jun","Jul","Aug","Sep","Oct","Nov","Dec")</f>
        <v>Nov</v>
      </c>
      <c r="DC5" s="54"/>
      <c r="DD5" s="54"/>
      <c r="DF5" s="1" t="s">
        <v>346</v>
      </c>
      <c r="DG5" s="59">
        <v>100</v>
      </c>
      <c r="DH5" s="3">
        <f>4+(4/12)</f>
        <v>4.333333333333333</v>
      </c>
      <c r="DI5" s="55">
        <v>42734</v>
      </c>
      <c r="DJ5" s="55">
        <f t="shared" ref="DJ5" si="151">DI5+DH5*365.25</f>
        <v>44316.75</v>
      </c>
      <c r="DK5" s="55">
        <v>42658</v>
      </c>
      <c r="DL5" s="747" t="s">
        <v>2521</v>
      </c>
      <c r="DM5" s="160">
        <v>1.25E-3</v>
      </c>
      <c r="DN5" s="165">
        <f t="shared" ref="DN5" si="152">DO5/2</f>
        <v>6.25E-2</v>
      </c>
      <c r="DO5" s="163">
        <f t="shared" ref="DO5" si="153">DU5*DM5</f>
        <v>0.125</v>
      </c>
      <c r="DP5" s="73">
        <f t="shared" ref="DP5" si="154">DH5*DO5</f>
        <v>0.54166666666666663</v>
      </c>
      <c r="DQ5" s="203">
        <f t="shared" ref="DQ5" si="155">DU5+DP5</f>
        <v>100.54166666666667</v>
      </c>
      <c r="DR5" s="203">
        <f t="shared" ref="DR5" si="156">DO5/12</f>
        <v>1.0416666666666666E-2</v>
      </c>
      <c r="DS5" s="54" t="str">
        <f t="shared" ref="DS5" si="157">CHOOSE(MONTH(DK5+365.25/2),"Jan","Feb","Mar","Apr","May","Jun","Jul","Aug","Sep","Oct","Nov","Dec")</f>
        <v>Apr</v>
      </c>
      <c r="DT5" s="54" t="str">
        <f t="shared" ref="DT5" si="158">CHOOSE(MONTH(DK5+365.25),"Jan","Feb","Mar","Apr","May","Jun","Jul","Aug","Sep","Oct","Nov","Dec")</f>
        <v>Oct</v>
      </c>
      <c r="DU5" s="44">
        <v>100</v>
      </c>
      <c r="DV5" s="579"/>
      <c r="DW5" s="40"/>
      <c r="DX5" s="39">
        <f t="shared" si="121"/>
        <v>0</v>
      </c>
      <c r="DY5" s="355">
        <f t="shared" si="122"/>
        <v>0</v>
      </c>
      <c r="DZ5" s="39">
        <f t="shared" si="123"/>
        <v>0</v>
      </c>
      <c r="EA5" s="200"/>
      <c r="EB5" s="1" t="s">
        <v>119</v>
      </c>
      <c r="EC5" s="380">
        <f t="shared" ca="1" si="83"/>
        <v>0</v>
      </c>
      <c r="ED5" s="73">
        <v>0</v>
      </c>
      <c r="EE5" s="38">
        <v>30</v>
      </c>
      <c r="EF5" s="54">
        <v>42948</v>
      </c>
      <c r="EG5" s="55">
        <f t="shared" ref="EG5" si="159">EF5+EE5*365.25</f>
        <v>53905.5</v>
      </c>
      <c r="EH5" s="61" t="s">
        <v>122</v>
      </c>
      <c r="EI5" s="61">
        <f t="shared" ref="EI5" ca="1" si="160">IF(EF5&gt;$G$1,0,DATEDIF(EF5,$G$1,"M"))</f>
        <v>0</v>
      </c>
      <c r="EJ5" s="747" t="s">
        <v>2529</v>
      </c>
      <c r="EK5" s="39">
        <v>0</v>
      </c>
      <c r="EL5" s="39">
        <f t="shared" ref="EL5" si="161">EK5-ED5</f>
        <v>0</v>
      </c>
      <c r="EM5" s="40" t="e">
        <f t="shared" ref="EM5" si="162">EK5/ED5-1</f>
        <v>#DIV/0!</v>
      </c>
      <c r="EN5" s="39"/>
      <c r="EO5" s="43">
        <f t="shared" ref="EO5" ca="1" si="163">IF(EF5&lt;$G$1-365.25,1,0)</f>
        <v>0</v>
      </c>
      <c r="EP5" s="39">
        <f t="shared" ref="EP5" ca="1" si="164">ED5*(1+$EB$23)^(EI5/12)</f>
        <v>0</v>
      </c>
      <c r="EQ5" s="39"/>
      <c r="ET5" s="37" t="s">
        <v>119</v>
      </c>
      <c r="EU5" s="1360">
        <f t="shared" ca="1" si="90"/>
        <v>0</v>
      </c>
      <c r="EV5" s="173">
        <v>0</v>
      </c>
      <c r="EW5" s="747">
        <v>30</v>
      </c>
      <c r="EX5" s="55">
        <v>43070</v>
      </c>
      <c r="EY5" s="55">
        <f t="shared" ref="EY5" si="165">EX5+EW5*365.25</f>
        <v>54027.5</v>
      </c>
      <c r="EZ5" s="61">
        <f t="shared" ref="EZ5" ca="1" si="166">IF(EX5&gt;$G$1,0,DATEDIF(EX5,$G$1,"M"))</f>
        <v>0</v>
      </c>
      <c r="FA5" s="37" t="s">
        <v>2586</v>
      </c>
      <c r="FB5" s="39">
        <v>0</v>
      </c>
      <c r="FC5" s="39">
        <f t="shared" ref="FC5" si="167">FB5-EV5</f>
        <v>0</v>
      </c>
      <c r="FD5" s="40" t="e">
        <f t="shared" ref="FD5" si="168">FB5/EV5-1</f>
        <v>#DIV/0!</v>
      </c>
      <c r="FE5" s="39"/>
      <c r="FF5" s="43">
        <f t="shared" ref="FF5" ca="1" si="169">IF(EX5&lt;$G$1-365.25,1,0)</f>
        <v>0</v>
      </c>
      <c r="FH5" s="109" t="s">
        <v>137</v>
      </c>
      <c r="FI5" s="110">
        <f>IF(FI3+2*FI4+FI3*FI4&lt;0,0,FI3+2*FI4+FI3*FI4)</f>
        <v>2.76E-2</v>
      </c>
      <c r="FJ5" s="147"/>
      <c r="FK5" s="147"/>
      <c r="FS5" s="550">
        <v>1</v>
      </c>
      <c r="FT5" s="58">
        <v>1</v>
      </c>
      <c r="FU5" s="38">
        <v>4</v>
      </c>
      <c r="FV5" s="38">
        <f t="shared" si="47"/>
        <v>1.0009997501665211</v>
      </c>
      <c r="FW5" s="39">
        <f t="shared" si="48"/>
        <v>25.024993754163027</v>
      </c>
      <c r="FY5" s="439"/>
      <c r="GD5" s="497"/>
      <c r="GE5" s="1109"/>
      <c r="GF5" s="114"/>
      <c r="GG5" s="114"/>
      <c r="GH5" s="114"/>
      <c r="GI5" s="115"/>
    </row>
    <row r="6" spans="2:191" ht="13.5" thickBot="1">
      <c r="C6" s="153"/>
      <c r="D6" s="153"/>
      <c r="E6" s="67"/>
      <c r="J6" s="192" t="s">
        <v>867</v>
      </c>
      <c r="K6" s="96">
        <f>100*G5*H46</f>
        <v>5.8415492957746471</v>
      </c>
      <c r="L6" s="96">
        <f t="shared" si="49"/>
        <v>0.48679577464788726</v>
      </c>
      <c r="M6" s="82">
        <f>K6/365.25</f>
        <v>1.5993290337507588E-2</v>
      </c>
      <c r="N6" s="96"/>
      <c r="O6" s="483">
        <f>(O3/100)*(100-E65)</f>
        <v>0.72410900000001277</v>
      </c>
      <c r="P6" s="59">
        <v>100</v>
      </c>
      <c r="Q6" s="59" t="s">
        <v>1695</v>
      </c>
      <c r="R6" s="60">
        <v>28</v>
      </c>
      <c r="S6" s="55">
        <v>42376</v>
      </c>
      <c r="T6" s="380">
        <v>25</v>
      </c>
      <c r="U6" s="55">
        <f t="shared" si="50"/>
        <v>43104</v>
      </c>
      <c r="V6" s="61">
        <f t="shared" ca="1" si="51"/>
        <v>10</v>
      </c>
      <c r="W6" s="38"/>
      <c r="X6" s="483">
        <f>(X3/100)*(100-E66)</f>
        <v>0.13018099999999322</v>
      </c>
      <c r="Y6" s="59"/>
      <c r="Z6" s="59"/>
      <c r="AA6" s="60"/>
      <c r="AB6" s="55"/>
      <c r="AC6" s="380"/>
      <c r="AD6" s="55"/>
      <c r="AE6" s="61"/>
      <c r="AF6" s="38"/>
      <c r="AG6" s="73"/>
      <c r="AH6" s="1279">
        <f>(AH3/100)*(100-E67)</f>
        <v>0.31597200000000214</v>
      </c>
      <c r="AI6" s="59"/>
      <c r="AJ6" s="59"/>
      <c r="AK6" s="60"/>
      <c r="AL6" s="55"/>
      <c r="AM6" s="380"/>
      <c r="AN6" s="55"/>
      <c r="AO6" s="61"/>
      <c r="AP6" s="73"/>
      <c r="AQ6" s="1279">
        <f>(AQ3/100)*(100-E68)</f>
        <v>4.853999999999985</v>
      </c>
      <c r="AR6" s="59">
        <v>100</v>
      </c>
      <c r="AS6" s="59" t="s">
        <v>2703</v>
      </c>
      <c r="AT6" s="60">
        <f t="shared" si="96"/>
        <v>364</v>
      </c>
      <c r="AU6" s="55">
        <v>42432</v>
      </c>
      <c r="AV6" s="380">
        <v>1</v>
      </c>
      <c r="AW6" s="55">
        <f>AU6+AT6*(AV6+1)</f>
        <v>43160</v>
      </c>
      <c r="AX6" s="1280">
        <f t="shared" ca="1" si="52"/>
        <v>1</v>
      </c>
      <c r="AY6" s="73"/>
      <c r="AZ6" s="38"/>
      <c r="BA6" s="38"/>
      <c r="BB6" s="39">
        <f>SUM(BJ:BJ)</f>
        <v>7.5000000000000011E-2</v>
      </c>
      <c r="BC6" s="59"/>
      <c r="BD6" s="3"/>
      <c r="BE6" s="55"/>
      <c r="BF6" s="55"/>
      <c r="BG6" s="55"/>
      <c r="BH6" s="747"/>
      <c r="BI6" s="160"/>
      <c r="BJ6" s="165"/>
      <c r="BK6" s="163"/>
      <c r="BL6" s="39"/>
      <c r="BM6" s="73"/>
      <c r="BN6" s="73"/>
      <c r="BO6" s="73"/>
      <c r="BP6" s="73"/>
      <c r="BQ6" s="73"/>
      <c r="BR6" s="73"/>
      <c r="BS6" s="73"/>
      <c r="BT6" s="38"/>
      <c r="BU6" s="386"/>
      <c r="BV6" s="39">
        <f>SUM(CD:CD)</f>
        <v>41.5</v>
      </c>
      <c r="BW6" s="59">
        <v>200</v>
      </c>
      <c r="BX6" s="3">
        <v>10</v>
      </c>
      <c r="BY6" s="55">
        <v>42689</v>
      </c>
      <c r="BZ6" s="55">
        <f t="shared" ref="BZ6" si="170">BY6+BX6*365.25</f>
        <v>46341.5</v>
      </c>
      <c r="CA6" s="55">
        <v>42689</v>
      </c>
      <c r="CB6" s="747" t="s">
        <v>2418</v>
      </c>
      <c r="CC6" s="160">
        <v>0.02</v>
      </c>
      <c r="CD6" s="165">
        <f t="shared" ref="CD6" si="171">CE6/2</f>
        <v>2</v>
      </c>
      <c r="CE6" s="163">
        <f t="shared" ref="CE6" si="172">BW6*CC6</f>
        <v>4</v>
      </c>
      <c r="CF6" s="39">
        <f t="shared" ref="CF6" si="173">BX6*CE6</f>
        <v>40</v>
      </c>
      <c r="CG6" s="73">
        <f t="shared" ref="CG6" si="174">BW6+CF6</f>
        <v>240</v>
      </c>
      <c r="CH6" s="73">
        <f t="shared" ref="CH6" si="175">CE6/12</f>
        <v>0.33333333333333331</v>
      </c>
      <c r="CI6" s="54" t="str">
        <f t="shared" ref="CI6" si="176">CHOOSE(MONTH(CA6+365.25/2),"Jan","Feb","Mar","Apr","May","Jun","Jul","Aug","Sep","Oct","Nov","Dec")</f>
        <v>May</v>
      </c>
      <c r="CJ6" s="54" t="str">
        <f t="shared" ref="CJ6" si="177">CHOOSE(MONTH(CA6+365.25),"Jan","Feb","Mar","Apr","May","Jun","Jul","Aug","Sep","Oct","Nov","Dec")</f>
        <v>Nov</v>
      </c>
      <c r="CK6" s="54"/>
      <c r="CL6" s="54"/>
      <c r="CM6" s="54"/>
      <c r="CN6" s="39">
        <f>SUM(CV:CV)</f>
        <v>103.6875</v>
      </c>
      <c r="CO6" s="59">
        <v>300</v>
      </c>
      <c r="CP6" s="3">
        <v>30</v>
      </c>
      <c r="CQ6" s="55">
        <v>42689</v>
      </c>
      <c r="CR6" s="55">
        <f t="shared" si="143"/>
        <v>53646.5</v>
      </c>
      <c r="CS6" s="55">
        <v>42689</v>
      </c>
      <c r="CT6" s="23" t="s">
        <v>2419</v>
      </c>
      <c r="CU6" s="160">
        <v>2.8750000000000001E-2</v>
      </c>
      <c r="CV6" s="165">
        <f t="shared" ref="CV6" si="178">CW6/2</f>
        <v>4.3125</v>
      </c>
      <c r="CW6" s="163">
        <f t="shared" ref="CW6" si="179">CO6*CU6</f>
        <v>8.625</v>
      </c>
      <c r="CX6" s="73">
        <f t="shared" ref="CX6" si="180">CP6*CW6</f>
        <v>258.75</v>
      </c>
      <c r="CY6" s="203">
        <f t="shared" ref="CY6" si="181">CO6+CX6</f>
        <v>558.75</v>
      </c>
      <c r="CZ6" s="203">
        <f t="shared" ref="CZ6" si="182">CW6/12</f>
        <v>0.71875</v>
      </c>
      <c r="DA6" s="54" t="str">
        <f t="shared" ref="DA6:DA11" si="183">CHOOSE(MONTH(CS6+365.25/2),"Jan","Feb","Mar","Apr","May","Jun","Jul","Aug","Sep","Oct","Nov","Dec")</f>
        <v>May</v>
      </c>
      <c r="DB6" s="54" t="str">
        <f t="shared" ref="DB6:DB11" si="184">CHOOSE(MONTH(CS6+365.25),"Jan","Feb","Mar","Apr","May","Jun","Jul","Aug","Sep","Oct","Nov","Dec")</f>
        <v>Nov</v>
      </c>
      <c r="DC6" s="54"/>
      <c r="DD6" s="54"/>
      <c r="DF6" s="39">
        <f>SUM(DN:DN)</f>
        <v>11.602574999999998</v>
      </c>
      <c r="DG6" s="59">
        <v>100</v>
      </c>
      <c r="DH6" s="3">
        <f>9+(8/12)</f>
        <v>9.6666666666666661</v>
      </c>
      <c r="DI6" s="55">
        <v>42704</v>
      </c>
      <c r="DJ6" s="55">
        <f>DI6+DH6*365.25</f>
        <v>46234.75</v>
      </c>
      <c r="DK6" s="55">
        <v>42566</v>
      </c>
      <c r="DL6" s="747" t="s">
        <v>2435</v>
      </c>
      <c r="DM6" s="160">
        <v>6.2500000000000003E-3</v>
      </c>
      <c r="DN6" s="165">
        <f t="shared" ref="DN6" si="185">DO6/2</f>
        <v>0.31490625</v>
      </c>
      <c r="DO6" s="163">
        <f t="shared" ref="DO6" si="186">DU6*DM6</f>
        <v>0.6298125</v>
      </c>
      <c r="DP6" s="73">
        <f t="shared" ref="DP6" si="187">DH6*DO6</f>
        <v>6.0881874999999992</v>
      </c>
      <c r="DQ6" s="203">
        <f t="shared" ref="DQ6" si="188">DU6+DP6</f>
        <v>106.8581875</v>
      </c>
      <c r="DR6" s="203">
        <f t="shared" ref="DR6:DR11" si="189">DO6/12</f>
        <v>5.2484375E-2</v>
      </c>
      <c r="DS6" s="54" t="str">
        <f t="shared" ref="DS6" si="190">CHOOSE(MONTH(DK6+365.25/2),"Jan","Feb","Mar","Apr","May","Jun","Jul","Aug","Sep","Oct","Nov","Dec")</f>
        <v>Jan</v>
      </c>
      <c r="DT6" s="54" t="str">
        <f t="shared" ref="DT6" si="191">CHOOSE(MONTH(DK6+365.25),"Jan","Feb","Mar","Apr","May","Jun","Jul","Aug","Sep","Oct","Nov","Dec")</f>
        <v>Jul</v>
      </c>
      <c r="DU6" s="44">
        <v>100.77</v>
      </c>
      <c r="DV6" s="579">
        <v>42752</v>
      </c>
      <c r="DW6" s="40"/>
      <c r="DX6" s="39">
        <f t="shared" si="121"/>
        <v>0.76999999999999602</v>
      </c>
      <c r="DY6" s="355">
        <f t="shared" si="122"/>
        <v>48</v>
      </c>
      <c r="DZ6" s="39">
        <f t="shared" si="123"/>
        <v>1.6041666666666583E-2</v>
      </c>
      <c r="EA6" s="200"/>
      <c r="EB6" s="39">
        <f>SUM(EK:EK)</f>
        <v>3170.5899999999974</v>
      </c>
      <c r="EC6" s="380">
        <f t="shared" ca="1" si="83"/>
        <v>0</v>
      </c>
      <c r="ED6" s="73">
        <v>0</v>
      </c>
      <c r="EE6" s="38">
        <v>30</v>
      </c>
      <c r="EF6" s="54">
        <v>42917</v>
      </c>
      <c r="EG6" s="55">
        <f t="shared" ref="EG6" si="192">EF6+EE6*365.25</f>
        <v>53874.5</v>
      </c>
      <c r="EH6" s="61" t="s">
        <v>122</v>
      </c>
      <c r="EI6" s="61">
        <f t="shared" ref="EI6" ca="1" si="193">IF(EF6&gt;$G$1,0,DATEDIF(EF6,$G$1,"M"))</f>
        <v>0</v>
      </c>
      <c r="EJ6" s="747" t="s">
        <v>2535</v>
      </c>
      <c r="EK6" s="39">
        <v>0</v>
      </c>
      <c r="EL6" s="39">
        <f t="shared" ref="EL6" si="194">EK6-ED6</f>
        <v>0</v>
      </c>
      <c r="EM6" s="40" t="e">
        <f t="shared" ref="EM6" si="195">EK6/ED6-1</f>
        <v>#DIV/0!</v>
      </c>
      <c r="EN6" s="39"/>
      <c r="EO6" s="43">
        <f t="shared" ref="EO6" ca="1" si="196">IF(EF6&lt;$G$1-365.25,1,0)</f>
        <v>0</v>
      </c>
      <c r="EP6" s="39">
        <f t="shared" ref="EP6" ca="1" si="197">ED6*(1+$EB$23)^(EI6/12)</f>
        <v>0</v>
      </c>
      <c r="EQ6" s="39"/>
      <c r="ET6" s="37">
        <f>SUM(FB:FB)</f>
        <v>11029.05</v>
      </c>
      <c r="EU6" s="1360">
        <f t="shared" ca="1" si="90"/>
        <v>0</v>
      </c>
      <c r="EV6" s="173">
        <v>0</v>
      </c>
      <c r="EW6" s="747">
        <v>30</v>
      </c>
      <c r="EX6" s="55">
        <v>43070</v>
      </c>
      <c r="EY6" s="55">
        <f t="shared" ref="EY6" si="198">EX6+EW6*365.25</f>
        <v>54027.5</v>
      </c>
      <c r="EZ6" s="61">
        <f t="shared" ref="EZ6" ca="1" si="199">IF(EX6&gt;$G$1,0,DATEDIF(EX6,$G$1,"M"))</f>
        <v>0</v>
      </c>
      <c r="FA6" s="37" t="s">
        <v>2585</v>
      </c>
      <c r="FB6" s="39">
        <v>0</v>
      </c>
      <c r="FC6" s="39">
        <f t="shared" ref="FC6" si="200">FB6-EV6</f>
        <v>0</v>
      </c>
      <c r="FD6" s="40" t="e">
        <f t="shared" ref="FD6" si="201">FB6/EV6-1</f>
        <v>#DIV/0!</v>
      </c>
      <c r="FE6" s="39"/>
      <c r="FF6" s="43">
        <f t="shared" ref="FF6" ca="1" si="202">IF(EX6&lt;$G$1-365.25,1,0)</f>
        <v>0</v>
      </c>
      <c r="FK6" s="67"/>
      <c r="FS6" s="550">
        <v>1</v>
      </c>
      <c r="FT6" s="58">
        <v>1</v>
      </c>
      <c r="FU6" s="38">
        <v>5</v>
      </c>
      <c r="FV6" s="38">
        <f t="shared" si="47"/>
        <v>1.001249843841072</v>
      </c>
      <c r="FW6" s="39">
        <f t="shared" si="48"/>
        <v>25.031246096026798</v>
      </c>
      <c r="FY6" s="439"/>
      <c r="GD6" s="497" t="s">
        <v>1992</v>
      </c>
      <c r="GE6" s="1109"/>
      <c r="GF6" s="1109"/>
      <c r="GG6" s="114"/>
      <c r="GH6" s="114"/>
      <c r="GI6" s="115"/>
    </row>
    <row r="7" spans="2:191" ht="13.5" thickBot="1">
      <c r="B7" s="153"/>
      <c r="C7" s="735" t="s">
        <v>2640</v>
      </c>
      <c r="D7" s="75" t="s">
        <v>157</v>
      </c>
      <c r="E7" s="733"/>
      <c r="F7" s="89"/>
      <c r="G7" s="89"/>
      <c r="H7" s="89"/>
      <c r="I7" s="89"/>
      <c r="J7" s="89"/>
      <c r="K7" s="89"/>
      <c r="L7" s="89"/>
      <c r="M7" s="90"/>
      <c r="N7" s="91"/>
      <c r="O7" s="37"/>
      <c r="P7" s="59">
        <v>100</v>
      </c>
      <c r="Q7" s="59" t="s">
        <v>1694</v>
      </c>
      <c r="R7" s="60">
        <v>28</v>
      </c>
      <c r="S7" s="55">
        <v>42369</v>
      </c>
      <c r="T7" s="380">
        <v>25</v>
      </c>
      <c r="U7" s="55">
        <f t="shared" si="50"/>
        <v>43097</v>
      </c>
      <c r="V7" s="61">
        <f t="shared" ca="1" si="51"/>
        <v>10</v>
      </c>
      <c r="W7" s="38"/>
      <c r="X7" s="173"/>
      <c r="Y7" s="59"/>
      <c r="Z7" s="59"/>
      <c r="AA7" s="60"/>
      <c r="AB7" s="55"/>
      <c r="AC7" s="380"/>
      <c r="AD7" s="55"/>
      <c r="AE7" s="61"/>
      <c r="AF7" s="38"/>
      <c r="AG7" s="73"/>
      <c r="AH7" s="173"/>
      <c r="AI7" s="59"/>
      <c r="AJ7" s="59"/>
      <c r="AK7" s="60"/>
      <c r="AL7" s="55"/>
      <c r="AM7" s="380"/>
      <c r="AN7" s="55"/>
      <c r="AO7" s="61"/>
      <c r="AP7" s="73"/>
      <c r="AQ7" s="173"/>
      <c r="AR7" s="59">
        <v>100</v>
      </c>
      <c r="AS7" s="59" t="s">
        <v>2464</v>
      </c>
      <c r="AT7" s="60">
        <f t="shared" si="96"/>
        <v>364</v>
      </c>
      <c r="AU7" s="55">
        <v>42376</v>
      </c>
      <c r="AV7" s="380">
        <v>1</v>
      </c>
      <c r="AW7" s="55">
        <f t="shared" ref="AW7" si="203">AU7+AT7*(AV7+1)</f>
        <v>43104</v>
      </c>
      <c r="AX7" s="1280">
        <f t="shared" ca="1" si="52"/>
        <v>0.83333333333333337</v>
      </c>
      <c r="AY7" s="73"/>
      <c r="AZ7" s="38"/>
      <c r="BA7" s="38"/>
      <c r="BB7" s="38"/>
      <c r="BC7" s="59"/>
      <c r="BD7" s="3"/>
      <c r="BE7" s="55"/>
      <c r="BF7" s="55"/>
      <c r="BG7" s="55"/>
      <c r="BH7" s="747"/>
      <c r="BI7" s="160"/>
      <c r="BJ7" s="165"/>
      <c r="BK7" s="163"/>
      <c r="BL7" s="39"/>
      <c r="BM7" s="73"/>
      <c r="BN7" s="73"/>
      <c r="BO7" s="73"/>
      <c r="BP7" s="73"/>
      <c r="BQ7" s="73"/>
      <c r="BR7" s="73"/>
      <c r="BS7" s="73"/>
      <c r="BT7" s="38"/>
      <c r="BU7" s="38"/>
      <c r="BW7" s="59">
        <v>100</v>
      </c>
      <c r="BX7" s="3">
        <f>9+(10/12)</f>
        <v>9.8333333333333339</v>
      </c>
      <c r="BY7" s="55">
        <v>42660</v>
      </c>
      <c r="BZ7" s="55">
        <f t="shared" ref="BZ7" si="204">BY7+BX7*365.25</f>
        <v>46251.625</v>
      </c>
      <c r="CA7" s="55">
        <v>42597</v>
      </c>
      <c r="CB7" s="747" t="s">
        <v>2326</v>
      </c>
      <c r="CC7" s="160">
        <v>1.4999999999999999E-2</v>
      </c>
      <c r="CD7" s="165">
        <f t="shared" ref="CD7" si="205">CE7/2</f>
        <v>0.75</v>
      </c>
      <c r="CE7" s="163">
        <f t="shared" ref="CE7" si="206">BW7*CC7</f>
        <v>1.5</v>
      </c>
      <c r="CF7" s="39">
        <f t="shared" ref="CF7" si="207">BX7*CE7</f>
        <v>14.75</v>
      </c>
      <c r="CG7" s="73">
        <f t="shared" ref="CG7" si="208">BW7+CF7</f>
        <v>114.75</v>
      </c>
      <c r="CH7" s="73">
        <f t="shared" ref="CH7" si="209">CE7/12</f>
        <v>0.125</v>
      </c>
      <c r="CI7" s="54" t="str">
        <f t="shared" ref="CI7" si="210">CHOOSE(MONTH(CA7+365.25/2),"Jan","Feb","Mar","Apr","May","Jun","Jul","Aug","Sep","Oct","Nov","Dec")</f>
        <v>Feb</v>
      </c>
      <c r="CJ7" s="54" t="str">
        <f t="shared" ref="CJ7" si="211">CHOOSE(MONTH(CA7+365.25),"Jan","Feb","Mar","Apr","May","Jun","Jul","Aug","Sep","Oct","Nov","Dec")</f>
        <v>Aug</v>
      </c>
      <c r="CK7" s="54"/>
      <c r="CL7" s="54"/>
      <c r="CM7" s="54"/>
      <c r="CN7" s="38"/>
      <c r="CO7" s="59">
        <v>200</v>
      </c>
      <c r="CP7" s="3">
        <f>29+(10/12)</f>
        <v>29.833333333333332</v>
      </c>
      <c r="CQ7" s="55">
        <v>42660</v>
      </c>
      <c r="CR7" s="55">
        <f t="shared" si="143"/>
        <v>53556.625</v>
      </c>
      <c r="CS7" s="55">
        <v>42597</v>
      </c>
      <c r="CT7" s="23" t="s">
        <v>2327</v>
      </c>
      <c r="CU7" s="160">
        <v>2.2499999999999999E-2</v>
      </c>
      <c r="CV7" s="165">
        <f t="shared" ref="CV7" si="212">CW7/2</f>
        <v>2.25</v>
      </c>
      <c r="CW7" s="163">
        <f t="shared" ref="CW7" si="213">CO7*CU7</f>
        <v>4.5</v>
      </c>
      <c r="CX7" s="73">
        <f t="shared" ref="CX7" si="214">CP7*CW7</f>
        <v>134.25</v>
      </c>
      <c r="CY7" s="203">
        <f t="shared" ref="CY7" si="215">CO7+CX7</f>
        <v>334.25</v>
      </c>
      <c r="CZ7" s="203">
        <f t="shared" ref="CZ7" si="216">CW7/12</f>
        <v>0.375</v>
      </c>
      <c r="DA7" s="54" t="str">
        <f t="shared" si="183"/>
        <v>Feb</v>
      </c>
      <c r="DB7" s="54" t="str">
        <f t="shared" si="184"/>
        <v>Aug</v>
      </c>
      <c r="DC7" s="54"/>
      <c r="DD7" s="54"/>
      <c r="DF7" s="38"/>
      <c r="DG7" s="59">
        <v>200</v>
      </c>
      <c r="DH7" s="3">
        <f>29+(4/12)</f>
        <v>29.333333333333332</v>
      </c>
      <c r="DI7" s="55">
        <v>42674</v>
      </c>
      <c r="DJ7" s="55">
        <f t="shared" ref="DJ7" si="217">DI7+DH7*365.25</f>
        <v>53388</v>
      </c>
      <c r="DK7" s="55">
        <v>42597</v>
      </c>
      <c r="DL7" s="747" t="s">
        <v>2381</v>
      </c>
      <c r="DM7" s="160">
        <v>6.6600000000000001E-3</v>
      </c>
      <c r="DN7" s="165">
        <f t="shared" ref="DN7" si="218">DO7/2</f>
        <v>0.66600000000000004</v>
      </c>
      <c r="DO7" s="163">
        <f t="shared" ref="DO7" si="219">DU7*DM7</f>
        <v>1.3320000000000001</v>
      </c>
      <c r="DP7" s="73">
        <f t="shared" ref="DP7" si="220">DH7*DO7</f>
        <v>39.072000000000003</v>
      </c>
      <c r="DQ7" s="203">
        <f t="shared" ref="DQ7:DQ9" si="221">DU7+DP7</f>
        <v>239.072</v>
      </c>
      <c r="DR7" s="203">
        <f t="shared" si="189"/>
        <v>0.111</v>
      </c>
      <c r="DS7" s="54" t="str">
        <f t="shared" ref="DS7" si="222">CHOOSE(MONTH(DK7+365.25/2),"Jan","Feb","Mar","Apr","May","Jun","Jul","Aug","Sep","Oct","Nov","Dec")</f>
        <v>Feb</v>
      </c>
      <c r="DT7" s="54" t="str">
        <f t="shared" ref="DT7" si="223">CHOOSE(MONTH(DK7+365.25),"Jan","Feb","Mar","Apr","May","Jun","Jul","Aug","Sep","Oct","Nov","Dec")</f>
        <v>Aug</v>
      </c>
      <c r="DU7" s="44">
        <v>200</v>
      </c>
      <c r="DV7" s="579"/>
      <c r="DW7" s="40"/>
      <c r="DX7" s="39">
        <f t="shared" ref="DX7:DX9" si="224">DU7-DG7</f>
        <v>0</v>
      </c>
      <c r="DY7" s="355">
        <f t="shared" ref="DY7:DY9" si="225">IF(DV7&lt;&gt;"",DATEDIF(DI7,DV7,"D"),0)</f>
        <v>0</v>
      </c>
      <c r="DZ7" s="39">
        <f t="shared" ref="DZ7:DZ9" si="226">IF(DY7=0,0,DX7/DY7)</f>
        <v>0</v>
      </c>
      <c r="EA7" s="200"/>
      <c r="EB7" s="38"/>
      <c r="EC7" s="380">
        <f t="shared" ca="1" si="83"/>
        <v>0</v>
      </c>
      <c r="ED7" s="73">
        <v>0</v>
      </c>
      <c r="EE7" s="38">
        <v>30</v>
      </c>
      <c r="EF7" s="54">
        <v>42887</v>
      </c>
      <c r="EG7" s="55">
        <f t="shared" ref="EG7" si="227">EF7+EE7*365.25</f>
        <v>53844.5</v>
      </c>
      <c r="EH7" s="61" t="s">
        <v>122</v>
      </c>
      <c r="EI7" s="61">
        <f t="shared" ref="EI7" ca="1" si="228">IF(EF7&gt;$G$1,0,DATEDIF(EF7,$G$1,"M"))</f>
        <v>0</v>
      </c>
      <c r="EJ7" s="747" t="s">
        <v>2534</v>
      </c>
      <c r="EK7" s="39">
        <v>0</v>
      </c>
      <c r="EL7" s="39">
        <f t="shared" ref="EL7" si="229">EK7-ED7</f>
        <v>0</v>
      </c>
      <c r="EM7" s="40" t="e">
        <f t="shared" ref="EM7" si="230">EK7/ED7-1</f>
        <v>#DIV/0!</v>
      </c>
      <c r="EN7" s="39"/>
      <c r="EO7" s="43">
        <f t="shared" ref="EO7" ca="1" si="231">IF(EF7&lt;$G$1-365.25,1,0)</f>
        <v>0</v>
      </c>
      <c r="EP7" s="39">
        <f t="shared" ref="EP7" ca="1" si="232">ED7*(1+$EB$23)^(EI7/12)</f>
        <v>0</v>
      </c>
      <c r="EQ7" s="39"/>
      <c r="ET7" s="37"/>
      <c r="EU7" s="1360">
        <f t="shared" ca="1" si="90"/>
        <v>0</v>
      </c>
      <c r="EV7" s="173">
        <v>0</v>
      </c>
      <c r="EW7" s="747">
        <v>30</v>
      </c>
      <c r="EX7" s="55">
        <v>43040</v>
      </c>
      <c r="EY7" s="55">
        <f t="shared" ref="EY7" si="233">EX7+EW7*365.25</f>
        <v>53997.5</v>
      </c>
      <c r="EZ7" s="61">
        <f t="shared" ref="EZ7" ca="1" si="234">IF(EX7&gt;$G$1,0,DATEDIF(EX7,$G$1,"M"))</f>
        <v>0</v>
      </c>
      <c r="FA7" s="37" t="s">
        <v>2584</v>
      </c>
      <c r="FB7" s="39">
        <v>0</v>
      </c>
      <c r="FC7" s="39">
        <f t="shared" ref="FC7" si="235">FB7-EV7</f>
        <v>0</v>
      </c>
      <c r="FD7" s="40" t="e">
        <f t="shared" ref="FD7" si="236">FB7/EV7-1</f>
        <v>#DIV/0!</v>
      </c>
      <c r="FE7" s="39"/>
      <c r="FF7" s="43">
        <f t="shared" ref="FF7" ca="1" si="237">IF(EX7&lt;$G$1-365.25,1,0)</f>
        <v>0</v>
      </c>
      <c r="FH7" s="193" t="s">
        <v>409</v>
      </c>
      <c r="FI7" s="114"/>
      <c r="FJ7" s="53"/>
      <c r="FK7" s="53"/>
      <c r="FS7" s="550">
        <v>1</v>
      </c>
      <c r="FT7" s="58">
        <v>1</v>
      </c>
      <c r="FU7" s="38">
        <v>6</v>
      </c>
      <c r="FV7" s="38">
        <f t="shared" si="47"/>
        <v>1.0015000000000001</v>
      </c>
      <c r="FW7" s="39">
        <f t="shared" si="48"/>
        <v>25.037500000000001</v>
      </c>
      <c r="FY7" s="439"/>
      <c r="GD7" s="497"/>
      <c r="GE7" s="1109"/>
      <c r="GF7" s="114"/>
      <c r="GG7" s="114"/>
      <c r="GH7" s="114"/>
      <c r="GI7" s="115"/>
    </row>
    <row r="8" spans="2:191">
      <c r="B8" s="153"/>
      <c r="D8" s="92"/>
      <c r="E8" s="93" t="s">
        <v>43</v>
      </c>
      <c r="F8" s="93" t="s">
        <v>142</v>
      </c>
      <c r="G8" s="93" t="s">
        <v>119</v>
      </c>
      <c r="H8" s="93" t="s">
        <v>158</v>
      </c>
      <c r="I8" s="93" t="s">
        <v>197</v>
      </c>
      <c r="J8" s="93" t="s">
        <v>198</v>
      </c>
      <c r="K8" s="93" t="s">
        <v>450</v>
      </c>
      <c r="L8" s="93" t="s">
        <v>1921</v>
      </c>
      <c r="M8" s="843" t="s">
        <v>862</v>
      </c>
      <c r="N8" s="1362" t="s">
        <v>2665</v>
      </c>
      <c r="O8" s="37" t="s">
        <v>417</v>
      </c>
      <c r="P8" s="59">
        <v>100</v>
      </c>
      <c r="Q8" s="59" t="s">
        <v>1693</v>
      </c>
      <c r="R8" s="60">
        <v>28</v>
      </c>
      <c r="S8" s="55">
        <v>42362</v>
      </c>
      <c r="T8" s="380">
        <v>25</v>
      </c>
      <c r="U8" s="55">
        <f t="shared" si="50"/>
        <v>43090</v>
      </c>
      <c r="V8" s="61">
        <f t="shared" ca="1" si="51"/>
        <v>10</v>
      </c>
      <c r="W8" s="38"/>
      <c r="X8" s="173" t="s">
        <v>417</v>
      </c>
      <c r="Y8" s="59"/>
      <c r="Z8" s="59"/>
      <c r="AA8" s="60"/>
      <c r="AB8" s="55"/>
      <c r="AC8" s="1278"/>
      <c r="AD8" s="55"/>
      <c r="AE8" s="61"/>
      <c r="AF8" s="38"/>
      <c r="AG8" s="73"/>
      <c r="AH8" s="173" t="s">
        <v>417</v>
      </c>
      <c r="AI8" s="59"/>
      <c r="AJ8" s="59"/>
      <c r="AK8" s="60"/>
      <c r="AL8" s="55"/>
      <c r="AM8" s="380"/>
      <c r="AN8" s="55"/>
      <c r="AO8" s="61"/>
      <c r="AP8" s="73"/>
      <c r="AQ8" s="173" t="s">
        <v>417</v>
      </c>
      <c r="AR8" s="59"/>
      <c r="AS8" s="59"/>
      <c r="AT8" s="60"/>
      <c r="AU8" s="55"/>
      <c r="AV8" s="380"/>
      <c r="AW8" s="55"/>
      <c r="AX8" s="1280"/>
      <c r="AY8" s="73"/>
      <c r="AZ8" s="38"/>
      <c r="BA8" s="38"/>
      <c r="BB8" s="747" t="s">
        <v>415</v>
      </c>
      <c r="BC8" s="59"/>
      <c r="BD8" s="3"/>
      <c r="BE8" s="55"/>
      <c r="BF8" s="55"/>
      <c r="BG8" s="55"/>
      <c r="BH8" s="747"/>
      <c r="BI8" s="160"/>
      <c r="BJ8" s="165"/>
      <c r="BK8" s="163"/>
      <c r="BL8" s="39"/>
      <c r="BM8" s="73"/>
      <c r="BN8" s="73"/>
      <c r="BO8" s="73"/>
      <c r="BP8" s="73"/>
      <c r="BQ8" s="73"/>
      <c r="BR8" s="73"/>
      <c r="BS8" s="73"/>
      <c r="BT8" s="38"/>
      <c r="BU8" s="38"/>
      <c r="BV8" s="1" t="s">
        <v>415</v>
      </c>
      <c r="BW8" s="59">
        <v>100</v>
      </c>
      <c r="BX8" s="3">
        <f>9+(11/12)</f>
        <v>9.9166666666666661</v>
      </c>
      <c r="BY8" s="55">
        <v>42628</v>
      </c>
      <c r="BZ8" s="55">
        <f t="shared" ref="BZ8" si="238">BY8+BX8*365.25</f>
        <v>46250.0625</v>
      </c>
      <c r="CA8" s="55">
        <v>42597</v>
      </c>
      <c r="CB8" s="747" t="s">
        <v>2201</v>
      </c>
      <c r="CC8" s="160">
        <v>1.4999999999999999E-2</v>
      </c>
      <c r="CD8" s="165">
        <f t="shared" ref="CD8" si="239">CE8/2</f>
        <v>0.75</v>
      </c>
      <c r="CE8" s="163">
        <f t="shared" ref="CE8" si="240">BW8*CC8</f>
        <v>1.5</v>
      </c>
      <c r="CF8" s="39">
        <f t="shared" ref="CF8" si="241">BX8*CE8</f>
        <v>14.875</v>
      </c>
      <c r="CG8" s="73">
        <f t="shared" ref="CG8" si="242">BW8+CF8</f>
        <v>114.875</v>
      </c>
      <c r="CH8" s="73">
        <f t="shared" ref="CH8" si="243">CE8/12</f>
        <v>0.125</v>
      </c>
      <c r="CI8" s="54" t="str">
        <f t="shared" ref="CI8" si="244">CHOOSE(MONTH(CA8+365.25/2),"Jan","Feb","Mar","Apr","May","Jun","Jul","Aug","Sep","Oct","Nov","Dec")</f>
        <v>Feb</v>
      </c>
      <c r="CJ8" s="54" t="str">
        <f t="shared" ref="CJ8" si="245">CHOOSE(MONTH(CA8+365.25),"Jan","Feb","Mar","Apr","May","Jun","Jul","Aug","Sep","Oct","Nov","Dec")</f>
        <v>Aug</v>
      </c>
      <c r="CK8" s="54"/>
      <c r="CL8" s="54"/>
      <c r="CM8" s="54"/>
      <c r="CN8" s="1" t="s">
        <v>415</v>
      </c>
      <c r="CO8" s="59">
        <v>200</v>
      </c>
      <c r="CP8" s="3">
        <f>29+(11/12)</f>
        <v>29.916666666666668</v>
      </c>
      <c r="CQ8" s="55">
        <v>42628</v>
      </c>
      <c r="CR8" s="55">
        <f t="shared" si="143"/>
        <v>53555.0625</v>
      </c>
      <c r="CS8" s="55">
        <v>42597</v>
      </c>
      <c r="CT8" s="23" t="s">
        <v>2200</v>
      </c>
      <c r="CU8" s="160">
        <v>2.2499999999999999E-2</v>
      </c>
      <c r="CV8" s="165">
        <f t="shared" ref="CV8" si="246">CW8/2</f>
        <v>2.25</v>
      </c>
      <c r="CW8" s="163">
        <f t="shared" ref="CW8" si="247">CO8*CU8</f>
        <v>4.5</v>
      </c>
      <c r="CX8" s="73">
        <f t="shared" ref="CX8" si="248">CP8*CW8</f>
        <v>134.625</v>
      </c>
      <c r="CY8" s="203">
        <f t="shared" ref="CY8" si="249">CO8+CX8</f>
        <v>334.625</v>
      </c>
      <c r="CZ8" s="203">
        <f t="shared" ref="CZ8" si="250">CW8/12</f>
        <v>0.375</v>
      </c>
      <c r="DA8" s="54" t="str">
        <f t="shared" si="183"/>
        <v>Feb</v>
      </c>
      <c r="DB8" s="54" t="str">
        <f t="shared" si="184"/>
        <v>Aug</v>
      </c>
      <c r="DC8" s="54"/>
      <c r="DD8" s="54"/>
      <c r="DE8" s="204"/>
      <c r="DF8" s="1" t="s">
        <v>415</v>
      </c>
      <c r="DG8" s="59">
        <v>100</v>
      </c>
      <c r="DH8" s="3">
        <f>9+(10/12)</f>
        <v>9.8333333333333339</v>
      </c>
      <c r="DI8" s="55">
        <v>42643</v>
      </c>
      <c r="DJ8" s="55">
        <f t="shared" ref="DJ8" si="251">DI8+DH8*365.25</f>
        <v>46234.625</v>
      </c>
      <c r="DK8" s="55">
        <v>42566</v>
      </c>
      <c r="DL8" s="747" t="s">
        <v>2249</v>
      </c>
      <c r="DM8" s="160">
        <v>1.25E-3</v>
      </c>
      <c r="DN8" s="165">
        <f t="shared" ref="DN8" si="252">DO8/2</f>
        <v>6.2981250000000003E-2</v>
      </c>
      <c r="DO8" s="163">
        <f t="shared" ref="DO8" si="253">DU8*DM8</f>
        <v>0.12596250000000001</v>
      </c>
      <c r="DP8" s="73">
        <f t="shared" ref="DP8" si="254">DH8*DO8</f>
        <v>1.2386312500000001</v>
      </c>
      <c r="DQ8" s="203">
        <f t="shared" si="221"/>
        <v>102.00863124999999</v>
      </c>
      <c r="DR8" s="203">
        <f t="shared" si="189"/>
        <v>1.0496875000000001E-2</v>
      </c>
      <c r="DS8" s="54" t="str">
        <f t="shared" ref="DS8" si="255">CHOOSE(MONTH(DK8+365.25/2),"Jan","Feb","Mar","Apr","May","Jun","Jul","Aug","Sep","Oct","Nov","Dec")</f>
        <v>Jan</v>
      </c>
      <c r="DT8" s="54" t="str">
        <f t="shared" ref="DT8" si="256">CHOOSE(MONTH(DK8+365.25),"Jan","Feb","Mar","Apr","May","Jun","Jul","Aug","Sep","Oct","Nov","Dec")</f>
        <v>Jul</v>
      </c>
      <c r="DU8" s="44">
        <v>100.77</v>
      </c>
      <c r="DV8" s="579">
        <v>42752</v>
      </c>
      <c r="DW8" s="40"/>
      <c r="DX8" s="39">
        <f t="shared" si="224"/>
        <v>0.76999999999999602</v>
      </c>
      <c r="DY8" s="355">
        <f t="shared" si="225"/>
        <v>109</v>
      </c>
      <c r="DZ8" s="39">
        <f t="shared" si="226"/>
        <v>7.0642201834862023E-3</v>
      </c>
      <c r="EA8" s="38"/>
      <c r="EB8" s="1" t="s">
        <v>347</v>
      </c>
      <c r="EC8" s="380">
        <f t="shared" ca="1" si="83"/>
        <v>0</v>
      </c>
      <c r="ED8" s="73">
        <v>0</v>
      </c>
      <c r="EE8" s="38">
        <v>30</v>
      </c>
      <c r="EF8" s="54">
        <v>42856</v>
      </c>
      <c r="EG8" s="55">
        <f t="shared" ref="EG8" si="257">EF8+EE8*365.25</f>
        <v>53813.5</v>
      </c>
      <c r="EH8" s="61" t="s">
        <v>122</v>
      </c>
      <c r="EI8" s="61">
        <f t="shared" ref="EI8" ca="1" si="258">IF(EF8&gt;$G$1,0,DATEDIF(EF8,$G$1,"M"))</f>
        <v>0</v>
      </c>
      <c r="EJ8" s="747" t="s">
        <v>2533</v>
      </c>
      <c r="EK8" s="39">
        <v>0</v>
      </c>
      <c r="EL8" s="39">
        <f t="shared" ref="EL8" si="259">EK8-ED8</f>
        <v>0</v>
      </c>
      <c r="EM8" s="40" t="e">
        <f t="shared" ref="EM8" si="260">EK8/ED8-1</f>
        <v>#DIV/0!</v>
      </c>
      <c r="EN8" s="39"/>
      <c r="EO8" s="43">
        <f t="shared" ref="EO8" ca="1" si="261">IF(EF8&lt;$G$1-365.25,1,0)</f>
        <v>0</v>
      </c>
      <c r="EP8" s="39">
        <f t="shared" ref="EP8" ca="1" si="262">ED8*(1+$EB$23)^(EI8/12)</f>
        <v>0</v>
      </c>
      <c r="EQ8" s="39"/>
      <c r="ET8" s="37" t="s">
        <v>347</v>
      </c>
      <c r="EU8" s="1360">
        <f t="shared" ca="1" si="90"/>
        <v>0</v>
      </c>
      <c r="EV8" s="173">
        <v>0</v>
      </c>
      <c r="EW8" s="747">
        <v>30</v>
      </c>
      <c r="EX8" s="55">
        <v>43040</v>
      </c>
      <c r="EY8" s="55">
        <f t="shared" ref="EY8" si="263">EX8+EW8*365.25</f>
        <v>53997.5</v>
      </c>
      <c r="EZ8" s="61">
        <f t="shared" ref="EZ8" ca="1" si="264">IF(EX8&gt;$G$1,0,DATEDIF(EX8,$G$1,"M"))</f>
        <v>0</v>
      </c>
      <c r="FA8" s="37" t="s">
        <v>2583</v>
      </c>
      <c r="FB8" s="39">
        <v>0</v>
      </c>
      <c r="FC8" s="39">
        <f t="shared" ref="FC8" si="265">FB8-EV8</f>
        <v>0</v>
      </c>
      <c r="FD8" s="40" t="e">
        <f t="shared" ref="FD8" si="266">FB8/EV8-1</f>
        <v>#DIV/0!</v>
      </c>
      <c r="FE8" s="39"/>
      <c r="FF8" s="43">
        <f t="shared" ref="FF8" ca="1" si="267">IF(EX8&lt;$G$1-365.25,1,0)</f>
        <v>0</v>
      </c>
      <c r="FH8" s="198"/>
      <c r="FI8" s="76" t="s">
        <v>411</v>
      </c>
      <c r="FJ8" s="90"/>
      <c r="FK8" s="91"/>
      <c r="FS8" s="550">
        <v>1</v>
      </c>
      <c r="FT8" s="58">
        <v>2</v>
      </c>
      <c r="FU8" s="38">
        <v>1</v>
      </c>
      <c r="FV8" s="38">
        <f t="shared" si="47"/>
        <v>1.0002498438930771</v>
      </c>
      <c r="FW8" s="39">
        <f t="shared" ref="FW8:FW12" si="268">$FW$7*FV8</f>
        <v>25.04375546647292</v>
      </c>
      <c r="FX8" s="393" t="s">
        <v>1103</v>
      </c>
      <c r="FY8" s="551"/>
      <c r="GD8" s="497" t="s">
        <v>1993</v>
      </c>
      <c r="GE8" s="1109"/>
      <c r="GF8" s="114"/>
      <c r="GG8" s="114"/>
      <c r="GH8" s="114"/>
      <c r="GI8" s="115"/>
    </row>
    <row r="9" spans="2:191">
      <c r="B9" s="100" t="s">
        <v>1981</v>
      </c>
      <c r="D9" s="95" t="s">
        <v>133</v>
      </c>
      <c r="E9" s="96">
        <f>SUM(ED:ED)</f>
        <v>3155</v>
      </c>
      <c r="F9" s="97">
        <f>E9/$E$11</f>
        <v>0.22567954220314734</v>
      </c>
      <c r="G9" s="96">
        <f>SUM(EK:EK)</f>
        <v>3170.5899999999974</v>
      </c>
      <c r="H9" s="97">
        <f>G9/G11</f>
        <v>0.22328664670371914</v>
      </c>
      <c r="I9" s="96">
        <f>G9-E9</f>
        <v>15.589999999997417</v>
      </c>
      <c r="J9" s="97">
        <f>G9/E9-1</f>
        <v>4.9413629160055539E-3</v>
      </c>
      <c r="K9" s="96">
        <f ca="1">EB26</f>
        <v>2380.3900000000008</v>
      </c>
      <c r="L9" s="97">
        <f ca="1">K9/G9</f>
        <v>0.75077193834586076</v>
      </c>
      <c r="M9" s="82">
        <f ca="1">EB30</f>
        <v>15.390000000000782</v>
      </c>
      <c r="N9" s="387">
        <f ca="1">EB46</f>
        <v>0</v>
      </c>
      <c r="O9" s="39">
        <f ca="1">SUM(V:V)*O6</f>
        <v>94.858279000001673</v>
      </c>
      <c r="P9" s="59">
        <v>100</v>
      </c>
      <c r="Q9" s="59" t="s">
        <v>1684</v>
      </c>
      <c r="R9" s="60">
        <v>28</v>
      </c>
      <c r="S9" s="55">
        <v>42355</v>
      </c>
      <c r="T9" s="380">
        <v>25</v>
      </c>
      <c r="U9" s="55">
        <f t="shared" si="50"/>
        <v>43083</v>
      </c>
      <c r="V9" s="61">
        <f t="shared" ca="1" si="51"/>
        <v>10</v>
      </c>
      <c r="W9" s="38"/>
      <c r="X9" s="73">
        <f ca="1">SUM(AE:AE)*X6</f>
        <v>0.73769233333329498</v>
      </c>
      <c r="Y9" s="59"/>
      <c r="Z9" s="59"/>
      <c r="AA9" s="60"/>
      <c r="AB9" s="55"/>
      <c r="AC9" s="380"/>
      <c r="AD9" s="55"/>
      <c r="AE9" s="61"/>
      <c r="AF9" s="38"/>
      <c r="AG9" s="73"/>
      <c r="AH9" s="73">
        <f ca="1">SUM(AO:AO)*AH6</f>
        <v>2.3697900000000161</v>
      </c>
      <c r="AI9" s="59"/>
      <c r="AJ9" s="59"/>
      <c r="AK9" s="60"/>
      <c r="AL9" s="55"/>
      <c r="AM9" s="380"/>
      <c r="AN9" s="55"/>
      <c r="AO9" s="61"/>
      <c r="AP9" s="73"/>
      <c r="AQ9" s="73">
        <f ca="1">SUM(AX:AX)*AQ6</f>
        <v>34.382499999999894</v>
      </c>
      <c r="AV9" s="214"/>
      <c r="AX9" s="205"/>
      <c r="AY9" s="73"/>
      <c r="AZ9" s="38"/>
      <c r="BA9" s="38"/>
      <c r="BB9" s="39">
        <f>SUM(BM:BM)</f>
        <v>300.5916666666667</v>
      </c>
      <c r="BC9" s="59"/>
      <c r="BD9" s="3"/>
      <c r="BE9" s="1291"/>
      <c r="BF9" s="1291"/>
      <c r="BG9" s="55"/>
      <c r="BH9" s="747"/>
      <c r="BI9" s="160"/>
      <c r="BJ9" s="165"/>
      <c r="BK9" s="163"/>
      <c r="BL9" s="39"/>
      <c r="BM9" s="73"/>
      <c r="BN9" s="73"/>
      <c r="BO9" s="73"/>
      <c r="BP9" s="73"/>
      <c r="BQ9" s="73"/>
      <c r="BR9" s="73"/>
      <c r="BS9" s="73"/>
      <c r="BT9" s="38"/>
      <c r="BU9" s="38"/>
      <c r="BV9" s="39">
        <f>SUM(CG:CG)</f>
        <v>5068.354166666667</v>
      </c>
      <c r="BW9" s="59">
        <v>100</v>
      </c>
      <c r="BX9" s="3">
        <v>10</v>
      </c>
      <c r="BY9" s="55">
        <v>42597</v>
      </c>
      <c r="BZ9" s="55">
        <f t="shared" ref="BZ9" si="269">BY9+BX9*365.25</f>
        <v>46249.5</v>
      </c>
      <c r="CA9" s="55">
        <v>42597</v>
      </c>
      <c r="CB9" s="747" t="s">
        <v>2154</v>
      </c>
      <c r="CC9" s="160">
        <v>1.4999999999999999E-2</v>
      </c>
      <c r="CD9" s="165">
        <f t="shared" ref="CD9" si="270">CE9/2</f>
        <v>0.75</v>
      </c>
      <c r="CE9" s="163">
        <f t="shared" ref="CE9" si="271">BW9*CC9</f>
        <v>1.5</v>
      </c>
      <c r="CF9" s="39">
        <f t="shared" ref="CF9" si="272">BX9*CE9</f>
        <v>15</v>
      </c>
      <c r="CG9" s="73">
        <f t="shared" ref="CG9" si="273">BW9+CF9</f>
        <v>115</v>
      </c>
      <c r="CH9" s="73">
        <f t="shared" ref="CH9:CH14" si="274">CE9/12</f>
        <v>0.125</v>
      </c>
      <c r="CI9" s="54" t="str">
        <f t="shared" ref="CI9:CI14" si="275">CHOOSE(MONTH(CA9+365.25/2),"Jan","Feb","Mar","Apr","May","Jun","Jul","Aug","Sep","Oct","Nov","Dec")</f>
        <v>Feb</v>
      </c>
      <c r="CJ9" s="54" t="str">
        <f t="shared" ref="CJ9:CJ14" si="276">CHOOSE(MONTH(CA9+365.25),"Jan","Feb","Mar","Apr","May","Jun","Jul","Aug","Sep","Oct","Nov","Dec")</f>
        <v>Aug</v>
      </c>
      <c r="CK9" s="54"/>
      <c r="CL9" s="54"/>
      <c r="CM9" s="54"/>
      <c r="CN9" s="39">
        <f>SUM(CY:CY)</f>
        <v>13306.42708333333</v>
      </c>
      <c r="CO9" s="59">
        <v>300</v>
      </c>
      <c r="CP9" s="3">
        <v>30</v>
      </c>
      <c r="CQ9" s="55">
        <v>42597</v>
      </c>
      <c r="CR9" s="55">
        <f t="shared" si="143"/>
        <v>53554.5</v>
      </c>
      <c r="CS9" s="55">
        <v>42597</v>
      </c>
      <c r="CT9" s="23" t="s">
        <v>2028</v>
      </c>
      <c r="CU9" s="160">
        <v>2.2499999999999999E-2</v>
      </c>
      <c r="CV9" s="165">
        <f t="shared" ref="CV9" si="277">CW9/2</f>
        <v>3.375</v>
      </c>
      <c r="CW9" s="163">
        <f t="shared" ref="CW9" si="278">CO9*CU9</f>
        <v>6.75</v>
      </c>
      <c r="CX9" s="73">
        <f t="shared" ref="CX9" si="279">CP9*CW9</f>
        <v>202.5</v>
      </c>
      <c r="CY9" s="203">
        <f t="shared" ref="CY9" si="280">CO9+CX9</f>
        <v>502.5</v>
      </c>
      <c r="CZ9" s="203">
        <f t="shared" ref="CZ9" si="281">CW9/12</f>
        <v>0.5625</v>
      </c>
      <c r="DA9" s="54" t="str">
        <f t="shared" si="183"/>
        <v>Feb</v>
      </c>
      <c r="DB9" s="54" t="str">
        <f t="shared" si="184"/>
        <v>Aug</v>
      </c>
      <c r="DC9" s="54"/>
      <c r="DD9" s="54"/>
      <c r="DE9" s="204"/>
      <c r="DF9" s="39">
        <f>SUM(DQ:DQ)</f>
        <v>4514.5904833333343</v>
      </c>
      <c r="DG9" s="59">
        <v>100</v>
      </c>
      <c r="DH9" s="3">
        <v>10</v>
      </c>
      <c r="DI9" s="55">
        <v>42580</v>
      </c>
      <c r="DJ9" s="55">
        <f t="shared" ref="DJ9" si="282">DI9+DH9*365.25</f>
        <v>46232.5</v>
      </c>
      <c r="DK9" s="55">
        <v>42566</v>
      </c>
      <c r="DL9" s="747" t="s">
        <v>1990</v>
      </c>
      <c r="DM9" s="160">
        <v>1.25E-3</v>
      </c>
      <c r="DN9" s="165">
        <f t="shared" ref="DN9" si="283">DO9/2</f>
        <v>6.2981250000000003E-2</v>
      </c>
      <c r="DO9" s="163">
        <f>DU9*DM9</f>
        <v>0.12596250000000001</v>
      </c>
      <c r="DP9" s="73">
        <f t="shared" ref="DP9" si="284">DH9*DO9</f>
        <v>1.259625</v>
      </c>
      <c r="DQ9" s="203">
        <f t="shared" si="221"/>
        <v>102.029625</v>
      </c>
      <c r="DR9" s="203">
        <f t="shared" si="189"/>
        <v>1.0496875000000001E-2</v>
      </c>
      <c r="DS9" s="54" t="str">
        <f>CHOOSE(MONTH(DK9+365.25/2),"Jan","Feb","Mar","Apr","May","Jun","Jul","Aug","Sep","Oct","Nov","Dec")</f>
        <v>Jan</v>
      </c>
      <c r="DT9" s="54" t="str">
        <f>CHOOSE(MONTH(DK9+365.25),"Jan","Feb","Mar","Apr","May","Jun","Jul","Aug","Sep","Oct","Nov","Dec")</f>
        <v>Jul</v>
      </c>
      <c r="DU9" s="44">
        <v>100.77</v>
      </c>
      <c r="DV9" s="579">
        <v>42752</v>
      </c>
      <c r="DW9" s="40"/>
      <c r="DX9" s="39">
        <f t="shared" si="224"/>
        <v>0.76999999999999602</v>
      </c>
      <c r="DY9" s="355">
        <f t="shared" si="225"/>
        <v>172</v>
      </c>
      <c r="DZ9" s="39">
        <f t="shared" si="226"/>
        <v>4.4767441860464885E-3</v>
      </c>
      <c r="EA9" s="38"/>
      <c r="EB9" s="178">
        <f ca="1">SUM(EN:EN)</f>
        <v>0.45002945043198078</v>
      </c>
      <c r="EC9" s="380">
        <f t="shared" ca="1" si="83"/>
        <v>0</v>
      </c>
      <c r="ED9" s="73">
        <v>0</v>
      </c>
      <c r="EE9" s="38">
        <v>30</v>
      </c>
      <c r="EF9" s="54">
        <v>42826</v>
      </c>
      <c r="EG9" s="55">
        <f t="shared" ref="EG9" si="285">EF9+EE9*365.25</f>
        <v>53783.5</v>
      </c>
      <c r="EH9" s="61" t="s">
        <v>122</v>
      </c>
      <c r="EI9" s="61">
        <f t="shared" ref="EI9" ca="1" si="286">IF(EF9&gt;$G$1,0,DATEDIF(EF9,$G$1,"M"))</f>
        <v>0</v>
      </c>
      <c r="EJ9" s="747" t="s">
        <v>2532</v>
      </c>
      <c r="EK9" s="39">
        <v>0</v>
      </c>
      <c r="EL9" s="39">
        <f t="shared" ref="EL9" si="287">EK9-ED9</f>
        <v>0</v>
      </c>
      <c r="EM9" s="40" t="e">
        <f t="shared" ref="EM9" si="288">EK9/ED9-1</f>
        <v>#DIV/0!</v>
      </c>
      <c r="EN9" s="39"/>
      <c r="EO9" s="43">
        <f t="shared" ref="EO9" ca="1" si="289">IF(EF9&lt;$G$1-365.25,1,0)</f>
        <v>0</v>
      </c>
      <c r="EP9" s="39">
        <f t="shared" ref="EP9" ca="1" si="290">ED9*(1+$EB$23)^(EI9/12)</f>
        <v>0</v>
      </c>
      <c r="EQ9" s="39"/>
      <c r="ES9" s="52"/>
      <c r="ET9" s="178">
        <f ca="1">SUM(FE:FE)</f>
        <v>6.5739698492018732</v>
      </c>
      <c r="EU9" s="1360">
        <f t="shared" ca="1" si="90"/>
        <v>0</v>
      </c>
      <c r="EV9" s="173">
        <v>0</v>
      </c>
      <c r="EW9" s="747">
        <v>30</v>
      </c>
      <c r="EX9" s="55">
        <v>43040</v>
      </c>
      <c r="EY9" s="55">
        <f t="shared" ref="EY9" si="291">EX9+EW9*365.25</f>
        <v>53997.5</v>
      </c>
      <c r="EZ9" s="61">
        <f t="shared" ref="EZ9" ca="1" si="292">IF(EX9&gt;$G$1,0,DATEDIF(EX9,$G$1,"M"))</f>
        <v>0</v>
      </c>
      <c r="FA9" s="37" t="s">
        <v>2582</v>
      </c>
      <c r="FB9" s="39">
        <v>0</v>
      </c>
      <c r="FC9" s="39">
        <f t="shared" ref="FC9" si="293">FB9-EV9</f>
        <v>0</v>
      </c>
      <c r="FD9" s="40" t="e">
        <f t="shared" ref="FD9" si="294">FB9/EV9-1</f>
        <v>#DIV/0!</v>
      </c>
      <c r="FE9" s="39"/>
      <c r="FF9" s="43">
        <f t="shared" ref="FF9" ca="1" si="295">IF(EX9&lt;$G$1-365.25,1,0)</f>
        <v>0</v>
      </c>
      <c r="FH9" s="150"/>
      <c r="FI9" s="201">
        <f>70*5</f>
        <v>350</v>
      </c>
      <c r="FJ9" s="151"/>
      <c r="FK9" s="91"/>
      <c r="FS9" s="550">
        <v>1</v>
      </c>
      <c r="FT9" s="58">
        <v>2</v>
      </c>
      <c r="FU9" s="38">
        <v>2</v>
      </c>
      <c r="FV9" s="38">
        <f t="shared" si="47"/>
        <v>1.0004997502081252</v>
      </c>
      <c r="FW9" s="39">
        <f t="shared" si="268"/>
        <v>25.050012495835936</v>
      </c>
      <c r="FY9" s="439"/>
      <c r="GD9" s="497"/>
      <c r="GE9" s="1109"/>
      <c r="GF9" s="114"/>
      <c r="GG9" s="114"/>
      <c r="GH9" s="114"/>
      <c r="GI9" s="115"/>
    </row>
    <row r="10" spans="2:191">
      <c r="C10" s="387">
        <f>COUNTIF(Stocks!V2:V146,"&gt;3.53%")/COUNTA(Stocks!V2:V146)</f>
        <v>0.43448275862068964</v>
      </c>
      <c r="D10" s="95" t="s">
        <v>134</v>
      </c>
      <c r="E10" s="96">
        <f>SUM(EV:EV)</f>
        <v>10825</v>
      </c>
      <c r="F10" s="97">
        <f>E10/$E$11</f>
        <v>0.77432045779685266</v>
      </c>
      <c r="G10" s="96">
        <f>SUM(FB:FB)</f>
        <v>11029.05</v>
      </c>
      <c r="H10" s="97">
        <f>G10/G11</f>
        <v>0.77671335329628088</v>
      </c>
      <c r="I10" s="96">
        <f>G10-E10</f>
        <v>204.04999999999927</v>
      </c>
      <c r="J10" s="97">
        <f>G10/E10-1</f>
        <v>1.884988452655878E-2</v>
      </c>
      <c r="K10" s="96">
        <f ca="1">ET12</f>
        <v>7652.9699999999848</v>
      </c>
      <c r="L10" s="97">
        <f ca="1">K10/G10</f>
        <v>0.69389203965889945</v>
      </c>
      <c r="M10" s="82">
        <f ca="1">ET16</f>
        <v>197.96999999998479</v>
      </c>
      <c r="N10" s="387">
        <f ca="1">ET23</f>
        <v>0</v>
      </c>
      <c r="P10" s="59">
        <v>100</v>
      </c>
      <c r="Q10" s="59" t="s">
        <v>1679</v>
      </c>
      <c r="R10" s="60">
        <v>28</v>
      </c>
      <c r="S10" s="55">
        <v>42348</v>
      </c>
      <c r="T10" s="380">
        <v>25</v>
      </c>
      <c r="U10" s="55">
        <f t="shared" si="50"/>
        <v>43076</v>
      </c>
      <c r="V10" s="61">
        <f t="shared" ca="1" si="51"/>
        <v>10</v>
      </c>
      <c r="W10" s="38"/>
      <c r="Y10" s="59"/>
      <c r="Z10" s="59"/>
      <c r="AA10" s="60"/>
      <c r="AB10" s="55"/>
      <c r="AC10" s="380"/>
      <c r="AD10" s="55"/>
      <c r="AE10" s="61"/>
      <c r="AF10" s="38"/>
      <c r="AG10" s="73"/>
      <c r="AI10" s="59"/>
      <c r="AJ10" s="59"/>
      <c r="AK10" s="60"/>
      <c r="AL10" s="55"/>
      <c r="AM10" s="380"/>
      <c r="AN10" s="55"/>
      <c r="AO10" s="61"/>
      <c r="AP10" s="73"/>
      <c r="AR10" s="59"/>
      <c r="AS10" s="59"/>
      <c r="AT10" s="60"/>
      <c r="AU10" s="55"/>
      <c r="AV10" s="380"/>
      <c r="AW10" s="55"/>
      <c r="AX10" s="61"/>
      <c r="AY10" s="73"/>
      <c r="AZ10" s="38"/>
      <c r="BA10" s="38"/>
      <c r="BB10" s="38"/>
      <c r="BC10" s="59"/>
      <c r="BD10" s="3"/>
      <c r="BE10" s="1291"/>
      <c r="BF10" s="1291"/>
      <c r="BG10" s="55"/>
      <c r="BH10" s="747"/>
      <c r="BI10" s="160"/>
      <c r="BJ10" s="165"/>
      <c r="BK10" s="163"/>
      <c r="BL10" s="39"/>
      <c r="BM10" s="73"/>
      <c r="BN10" s="73"/>
      <c r="BO10" s="73"/>
      <c r="BP10" s="73"/>
      <c r="BQ10" s="73"/>
      <c r="BR10" s="73"/>
      <c r="BS10" s="73"/>
      <c r="BT10" s="38"/>
      <c r="BU10" s="38"/>
      <c r="BW10" s="59">
        <v>100</v>
      </c>
      <c r="BX10" s="3">
        <v>5</v>
      </c>
      <c r="BY10" s="55">
        <v>42583</v>
      </c>
      <c r="BZ10" s="55">
        <f t="shared" ref="BZ10" si="296">BY10+BX10*365.25</f>
        <v>44409.25</v>
      </c>
      <c r="CA10" s="55">
        <v>42582</v>
      </c>
      <c r="CB10" s="747" t="s">
        <v>2007</v>
      </c>
      <c r="CC10" s="160">
        <v>1.125E-2</v>
      </c>
      <c r="CD10" s="165">
        <f t="shared" ref="CD10" si="297">CE10/2</f>
        <v>0.5625</v>
      </c>
      <c r="CE10" s="163">
        <f t="shared" ref="CE10" si="298">BW10*CC10</f>
        <v>1.125</v>
      </c>
      <c r="CF10" s="39">
        <f t="shared" ref="CF10" si="299">BX10*CE10</f>
        <v>5.625</v>
      </c>
      <c r="CG10" s="73">
        <f t="shared" ref="CG10" si="300">BW10+CF10</f>
        <v>105.625</v>
      </c>
      <c r="CH10" s="73">
        <f t="shared" si="274"/>
        <v>9.375E-2</v>
      </c>
      <c r="CI10" s="54" t="str">
        <f t="shared" si="275"/>
        <v>Jan</v>
      </c>
      <c r="CJ10" s="54" t="str">
        <f t="shared" si="276"/>
        <v>Jul</v>
      </c>
      <c r="CK10" s="54"/>
      <c r="CL10" s="54"/>
      <c r="CM10" s="54"/>
      <c r="CN10" s="38"/>
      <c r="CO10" s="59">
        <v>100</v>
      </c>
      <c r="CP10" s="3">
        <f>29+(10/12)</f>
        <v>29.833333333333332</v>
      </c>
      <c r="CQ10" s="55">
        <v>42566</v>
      </c>
      <c r="CR10" s="55">
        <f t="shared" si="143"/>
        <v>53462.625</v>
      </c>
      <c r="CS10" s="55">
        <v>42505</v>
      </c>
      <c r="CT10" s="23" t="s">
        <v>1966</v>
      </c>
      <c r="CU10" s="160">
        <v>2.5000000000000001E-2</v>
      </c>
      <c r="CV10" s="165">
        <f t="shared" ref="CV10" si="301">CW10/2</f>
        <v>1.25</v>
      </c>
      <c r="CW10" s="163">
        <f t="shared" ref="CW10" si="302">CO10*CU10</f>
        <v>2.5</v>
      </c>
      <c r="CX10" s="73">
        <f t="shared" ref="CX10" si="303">CP10*CW10</f>
        <v>74.583333333333329</v>
      </c>
      <c r="CY10" s="203">
        <f t="shared" ref="CY10" si="304">CO10+CX10</f>
        <v>174.58333333333331</v>
      </c>
      <c r="CZ10" s="203">
        <f t="shared" ref="CZ10" si="305">CW10/12</f>
        <v>0.20833333333333334</v>
      </c>
      <c r="DA10" s="54" t="str">
        <f t="shared" si="183"/>
        <v>Nov</v>
      </c>
      <c r="DB10" s="54" t="str">
        <f t="shared" si="184"/>
        <v>May</v>
      </c>
      <c r="DC10" s="54"/>
      <c r="DD10" s="54"/>
      <c r="DE10" s="204"/>
      <c r="DF10" s="38"/>
      <c r="DG10" s="59">
        <v>100</v>
      </c>
      <c r="DH10" s="3">
        <f>29+(8/12)</f>
        <v>29.666666666666668</v>
      </c>
      <c r="DI10" s="55">
        <v>42551</v>
      </c>
      <c r="DJ10" s="55">
        <f t="shared" ref="DJ10:DJ36" si="306">DI10+DH10*365.25</f>
        <v>53386.75</v>
      </c>
      <c r="DK10" s="55">
        <v>42415</v>
      </c>
      <c r="DL10" s="747" t="s">
        <v>1937</v>
      </c>
      <c r="DM10" s="160">
        <v>0.01</v>
      </c>
      <c r="DN10" s="165">
        <f t="shared" ref="DN10" si="307">DO10/2</f>
        <v>0.50770000000000004</v>
      </c>
      <c r="DO10" s="163">
        <f t="shared" ref="DO10:DO36" si="308">DU10*DM10</f>
        <v>1.0154000000000001</v>
      </c>
      <c r="DP10" s="73">
        <f t="shared" ref="DP10:DP36" si="309">DH10*DO10</f>
        <v>30.123533333333338</v>
      </c>
      <c r="DQ10" s="203">
        <f>DU10+DP10</f>
        <v>131.66353333333333</v>
      </c>
      <c r="DR10" s="203">
        <f t="shared" si="189"/>
        <v>8.4616666666666673E-2</v>
      </c>
      <c r="DS10" s="54" t="str">
        <f>CHOOSE(MONTH(DK10+365.25/2),"Jan","Feb","Mar","Apr","May","Jun","Jul","Aug","Sep","Oct","Nov","Dec")</f>
        <v>Aug</v>
      </c>
      <c r="DT10" s="54" t="str">
        <f>CHOOSE(MONTH(DK10+365.25),"Jan","Feb","Mar","Apr","May","Jun","Jul","Aug","Sep","Oct","Nov","Dec")</f>
        <v>Feb</v>
      </c>
      <c r="DU10" s="44">
        <v>101.54</v>
      </c>
      <c r="DV10" s="579">
        <v>42597</v>
      </c>
      <c r="DW10" s="40">
        <f t="shared" ref="DW10:DW14" si="310">DU10/DG10-1</f>
        <v>1.540000000000008E-2</v>
      </c>
      <c r="DX10" s="39">
        <f>DU10-DG10</f>
        <v>1.5400000000000063</v>
      </c>
      <c r="DY10" s="355">
        <f t="shared" ref="DY10:DY36" si="311">IF(DV10&lt;&gt;"",DATEDIF(DI10,DV10,"D"),0)</f>
        <v>46</v>
      </c>
      <c r="DZ10" s="39">
        <f t="shared" ref="DZ10:DZ36" si="312">IF(DY10=0,0,DX10/DY10)</f>
        <v>3.3478260869565353E-2</v>
      </c>
      <c r="EA10" s="38"/>
      <c r="EB10" s="178"/>
      <c r="EC10" s="380">
        <f t="shared" ca="1" si="83"/>
        <v>0</v>
      </c>
      <c r="ED10" s="73">
        <v>0</v>
      </c>
      <c r="EE10" s="38">
        <v>30</v>
      </c>
      <c r="EF10" s="54">
        <v>42795</v>
      </c>
      <c r="EG10" s="55">
        <f t="shared" ref="EG10" si="313">EF10+EE10*365.25</f>
        <v>53752.5</v>
      </c>
      <c r="EH10" s="61" t="s">
        <v>122</v>
      </c>
      <c r="EI10" s="61">
        <f t="shared" ref="EI10" ca="1" si="314">IF(EF10&gt;$G$1,0,DATEDIF(EF10,$G$1,"M"))</f>
        <v>0</v>
      </c>
      <c r="EJ10" s="747" t="s">
        <v>2531</v>
      </c>
      <c r="EK10" s="39">
        <v>0</v>
      </c>
      <c r="EL10" s="39">
        <f t="shared" ref="EL10" si="315">EK10-ED10</f>
        <v>0</v>
      </c>
      <c r="EM10" s="40" t="e">
        <f t="shared" ref="EM10" si="316">EK10/ED10-1</f>
        <v>#DIV/0!</v>
      </c>
      <c r="EN10" s="39"/>
      <c r="EO10" s="43">
        <f t="shared" ref="EO10" ca="1" si="317">IF(EF10&lt;$G$1-365.25,1,0)</f>
        <v>0</v>
      </c>
      <c r="EP10" s="39">
        <f t="shared" ref="EP10" ca="1" si="318">ED10*(1+$EB$23)^(EI10/12)</f>
        <v>0</v>
      </c>
      <c r="EQ10" s="39"/>
      <c r="EU10" s="1360">
        <f t="shared" ca="1" si="90"/>
        <v>0</v>
      </c>
      <c r="EV10" s="173">
        <v>0</v>
      </c>
      <c r="EW10" s="747">
        <v>30</v>
      </c>
      <c r="EX10" s="55">
        <v>43040</v>
      </c>
      <c r="EY10" s="55">
        <f t="shared" ref="EY10" si="319">EX10+EW10*365.25</f>
        <v>53997.5</v>
      </c>
      <c r="EZ10" s="61">
        <f t="shared" ref="EZ10" ca="1" si="320">IF(EX10&gt;$G$1,0,DATEDIF(EX10,$G$1,"M"))</f>
        <v>0</v>
      </c>
      <c r="FA10" s="37" t="s">
        <v>2581</v>
      </c>
      <c r="FB10" s="39">
        <v>0</v>
      </c>
      <c r="FC10" s="39">
        <f t="shared" ref="FC10" si="321">FB10-EV10</f>
        <v>0</v>
      </c>
      <c r="FD10" s="40" t="e">
        <f t="shared" ref="FD10" si="322">FB10/EV10-1</f>
        <v>#DIV/0!</v>
      </c>
      <c r="FE10" s="39"/>
      <c r="FF10" s="43">
        <f t="shared" ref="FF10" ca="1" si="323">IF(EX10&lt;$G$1-365.25,1,0)</f>
        <v>0</v>
      </c>
      <c r="FH10" s="95"/>
      <c r="FI10" s="91"/>
      <c r="FJ10" s="151"/>
      <c r="FK10" s="91"/>
      <c r="FS10" s="550">
        <v>1</v>
      </c>
      <c r="FT10" s="58">
        <v>2</v>
      </c>
      <c r="FU10" s="38">
        <v>3</v>
      </c>
      <c r="FV10" s="38">
        <f t="shared" si="47"/>
        <v>1.0007497189607399</v>
      </c>
      <c r="FW10" s="39">
        <f t="shared" si="268"/>
        <v>25.056271088479527</v>
      </c>
      <c r="FY10" s="439"/>
      <c r="GD10" s="497" t="s">
        <v>1994</v>
      </c>
      <c r="GE10" s="1109"/>
      <c r="GF10" s="114"/>
      <c r="GG10" s="114"/>
      <c r="GH10" s="114"/>
      <c r="GI10" s="115"/>
    </row>
    <row r="11" spans="2:191">
      <c r="C11" s="114"/>
      <c r="D11" s="95" t="s">
        <v>159</v>
      </c>
      <c r="E11" s="93">
        <f>E9+E10</f>
        <v>13980</v>
      </c>
      <c r="F11" s="93"/>
      <c r="G11" s="93">
        <f>G9+G10</f>
        <v>14199.639999999996</v>
      </c>
      <c r="H11" s="93"/>
      <c r="I11" s="93">
        <f>G11-E11</f>
        <v>219.63999999999578</v>
      </c>
      <c r="J11" s="489">
        <f>G11/E11-1</f>
        <v>1.5711015736766587E-2</v>
      </c>
      <c r="K11" s="93">
        <f ca="1">SUM(K9:K10)</f>
        <v>10033.359999999986</v>
      </c>
      <c r="L11" s="489">
        <f ca="1">K11/G11</f>
        <v>0.70659256150155847</v>
      </c>
      <c r="M11" s="94">
        <f ca="1">SUM(M9:M10)</f>
        <v>213.35999999998558</v>
      </c>
      <c r="N11" s="1361">
        <f ca="1">AVERAGE(EC:EC,EU:EU)</f>
        <v>0</v>
      </c>
      <c r="O11" s="747" t="s">
        <v>1527</v>
      </c>
      <c r="P11" s="59">
        <v>100</v>
      </c>
      <c r="Q11" s="59" t="s">
        <v>1519</v>
      </c>
      <c r="R11" s="60">
        <v>28</v>
      </c>
      <c r="S11" s="55">
        <v>42271</v>
      </c>
      <c r="T11" s="380">
        <v>25</v>
      </c>
      <c r="U11" s="55">
        <f t="shared" si="50"/>
        <v>42999</v>
      </c>
      <c r="V11" s="61">
        <f t="shared" ca="1" si="51"/>
        <v>7</v>
      </c>
      <c r="W11" s="38"/>
      <c r="X11" s="747" t="s">
        <v>1527</v>
      </c>
      <c r="Y11" s="59"/>
      <c r="Z11" s="59"/>
      <c r="AA11" s="60"/>
      <c r="AB11" s="55"/>
      <c r="AC11" s="380"/>
      <c r="AD11" s="55"/>
      <c r="AE11" s="61"/>
      <c r="AF11" s="38"/>
      <c r="AG11" s="73"/>
      <c r="AH11" s="747" t="s">
        <v>1527</v>
      </c>
      <c r="AI11" s="59"/>
      <c r="AJ11" s="59"/>
      <c r="AK11" s="60"/>
      <c r="AL11" s="55"/>
      <c r="AM11" s="380"/>
      <c r="AN11" s="55"/>
      <c r="AO11" s="61"/>
      <c r="AP11" s="73"/>
      <c r="AQ11" s="747" t="s">
        <v>1527</v>
      </c>
      <c r="AR11" s="59"/>
      <c r="AS11" s="59"/>
      <c r="AT11" s="60"/>
      <c r="AU11" s="55"/>
      <c r="AV11" s="380"/>
      <c r="AW11" s="55"/>
      <c r="AX11" s="61"/>
      <c r="AY11" s="73"/>
      <c r="AZ11" s="38"/>
      <c r="BA11" s="38"/>
      <c r="BB11" s="747" t="s">
        <v>1187</v>
      </c>
      <c r="BC11" s="59"/>
      <c r="BD11" s="3"/>
      <c r="BE11" s="1291"/>
      <c r="BF11" s="1291"/>
      <c r="BG11" s="55"/>
      <c r="BH11" s="747"/>
      <c r="BI11" s="160"/>
      <c r="BJ11" s="165"/>
      <c r="BK11" s="163"/>
      <c r="BL11" s="39"/>
      <c r="BM11" s="73"/>
      <c r="BN11" s="73"/>
      <c r="BO11" s="73"/>
      <c r="BP11" s="73"/>
      <c r="BQ11" s="73"/>
      <c r="BR11" s="73"/>
      <c r="BS11" s="73"/>
      <c r="BT11" s="38"/>
      <c r="BU11" s="38"/>
      <c r="BV11" s="588" t="s">
        <v>1187</v>
      </c>
      <c r="BW11" s="59">
        <v>100</v>
      </c>
      <c r="BX11" s="3">
        <v>2</v>
      </c>
      <c r="BY11" s="55">
        <v>42583</v>
      </c>
      <c r="BZ11" s="55">
        <f t="shared" ref="BZ11" si="324">BY11+BX11*365.25</f>
        <v>43313.5</v>
      </c>
      <c r="CA11" s="55">
        <v>42582</v>
      </c>
      <c r="CB11" s="747" t="s">
        <v>2256</v>
      </c>
      <c r="CC11" s="160">
        <v>7.4999999999999997E-3</v>
      </c>
      <c r="CD11" s="165">
        <f t="shared" ref="CD11" si="325">CE11/2</f>
        <v>0.375</v>
      </c>
      <c r="CE11" s="163">
        <f t="shared" ref="CE11" si="326">BW11*CC11</f>
        <v>0.75</v>
      </c>
      <c r="CF11" s="39">
        <f t="shared" ref="CF11" si="327">BX11*CE11</f>
        <v>1.5</v>
      </c>
      <c r="CG11" s="73">
        <f t="shared" ref="CG11" si="328">BW11+CF11</f>
        <v>101.5</v>
      </c>
      <c r="CH11" s="73">
        <f t="shared" si="274"/>
        <v>6.25E-2</v>
      </c>
      <c r="CI11" s="54" t="str">
        <f t="shared" si="275"/>
        <v>Jan</v>
      </c>
      <c r="CJ11" s="54" t="str">
        <f t="shared" si="276"/>
        <v>Jul</v>
      </c>
      <c r="CK11" s="54"/>
      <c r="CL11" s="54"/>
      <c r="CM11" s="54"/>
      <c r="CN11" s="1" t="s">
        <v>1187</v>
      </c>
      <c r="CO11" s="59">
        <v>200</v>
      </c>
      <c r="CP11" s="3">
        <f>29+(11/12)</f>
        <v>29.916666666666668</v>
      </c>
      <c r="CQ11" s="55">
        <v>42536</v>
      </c>
      <c r="CR11" s="55">
        <f t="shared" ref="CR11:CR45" si="329">CQ11+CP11*365.25</f>
        <v>53463.0625</v>
      </c>
      <c r="CS11" s="55">
        <v>42505</v>
      </c>
      <c r="CT11" s="23" t="s">
        <v>1929</v>
      </c>
      <c r="CU11" s="160">
        <v>2.5000000000000001E-2</v>
      </c>
      <c r="CV11" s="165">
        <f t="shared" ref="CV11" si="330">CW11/2</f>
        <v>2.5</v>
      </c>
      <c r="CW11" s="163">
        <f t="shared" ref="CW11" si="331">CO11*CU11</f>
        <v>5</v>
      </c>
      <c r="CX11" s="73">
        <f t="shared" ref="CX11" si="332">CP11*CW11</f>
        <v>149.58333333333334</v>
      </c>
      <c r="CY11" s="203">
        <f t="shared" ref="CY11" si="333">CO11+CX11</f>
        <v>349.58333333333337</v>
      </c>
      <c r="CZ11" s="203">
        <f t="shared" ref="CZ11" si="334">CW11/12</f>
        <v>0.41666666666666669</v>
      </c>
      <c r="DA11" s="54" t="str">
        <f t="shared" si="183"/>
        <v>Nov</v>
      </c>
      <c r="DB11" s="54" t="str">
        <f t="shared" si="184"/>
        <v>May</v>
      </c>
      <c r="DC11" s="54"/>
      <c r="DD11" s="54"/>
      <c r="DE11" s="204"/>
      <c r="DF11" s="1" t="s">
        <v>1187</v>
      </c>
      <c r="DG11" s="59">
        <v>100</v>
      </c>
      <c r="DH11" s="3">
        <f>9+(8/12)</f>
        <v>9.6666666666666661</v>
      </c>
      <c r="DI11" s="55">
        <v>42521</v>
      </c>
      <c r="DJ11" s="55">
        <f t="shared" si="306"/>
        <v>46051.75</v>
      </c>
      <c r="DK11" s="55">
        <v>42384</v>
      </c>
      <c r="DL11" s="747" t="s">
        <v>1920</v>
      </c>
      <c r="DM11" s="160">
        <v>6.2500000000000003E-3</v>
      </c>
      <c r="DN11" s="165">
        <f t="shared" ref="DN11" si="335">DO11/2</f>
        <v>0.31765625000000003</v>
      </c>
      <c r="DO11" s="163">
        <f t="shared" si="308"/>
        <v>0.63531250000000006</v>
      </c>
      <c r="DP11" s="73">
        <f t="shared" si="309"/>
        <v>6.1413541666666669</v>
      </c>
      <c r="DQ11" s="203">
        <f t="shared" ref="DQ11:DQ36" si="336">DU11+DP11</f>
        <v>107.79135416666668</v>
      </c>
      <c r="DR11" s="203">
        <f t="shared" si="189"/>
        <v>5.2942708333333338E-2</v>
      </c>
      <c r="DS11" s="54" t="str">
        <f t="shared" ref="DS11:DS36" si="337">CHOOSE(MONTH(DK11+365.25/2),"Jan","Feb","Mar","Apr","May","Jun","Jul","Aug","Sep","Oct","Nov","Dec")</f>
        <v>Jul</v>
      </c>
      <c r="DT11" s="54" t="str">
        <f t="shared" ref="DT11:DT36" si="338">CHOOSE(MONTH(DK11+365.25),"Jan","Feb","Mar","Apr","May","Jun","Jul","Aug","Sep","Oct","Nov","Dec")</f>
        <v>Jan</v>
      </c>
      <c r="DU11" s="44">
        <v>101.65</v>
      </c>
      <c r="DV11" s="579">
        <v>42752</v>
      </c>
      <c r="DW11" s="40">
        <f t="shared" si="310"/>
        <v>1.6499999999999959E-2</v>
      </c>
      <c r="DX11" s="39">
        <f t="shared" ref="DX11:DX36" si="339">DU11-DG11</f>
        <v>1.6500000000000057</v>
      </c>
      <c r="DY11" s="355">
        <f t="shared" si="311"/>
        <v>231</v>
      </c>
      <c r="DZ11" s="39">
        <f t="shared" si="312"/>
        <v>7.1428571428571678E-3</v>
      </c>
      <c r="EA11" s="38"/>
      <c r="EB11" s="747" t="s">
        <v>1635</v>
      </c>
      <c r="EC11" s="380">
        <f t="shared" ca="1" si="83"/>
        <v>0</v>
      </c>
      <c r="ED11" s="73">
        <v>70</v>
      </c>
      <c r="EE11" s="38">
        <v>30</v>
      </c>
      <c r="EF11" s="54">
        <v>42767</v>
      </c>
      <c r="EG11" s="55">
        <f t="shared" ref="EG11" si="340">EF11+EE11*365.25</f>
        <v>53724.5</v>
      </c>
      <c r="EH11" s="61" t="s">
        <v>122</v>
      </c>
      <c r="EI11" s="61">
        <f t="shared" ref="EI11" ca="1" si="341">IF(EF11&gt;$G$1,0,DATEDIF(EF11,$G$1,"M"))</f>
        <v>0</v>
      </c>
      <c r="EJ11" s="747" t="s">
        <v>2530</v>
      </c>
      <c r="EK11" s="39">
        <v>70</v>
      </c>
      <c r="EL11" s="39">
        <f t="shared" ref="EL11" si="342">EK11-ED11</f>
        <v>0</v>
      </c>
      <c r="EM11" s="40">
        <f t="shared" ref="EM11" si="343">EK11/ED11-1</f>
        <v>0</v>
      </c>
      <c r="EN11" s="39"/>
      <c r="EO11" s="43">
        <f t="shared" ref="EO11" ca="1" si="344">IF(EF11&lt;$G$1-365.25,1,0)</f>
        <v>0</v>
      </c>
      <c r="EP11" s="39">
        <f t="shared" ref="EP11" ca="1" si="345">ED11*(1+$EB$23)^(EI11/12)</f>
        <v>70</v>
      </c>
      <c r="EQ11" s="39"/>
      <c r="ET11" s="212" t="s">
        <v>441</v>
      </c>
      <c r="EU11" s="1360">
        <f t="shared" ca="1" si="90"/>
        <v>0</v>
      </c>
      <c r="EV11" s="173">
        <v>0</v>
      </c>
      <c r="EW11" s="747">
        <v>30</v>
      </c>
      <c r="EX11" s="55">
        <v>43009</v>
      </c>
      <c r="EY11" s="55">
        <f t="shared" ref="EY11" si="346">EX11+EW11*365.25</f>
        <v>53966.5</v>
      </c>
      <c r="EZ11" s="61">
        <f t="shared" ref="EZ11" ca="1" si="347">IF(EX11&gt;$G$1,0,DATEDIF(EX11,$G$1,"M"))</f>
        <v>0</v>
      </c>
      <c r="FA11" s="37" t="s">
        <v>2580</v>
      </c>
      <c r="FB11" s="39">
        <v>0</v>
      </c>
      <c r="FC11" s="39">
        <f t="shared" ref="FC11" si="348">FB11-EV11</f>
        <v>0</v>
      </c>
      <c r="FD11" s="40" t="e">
        <f t="shared" ref="FD11" si="349">FB11/EV11-1</f>
        <v>#DIV/0!</v>
      </c>
      <c r="FE11" s="39"/>
      <c r="FF11" s="43">
        <f t="shared" ref="FF11" ca="1" si="350">IF(EX11&lt;$G$1-365.25,1,0)</f>
        <v>0</v>
      </c>
      <c r="FH11" s="95"/>
      <c r="FI11" s="136" t="s">
        <v>412</v>
      </c>
      <c r="FJ11" s="151"/>
      <c r="FK11" s="91"/>
      <c r="FS11" s="550">
        <v>1</v>
      </c>
      <c r="FT11" s="58">
        <v>2</v>
      </c>
      <c r="FU11" s="38">
        <v>4</v>
      </c>
      <c r="FV11" s="38">
        <f t="shared" si="47"/>
        <v>1.0009997501665211</v>
      </c>
      <c r="FW11" s="39">
        <f t="shared" si="268"/>
        <v>25.062531244794272</v>
      </c>
      <c r="FX11" s="38"/>
      <c r="FY11" s="437" t="s">
        <v>272</v>
      </c>
      <c r="FZ11" s="42" t="s">
        <v>1102</v>
      </c>
      <c r="GA11" s="42" t="s">
        <v>1104</v>
      </c>
      <c r="GB11" s="42" t="s">
        <v>397</v>
      </c>
      <c r="GD11" s="497"/>
      <c r="GE11" s="1109"/>
      <c r="GF11" s="114"/>
      <c r="GG11" s="114"/>
      <c r="GH11" s="114"/>
      <c r="GI11" s="115"/>
    </row>
    <row r="12" spans="2:191">
      <c r="B12" s="100" t="s">
        <v>1982</v>
      </c>
      <c r="D12" s="95"/>
      <c r="E12" s="149"/>
      <c r="F12" s="149"/>
      <c r="G12" s="96"/>
      <c r="H12" s="149"/>
      <c r="I12" s="96"/>
      <c r="J12" s="97"/>
      <c r="K12" s="97"/>
      <c r="L12" s="97"/>
      <c r="M12" s="98"/>
      <c r="N12" s="97"/>
      <c r="O12" s="39">
        <f>(O6*12)/365.25</f>
        <v>2.3790028747433686E-2</v>
      </c>
      <c r="P12" s="59">
        <v>100</v>
      </c>
      <c r="Q12" s="59" t="s">
        <v>1504</v>
      </c>
      <c r="R12" s="60">
        <v>28</v>
      </c>
      <c r="S12" s="55">
        <v>42250</v>
      </c>
      <c r="T12" s="380">
        <v>25</v>
      </c>
      <c r="U12" s="55">
        <f t="shared" si="50"/>
        <v>42978</v>
      </c>
      <c r="V12" s="61">
        <f t="shared" ca="1" si="51"/>
        <v>6</v>
      </c>
      <c r="W12" s="38"/>
      <c r="X12" s="39">
        <f>(X6*4)/365.25</f>
        <v>1.4256646132785021E-3</v>
      </c>
      <c r="Y12" s="59"/>
      <c r="Z12" s="59"/>
      <c r="AA12" s="60"/>
      <c r="AB12" s="55"/>
      <c r="AC12" s="380"/>
      <c r="AD12" s="55"/>
      <c r="AE12" s="61"/>
      <c r="AF12" s="38"/>
      <c r="AG12" s="73"/>
      <c r="AH12" s="39">
        <f>(AH6*2)/365.25</f>
        <v>1.7301683778234204E-3</v>
      </c>
      <c r="AI12" s="59"/>
      <c r="AJ12" s="59"/>
      <c r="AK12" s="60"/>
      <c r="AL12" s="55"/>
      <c r="AM12" s="380"/>
      <c r="AN12" s="55"/>
      <c r="AO12" s="61"/>
      <c r="AP12" s="73"/>
      <c r="AQ12" s="73">
        <f>AQ6/365.25</f>
        <v>1.3289527720739179E-2</v>
      </c>
      <c r="AR12" s="59"/>
      <c r="AS12" s="59"/>
      <c r="AT12" s="60"/>
      <c r="AU12" s="55"/>
      <c r="AV12" s="380"/>
      <c r="AW12" s="55"/>
      <c r="AX12" s="61"/>
      <c r="AY12" s="73"/>
      <c r="AZ12" s="38"/>
      <c r="BA12" s="38"/>
      <c r="BB12" s="154">
        <f>AVERAGE(BD:BD)</f>
        <v>1.9722222222222221</v>
      </c>
      <c r="BC12" s="59"/>
      <c r="BD12" s="3"/>
      <c r="BE12" s="1291"/>
      <c r="BF12" s="1291"/>
      <c r="BG12" s="55"/>
      <c r="BH12" s="747"/>
      <c r="BI12" s="160"/>
      <c r="BJ12" s="165"/>
      <c r="BK12" s="163"/>
      <c r="BL12" s="39"/>
      <c r="BM12" s="73"/>
      <c r="BN12" s="73"/>
      <c r="BO12" s="73"/>
      <c r="BP12" s="73"/>
      <c r="BQ12" s="73"/>
      <c r="BR12" s="73"/>
      <c r="BS12" s="73"/>
      <c r="BT12" s="38"/>
      <c r="BU12" s="38"/>
      <c r="BV12" s="580">
        <f>AVERAGE(BX:BX)</f>
        <v>8.8194444444444446</v>
      </c>
      <c r="BW12" s="59">
        <v>100</v>
      </c>
      <c r="BX12" s="3">
        <v>3</v>
      </c>
      <c r="BY12" s="55">
        <v>42566</v>
      </c>
      <c r="BZ12" s="55">
        <f t="shared" ref="BZ12" si="351">BY12+BX12*365.25</f>
        <v>43661.75</v>
      </c>
      <c r="CA12" s="55">
        <v>42566</v>
      </c>
      <c r="CB12" s="747" t="s">
        <v>2003</v>
      </c>
      <c r="CC12" s="160">
        <v>7.4999999999999997E-3</v>
      </c>
      <c r="CD12" s="165">
        <f t="shared" ref="CD12" si="352">CE12/2</f>
        <v>0.375</v>
      </c>
      <c r="CE12" s="163">
        <f t="shared" ref="CE12" si="353">BW12*CC12</f>
        <v>0.75</v>
      </c>
      <c r="CF12" s="39">
        <f t="shared" ref="CF12" si="354">BX12*CE12</f>
        <v>2.25</v>
      </c>
      <c r="CG12" s="73">
        <f t="shared" ref="CG12" si="355">BW12+CF12</f>
        <v>102.25</v>
      </c>
      <c r="CH12" s="73">
        <f t="shared" si="274"/>
        <v>6.25E-2</v>
      </c>
      <c r="CI12" s="54" t="str">
        <f t="shared" si="275"/>
        <v>Jan</v>
      </c>
      <c r="CJ12" s="54" t="str">
        <f t="shared" si="276"/>
        <v>Jul</v>
      </c>
      <c r="CK12" s="54"/>
      <c r="CL12" s="54"/>
      <c r="CM12" s="54"/>
      <c r="CN12" s="154">
        <f>AVERAGE(CP:CP)</f>
        <v>29.922348484848484</v>
      </c>
      <c r="CO12" s="59">
        <v>100</v>
      </c>
      <c r="CP12" s="3">
        <v>30</v>
      </c>
      <c r="CQ12" s="55">
        <v>42506</v>
      </c>
      <c r="CR12" s="55">
        <f t="shared" si="329"/>
        <v>53463.5</v>
      </c>
      <c r="CS12" s="55">
        <v>42505</v>
      </c>
      <c r="CT12" s="23" t="s">
        <v>1893</v>
      </c>
      <c r="CU12" s="160">
        <v>2.5000000000000001E-2</v>
      </c>
      <c r="CV12" s="165">
        <f t="shared" ref="CV12" si="356">CW12/2</f>
        <v>1.25</v>
      </c>
      <c r="CW12" s="163">
        <f t="shared" ref="CW12" si="357">CO12*CU12</f>
        <v>2.5</v>
      </c>
      <c r="CX12" s="73">
        <f t="shared" ref="CX12" si="358">CP12*CW12</f>
        <v>75</v>
      </c>
      <c r="CY12" s="203">
        <f t="shared" ref="CY12" si="359">CO12+CX12</f>
        <v>175</v>
      </c>
      <c r="CZ12" s="203">
        <f t="shared" ref="CZ12" si="360">CW12/12</f>
        <v>0.20833333333333334</v>
      </c>
      <c r="DA12" s="54" t="str">
        <f t="shared" ref="DA12:DA45" si="361">CHOOSE(MONTH(CS12+365.25/2),"Jan","Feb","Mar","Apr","May","Jun","Jul","Aug","Sep","Oct","Nov","Dec")</f>
        <v>Nov</v>
      </c>
      <c r="DB12" s="54" t="str">
        <f t="shared" ref="DB12:DB45" si="362">CHOOSE(MONTH(CS12+365.25),"Jan","Feb","Mar","Apr","May","Jun","Jul","Aug","Sep","Oct","Nov","Dec")</f>
        <v>May</v>
      </c>
      <c r="DC12" s="54"/>
      <c r="DD12" s="54"/>
      <c r="DE12" s="204"/>
      <c r="DF12" s="154">
        <f>AVERAGE(DH:DH)</f>
        <v>16.014285714285716</v>
      </c>
      <c r="DG12" s="59">
        <v>200</v>
      </c>
      <c r="DH12" s="3">
        <v>30</v>
      </c>
      <c r="DI12" s="55">
        <v>42429</v>
      </c>
      <c r="DJ12" s="55">
        <f t="shared" si="306"/>
        <v>53386.5</v>
      </c>
      <c r="DK12" s="55">
        <v>42415</v>
      </c>
      <c r="DL12" s="747" t="s">
        <v>1737</v>
      </c>
      <c r="DM12" s="160">
        <v>0.01</v>
      </c>
      <c r="DN12" s="165">
        <f t="shared" ref="DN12" si="363">DO12/2</f>
        <v>1.0154000000000001</v>
      </c>
      <c r="DO12" s="163">
        <f t="shared" si="308"/>
        <v>2.0308000000000002</v>
      </c>
      <c r="DP12" s="73">
        <f t="shared" si="309"/>
        <v>60.924000000000007</v>
      </c>
      <c r="DQ12" s="203">
        <f t="shared" si="336"/>
        <v>264.00400000000002</v>
      </c>
      <c r="DR12" s="203">
        <f t="shared" ref="DR12" si="364">DO12/12</f>
        <v>0.16923333333333335</v>
      </c>
      <c r="DS12" s="54" t="str">
        <f t="shared" si="337"/>
        <v>Aug</v>
      </c>
      <c r="DT12" s="54" t="str">
        <f t="shared" si="338"/>
        <v>Feb</v>
      </c>
      <c r="DU12" s="44">
        <v>203.08</v>
      </c>
      <c r="DV12" s="579">
        <v>42597</v>
      </c>
      <c r="DW12" s="40">
        <f t="shared" si="310"/>
        <v>1.540000000000008E-2</v>
      </c>
      <c r="DX12" s="39">
        <f t="shared" si="339"/>
        <v>3.0800000000000125</v>
      </c>
      <c r="DY12" s="355">
        <f t="shared" si="311"/>
        <v>168</v>
      </c>
      <c r="DZ12" s="39">
        <f t="shared" si="312"/>
        <v>1.8333333333333406E-2</v>
      </c>
      <c r="EA12" s="38"/>
      <c r="EB12" s="178">
        <f ca="1">SUM(ER:ER)</f>
        <v>9.2891756406663948</v>
      </c>
      <c r="EC12" s="380">
        <f t="shared" ca="1" si="83"/>
        <v>0</v>
      </c>
      <c r="ED12" s="73">
        <v>70</v>
      </c>
      <c r="EE12" s="38">
        <v>30</v>
      </c>
      <c r="EF12" s="54">
        <v>42736</v>
      </c>
      <c r="EG12" s="55">
        <f t="shared" ref="EG12" si="365">EF12+EE12*365.25</f>
        <v>53693.5</v>
      </c>
      <c r="EH12" s="61" t="s">
        <v>122</v>
      </c>
      <c r="EI12" s="61">
        <f t="shared" ref="EI12" ca="1" si="366">IF(EF12&gt;$G$1,0,DATEDIF(EF12,$G$1,"M"))</f>
        <v>1</v>
      </c>
      <c r="EJ12" s="747" t="s">
        <v>2526</v>
      </c>
      <c r="EK12" s="39">
        <v>70</v>
      </c>
      <c r="EL12" s="39">
        <f t="shared" ref="EL12" si="367">EK12-ED12</f>
        <v>0</v>
      </c>
      <c r="EM12" s="40">
        <f t="shared" ref="EM12" si="368">EK12/ED12-1</f>
        <v>0</v>
      </c>
      <c r="EN12" s="39">
        <f t="shared" ref="EN12:EN13" ca="1" si="369">EL12/EI12</f>
        <v>0</v>
      </c>
      <c r="EO12" s="43">
        <f t="shared" ref="EO12" ca="1" si="370">IF(EF12&lt;$G$1-365.25,1,0)</f>
        <v>0</v>
      </c>
      <c r="EP12" s="39">
        <f t="shared" ref="EP12" ca="1" si="371">ED12*(1+$EB$23)^(EI12/12)</f>
        <v>70.2024601508557</v>
      </c>
      <c r="EQ12" s="39">
        <f t="shared" ref="EQ12" ca="1" si="372">EP12-ED12</f>
        <v>0.20246015085569979</v>
      </c>
      <c r="ER12" s="153">
        <f t="shared" ref="ER12" ca="1" si="373">EQ12/EI12</f>
        <v>0.20246015085569979</v>
      </c>
      <c r="ET12" s="39">
        <f ca="1">SUMPRODUCT(FB:FB,FF:FF)</f>
        <v>7652.9699999999848</v>
      </c>
      <c r="EU12" s="1360">
        <f t="shared" ca="1" si="90"/>
        <v>0</v>
      </c>
      <c r="EV12" s="173">
        <v>0</v>
      </c>
      <c r="EW12" s="747">
        <v>30</v>
      </c>
      <c r="EX12" s="55">
        <v>43009</v>
      </c>
      <c r="EY12" s="55">
        <f t="shared" ref="EY12" si="374">EX12+EW12*365.25</f>
        <v>53966.5</v>
      </c>
      <c r="EZ12" s="61">
        <f t="shared" ref="EZ12" ca="1" si="375">IF(EX12&gt;$G$1,0,DATEDIF(EX12,$G$1,"M"))</f>
        <v>0</v>
      </c>
      <c r="FA12" s="37" t="s">
        <v>2579</v>
      </c>
      <c r="FB12" s="39">
        <v>0</v>
      </c>
      <c r="FC12" s="39">
        <f t="shared" ref="FC12" si="376">FB12-EV12</f>
        <v>0</v>
      </c>
      <c r="FD12" s="40" t="e">
        <f t="shared" ref="FD12" si="377">FB12/EV12-1</f>
        <v>#DIV/0!</v>
      </c>
      <c r="FE12" s="39"/>
      <c r="FF12" s="43">
        <f t="shared" ref="FF12" ca="1" si="378">IF(EX12&lt;$G$1-365.25,1,0)</f>
        <v>0</v>
      </c>
      <c r="FH12" s="95"/>
      <c r="FI12" s="197">
        <f>FI9*12</f>
        <v>4200</v>
      </c>
      <c r="FJ12" s="151"/>
      <c r="FK12" s="91"/>
      <c r="FS12" s="550">
        <v>1</v>
      </c>
      <c r="FT12" s="58">
        <v>2</v>
      </c>
      <c r="FU12" s="38">
        <v>5</v>
      </c>
      <c r="FV12" s="38">
        <f t="shared" si="47"/>
        <v>1.001249843841072</v>
      </c>
      <c r="FW12" s="39">
        <f t="shared" si="268"/>
        <v>25.068792965170839</v>
      </c>
      <c r="FX12" s="1"/>
      <c r="FY12" s="552">
        <v>0</v>
      </c>
      <c r="FZ12" s="39">
        <f>FX2</f>
        <v>25</v>
      </c>
      <c r="GA12" s="39">
        <f t="shared" ref="GA12:GA42" si="379">FZ12-$FX$2</f>
        <v>0</v>
      </c>
      <c r="GB12" s="386">
        <f t="shared" ref="GB12:GB42" si="380">FZ12/$FX$2-1</f>
        <v>0</v>
      </c>
      <c r="GD12" s="497" t="s">
        <v>1995</v>
      </c>
      <c r="GE12" s="1109"/>
      <c r="GF12" s="114"/>
      <c r="GG12" s="114"/>
      <c r="GH12" s="114"/>
      <c r="GI12" s="115"/>
    </row>
    <row r="13" spans="2:191" ht="13.5" thickBot="1">
      <c r="C13" s="97">
        <f>COUNTIF(Stocks!W2:W146,"&gt;3.53%")/COUNTA(Stocks!W2:W146)</f>
        <v>0.48965517241379308</v>
      </c>
      <c r="D13" s="95"/>
      <c r="E13" s="93" t="s">
        <v>443</v>
      </c>
      <c r="F13" s="193" t="s">
        <v>446</v>
      </c>
      <c r="G13" s="96"/>
      <c r="H13" s="96"/>
      <c r="I13" s="93" t="s">
        <v>444</v>
      </c>
      <c r="J13" s="489" t="s">
        <v>445</v>
      </c>
      <c r="K13" s="97"/>
      <c r="L13" s="489" t="s">
        <v>1491</v>
      </c>
      <c r="M13" s="843" t="s">
        <v>1670</v>
      </c>
      <c r="N13" s="489"/>
      <c r="P13" s="59">
        <v>100</v>
      </c>
      <c r="Q13" s="59" t="s">
        <v>1492</v>
      </c>
      <c r="R13" s="60">
        <v>28</v>
      </c>
      <c r="S13" s="55">
        <v>42243</v>
      </c>
      <c r="T13" s="380">
        <v>25</v>
      </c>
      <c r="U13" s="55">
        <f t="shared" si="50"/>
        <v>42971</v>
      </c>
      <c r="V13" s="61">
        <f t="shared" ca="1" si="51"/>
        <v>6</v>
      </c>
      <c r="W13" s="38"/>
      <c r="X13" s="38"/>
      <c r="Y13" s="38"/>
      <c r="Z13" s="38"/>
      <c r="AA13" s="38"/>
      <c r="AB13" s="38"/>
      <c r="AC13" s="38"/>
      <c r="AD13" s="38"/>
      <c r="AE13" s="38"/>
      <c r="AF13" s="38"/>
      <c r="AG13" s="73"/>
      <c r="AH13" s="73"/>
      <c r="AI13" s="73"/>
      <c r="AJ13" s="73"/>
      <c r="AK13" s="73"/>
      <c r="AL13" s="73"/>
      <c r="AM13" s="73"/>
      <c r="AN13" s="73"/>
      <c r="AO13" s="73"/>
      <c r="AP13" s="73"/>
      <c r="AQ13" s="73"/>
      <c r="AR13" s="73"/>
      <c r="AS13" s="73"/>
      <c r="AT13" s="73"/>
      <c r="AU13" s="73"/>
      <c r="AV13" s="73"/>
      <c r="AW13" s="73"/>
      <c r="AX13" s="73"/>
      <c r="AY13" s="73"/>
      <c r="AZ13" s="38"/>
      <c r="BA13" s="38"/>
      <c r="BB13" s="38"/>
      <c r="BC13" s="59"/>
      <c r="BD13" s="3"/>
      <c r="BE13" s="1291"/>
      <c r="BF13" s="1291"/>
      <c r="BG13" s="55"/>
      <c r="BH13" s="747"/>
      <c r="BI13" s="160"/>
      <c r="BJ13" s="165"/>
      <c r="BK13" s="163"/>
      <c r="BL13" s="39"/>
      <c r="BM13" s="73"/>
      <c r="BN13" s="73"/>
      <c r="BO13" s="73"/>
      <c r="BP13" s="73"/>
      <c r="BQ13" s="73"/>
      <c r="BR13" s="73"/>
      <c r="BS13" s="73"/>
      <c r="BT13" s="38"/>
      <c r="BU13" s="38"/>
      <c r="BW13" s="59">
        <v>100</v>
      </c>
      <c r="BX13" s="3">
        <f>9+(10/12)</f>
        <v>9.8333333333333339</v>
      </c>
      <c r="BY13" s="55">
        <v>42566</v>
      </c>
      <c r="BZ13" s="55">
        <f t="shared" ref="BZ13:BZ43" si="381">BY13+BX13*365.25</f>
        <v>46157.625</v>
      </c>
      <c r="CA13" s="55">
        <v>42505</v>
      </c>
      <c r="CB13" s="747" t="s">
        <v>1965</v>
      </c>
      <c r="CC13" s="160">
        <v>1.6250000000000001E-2</v>
      </c>
      <c r="CD13" s="165">
        <f t="shared" ref="CD13" si="382">CE13/2</f>
        <v>0.8125</v>
      </c>
      <c r="CE13" s="163">
        <f t="shared" ref="CE13" si="383">BW13*CC13</f>
        <v>1.625</v>
      </c>
      <c r="CF13" s="39">
        <f t="shared" ref="CF13" si="384">BX13*CE13</f>
        <v>15.979166666666668</v>
      </c>
      <c r="CG13" s="73">
        <f t="shared" ref="CG13" si="385">BW13+CF13</f>
        <v>115.97916666666667</v>
      </c>
      <c r="CH13" s="73">
        <f t="shared" si="274"/>
        <v>0.13541666666666666</v>
      </c>
      <c r="CI13" s="54" t="str">
        <f t="shared" si="275"/>
        <v>Nov</v>
      </c>
      <c r="CJ13" s="54" t="str">
        <f t="shared" si="276"/>
        <v>May</v>
      </c>
      <c r="CK13" s="54"/>
      <c r="CL13" s="54"/>
      <c r="CM13" s="54"/>
      <c r="CN13" s="424"/>
      <c r="CO13" s="59">
        <v>200</v>
      </c>
      <c r="CP13" s="3">
        <f>29+(10/12)</f>
        <v>29.833333333333332</v>
      </c>
      <c r="CQ13" s="55">
        <v>42475</v>
      </c>
      <c r="CR13" s="55">
        <f t="shared" si="329"/>
        <v>53371.625</v>
      </c>
      <c r="CS13" s="55">
        <v>42415</v>
      </c>
      <c r="CT13" s="23" t="s">
        <v>1840</v>
      </c>
      <c r="CU13" s="160">
        <v>2.5000000000000001E-2</v>
      </c>
      <c r="CV13" s="165">
        <f t="shared" ref="CV13" si="386">CW13/2</f>
        <v>2.5</v>
      </c>
      <c r="CW13" s="163">
        <f t="shared" ref="CW13" si="387">CO13*CU13</f>
        <v>5</v>
      </c>
      <c r="CX13" s="73">
        <f t="shared" ref="CX13" si="388">CP13*CW13</f>
        <v>149.16666666666666</v>
      </c>
      <c r="CY13" s="203">
        <f t="shared" ref="CY13" si="389">CO13+CX13</f>
        <v>349.16666666666663</v>
      </c>
      <c r="CZ13" s="203">
        <f t="shared" ref="CZ13" si="390">CW13/12</f>
        <v>0.41666666666666669</v>
      </c>
      <c r="DA13" s="54" t="str">
        <f t="shared" si="361"/>
        <v>Aug</v>
      </c>
      <c r="DB13" s="54" t="str">
        <f t="shared" si="362"/>
        <v>Feb</v>
      </c>
      <c r="DC13" s="54"/>
      <c r="DD13" s="54"/>
      <c r="DE13" s="204"/>
      <c r="DF13" s="38"/>
      <c r="DG13" s="59">
        <v>100</v>
      </c>
      <c r="DH13" s="3">
        <v>10</v>
      </c>
      <c r="DI13" s="55">
        <v>42398</v>
      </c>
      <c r="DJ13" s="55">
        <f t="shared" si="306"/>
        <v>46050.5</v>
      </c>
      <c r="DK13" s="55">
        <v>42384</v>
      </c>
      <c r="DL13" s="747" t="s">
        <v>1805</v>
      </c>
      <c r="DM13" s="160">
        <v>6.2500000000000003E-3</v>
      </c>
      <c r="DN13" s="165">
        <f t="shared" ref="DN13" si="391">DO13/2</f>
        <v>0.31765625000000003</v>
      </c>
      <c r="DO13" s="163">
        <f t="shared" si="308"/>
        <v>0.63531250000000006</v>
      </c>
      <c r="DP13" s="73">
        <f t="shared" si="309"/>
        <v>6.3531250000000004</v>
      </c>
      <c r="DQ13" s="203">
        <f t="shared" si="336"/>
        <v>108.00312500000001</v>
      </c>
      <c r="DR13" s="203">
        <f t="shared" ref="DR13" si="392">DO13/12</f>
        <v>5.2942708333333338E-2</v>
      </c>
      <c r="DS13" s="54" t="str">
        <f t="shared" si="337"/>
        <v>Jul</v>
      </c>
      <c r="DT13" s="54" t="str">
        <f t="shared" si="338"/>
        <v>Jan</v>
      </c>
      <c r="DU13" s="44">
        <v>101.65</v>
      </c>
      <c r="DV13" s="579">
        <v>42752</v>
      </c>
      <c r="DW13" s="40">
        <f t="shared" si="310"/>
        <v>1.6499999999999959E-2</v>
      </c>
      <c r="DX13" s="39">
        <f t="shared" si="339"/>
        <v>1.6500000000000057</v>
      </c>
      <c r="DY13" s="355">
        <f t="shared" si="311"/>
        <v>354</v>
      </c>
      <c r="DZ13" s="39">
        <f t="shared" si="312"/>
        <v>4.6610169491525582E-3</v>
      </c>
      <c r="EA13" s="38"/>
      <c r="EB13" s="178"/>
      <c r="EC13" s="380">
        <f t="shared" ca="1" si="83"/>
        <v>0</v>
      </c>
      <c r="ED13" s="73">
        <v>60</v>
      </c>
      <c r="EE13" s="38">
        <v>30</v>
      </c>
      <c r="EF13" s="54">
        <v>42705</v>
      </c>
      <c r="EG13" s="55">
        <f t="shared" ref="EG13:EG77" si="393">EF13+EE13*365.25</f>
        <v>53662.5</v>
      </c>
      <c r="EH13" s="61" t="s">
        <v>122</v>
      </c>
      <c r="EI13" s="61">
        <f t="shared" ref="EI13:EI44" ca="1" si="394">IF(EF13&gt;$G$1,0,DATEDIF(EF13,$G$1,"M"))</f>
        <v>2</v>
      </c>
      <c r="EJ13" s="747" t="s">
        <v>1545</v>
      </c>
      <c r="EK13" s="39">
        <v>60</v>
      </c>
      <c r="EL13" s="39">
        <f t="shared" ref="EL13" si="395">EK13-ED13</f>
        <v>0</v>
      </c>
      <c r="EM13" s="40">
        <f t="shared" ref="EM13" si="396">EK13/ED13-1</f>
        <v>0</v>
      </c>
      <c r="EN13" s="39">
        <f t="shared" ca="1" si="369"/>
        <v>0</v>
      </c>
      <c r="EO13" s="43">
        <f t="shared" ref="EO13:EO44" ca="1" si="397">IF(EF13&lt;$G$1-365.25,1,0)</f>
        <v>0</v>
      </c>
      <c r="EP13" s="39">
        <f t="shared" ref="EP13:EP44" ca="1" si="398">ED13*(1+$EB$23)^(EI13/12)</f>
        <v>60.34757646407121</v>
      </c>
      <c r="EQ13" s="39">
        <f t="shared" ref="EQ13" ca="1" si="399">EP13-ED13</f>
        <v>0.34757646407121001</v>
      </c>
      <c r="ER13" s="153">
        <f t="shared" ref="ER13" ca="1" si="400">EQ13/EI13</f>
        <v>0.17378823203560501</v>
      </c>
      <c r="ET13" s="39">
        <f ca="1">SUMPRODUCT(EV:EV,FF:FF)</f>
        <v>7455</v>
      </c>
      <c r="EU13" s="1360">
        <f t="shared" ca="1" si="90"/>
        <v>0</v>
      </c>
      <c r="EV13" s="173">
        <v>0</v>
      </c>
      <c r="EW13" s="747">
        <v>30</v>
      </c>
      <c r="EX13" s="55">
        <v>43009</v>
      </c>
      <c r="EY13" s="55">
        <f t="shared" ref="EY13" si="401">EX13+EW13*365.25</f>
        <v>53966.5</v>
      </c>
      <c r="EZ13" s="61">
        <f t="shared" ref="EZ13" ca="1" si="402">IF(EX13&gt;$G$1,0,DATEDIF(EX13,$G$1,"M"))</f>
        <v>0</v>
      </c>
      <c r="FA13" s="37" t="s">
        <v>2578</v>
      </c>
      <c r="FB13" s="39">
        <v>0</v>
      </c>
      <c r="FC13" s="39">
        <f t="shared" ref="FC13" si="403">FB13-EV13</f>
        <v>0</v>
      </c>
      <c r="FD13" s="40" t="e">
        <f t="shared" ref="FD13" si="404">FB13/EV13-1</f>
        <v>#DIV/0!</v>
      </c>
      <c r="FE13" s="39"/>
      <c r="FF13" s="43">
        <f t="shared" ref="FF13" ca="1" si="405">IF(EX13&lt;$G$1-365.25,1,0)</f>
        <v>0</v>
      </c>
      <c r="FH13" s="95"/>
      <c r="FI13" s="91"/>
      <c r="FJ13" s="151"/>
      <c r="FK13" s="91"/>
      <c r="FS13" s="550">
        <v>1</v>
      </c>
      <c r="FT13" s="58">
        <v>2</v>
      </c>
      <c r="FU13" s="38">
        <v>6</v>
      </c>
      <c r="FV13" s="38">
        <f t="shared" si="47"/>
        <v>1.0015000000000001</v>
      </c>
      <c r="FW13" s="39">
        <f>$FW$7*FV13</f>
        <v>25.075056250000003</v>
      </c>
      <c r="FX13" s="39"/>
      <c r="FY13" s="552">
        <v>1</v>
      </c>
      <c r="FZ13" s="39">
        <f>FW13</f>
        <v>25.075056250000003</v>
      </c>
      <c r="GA13" s="39">
        <f t="shared" si="379"/>
        <v>7.5056250000002933E-2</v>
      </c>
      <c r="GB13" s="386">
        <f t="shared" si="380"/>
        <v>3.0022500000002061E-3</v>
      </c>
      <c r="GD13" s="497" t="s">
        <v>1996</v>
      </c>
      <c r="GE13" s="1109"/>
      <c r="GF13" s="114"/>
      <c r="GG13" s="114"/>
      <c r="GH13" s="114"/>
      <c r="GI13" s="115"/>
    </row>
    <row r="14" spans="2:191" ht="13.5" thickBot="1">
      <c r="D14" s="95" t="s">
        <v>284</v>
      </c>
      <c r="E14" s="96">
        <f>SUM(P:P)+SUM(Y:Y)+SUM(AI:AI)+SUM(AR:AR)</f>
        <v>2700</v>
      </c>
      <c r="F14" s="96">
        <f ca="1">SUM(E14,O9)</f>
        <v>2794.8582790000019</v>
      </c>
      <c r="G14" s="350"/>
      <c r="H14" s="1208" t="s">
        <v>2479</v>
      </c>
      <c r="I14" s="96">
        <f ca="1">SUM(EB9,ET9,O6)</f>
        <v>7.7481082996338664</v>
      </c>
      <c r="J14" s="96">
        <f ca="1">I14*12</f>
        <v>92.977299595606397</v>
      </c>
      <c r="K14" s="97">
        <f ca="1">J14/$J$18</f>
        <v>0.22520072738962543</v>
      </c>
      <c r="L14" s="96">
        <f ca="1">J14/365.25</f>
        <v>0.25455797288324816</v>
      </c>
      <c r="M14" s="844">
        <f ca="1">J14/12</f>
        <v>7.7481082996338664</v>
      </c>
      <c r="N14" s="544"/>
      <c r="O14" s="52"/>
      <c r="P14" s="59">
        <v>100</v>
      </c>
      <c r="Q14" s="59" t="s">
        <v>1424</v>
      </c>
      <c r="R14" s="60">
        <v>28</v>
      </c>
      <c r="S14" s="55">
        <v>42180</v>
      </c>
      <c r="T14" s="380">
        <v>25</v>
      </c>
      <c r="U14" s="55">
        <f t="shared" si="50"/>
        <v>42908</v>
      </c>
      <c r="V14" s="61">
        <f t="shared" ca="1" si="51"/>
        <v>4</v>
      </c>
      <c r="W14" s="38"/>
      <c r="X14" s="38"/>
      <c r="Y14" s="38"/>
      <c r="Z14" s="38"/>
      <c r="AA14" s="38"/>
      <c r="AB14" s="38"/>
      <c r="AC14" s="38"/>
      <c r="AD14" s="38"/>
      <c r="AE14" s="38"/>
      <c r="AF14" s="38"/>
      <c r="AG14" s="73"/>
      <c r="AH14" s="73"/>
      <c r="AI14" s="73"/>
      <c r="AJ14" s="73"/>
      <c r="AK14" s="73"/>
      <c r="AL14" s="73"/>
      <c r="AM14" s="73"/>
      <c r="AN14" s="73"/>
      <c r="AO14" s="73"/>
      <c r="AP14" s="73"/>
      <c r="AQ14" s="73"/>
      <c r="AR14" s="73"/>
      <c r="AS14" s="73"/>
      <c r="AT14" s="73"/>
      <c r="AU14" s="73"/>
      <c r="AV14" s="73"/>
      <c r="AW14" s="73"/>
      <c r="AX14" s="73"/>
      <c r="AY14" s="73"/>
      <c r="AZ14" s="198"/>
      <c r="BA14" s="1275" t="s">
        <v>1383</v>
      </c>
      <c r="BB14" s="1276" t="s">
        <v>2473</v>
      </c>
      <c r="BC14" s="59"/>
      <c r="BD14" s="3"/>
      <c r="BE14" s="1291"/>
      <c r="BF14" s="1291"/>
      <c r="BG14" s="55"/>
      <c r="BH14" s="747"/>
      <c r="BI14" s="160"/>
      <c r="BJ14" s="165"/>
      <c r="BK14" s="163"/>
      <c r="BL14" s="39"/>
      <c r="BM14" s="73"/>
      <c r="BN14" s="73"/>
      <c r="BO14" s="73"/>
      <c r="BP14" s="73"/>
      <c r="BQ14" s="73"/>
      <c r="BR14" s="73"/>
      <c r="BS14" s="73"/>
      <c r="BT14" s="198"/>
      <c r="BU14" s="389" t="s">
        <v>1383</v>
      </c>
      <c r="BV14" s="455" t="s">
        <v>1387</v>
      </c>
      <c r="BW14" s="59">
        <v>100</v>
      </c>
      <c r="BX14" s="3">
        <f>9+(11/12)</f>
        <v>9.9166666666666661</v>
      </c>
      <c r="BY14" s="55">
        <v>42536</v>
      </c>
      <c r="BZ14" s="55">
        <f t="shared" si="381"/>
        <v>46158.0625</v>
      </c>
      <c r="CA14" s="55">
        <v>42505</v>
      </c>
      <c r="CB14" s="747" t="s">
        <v>1928</v>
      </c>
      <c r="CC14" s="160">
        <v>1.6250000000000001E-2</v>
      </c>
      <c r="CD14" s="165">
        <f t="shared" ref="CD14" si="406">CE14/2</f>
        <v>0.8125</v>
      </c>
      <c r="CE14" s="163">
        <f t="shared" ref="CE14:CE43" si="407">BW14*CC14</f>
        <v>1.625</v>
      </c>
      <c r="CF14" s="39">
        <f t="shared" ref="CF14:CF43" si="408">BX14*CE14</f>
        <v>16.114583333333332</v>
      </c>
      <c r="CG14" s="73">
        <f t="shared" ref="CG14:CG43" si="409">BW14+CF14</f>
        <v>116.11458333333333</v>
      </c>
      <c r="CH14" s="73">
        <f t="shared" si="274"/>
        <v>0.13541666666666666</v>
      </c>
      <c r="CI14" s="54" t="str">
        <f t="shared" si="275"/>
        <v>Nov</v>
      </c>
      <c r="CJ14" s="54" t="str">
        <f t="shared" si="276"/>
        <v>May</v>
      </c>
      <c r="CK14" s="54"/>
      <c r="CL14" s="198"/>
      <c r="CM14" s="389" t="s">
        <v>1383</v>
      </c>
      <c r="CN14" s="455" t="s">
        <v>1387</v>
      </c>
      <c r="CO14" s="59">
        <v>100</v>
      </c>
      <c r="CP14" s="3">
        <f>29+(11/12)</f>
        <v>29.916666666666668</v>
      </c>
      <c r="CQ14" s="55">
        <v>42444</v>
      </c>
      <c r="CR14" s="55">
        <f t="shared" si="329"/>
        <v>53371.0625</v>
      </c>
      <c r="CS14" s="55">
        <v>42415</v>
      </c>
      <c r="CT14" s="23" t="s">
        <v>1796</v>
      </c>
      <c r="CU14" s="160">
        <v>2.5000000000000001E-2</v>
      </c>
      <c r="CV14" s="165">
        <f t="shared" ref="CV14" si="410">CW14/2</f>
        <v>1.25</v>
      </c>
      <c r="CW14" s="163">
        <f t="shared" ref="CW14" si="411">CO14*CU14</f>
        <v>2.5</v>
      </c>
      <c r="CX14" s="73">
        <f t="shared" ref="CX14" si="412">CP14*CW14</f>
        <v>74.791666666666671</v>
      </c>
      <c r="CY14" s="203">
        <f t="shared" ref="CY14" si="413">CO14+CX14</f>
        <v>174.79166666666669</v>
      </c>
      <c r="CZ14" s="203">
        <f t="shared" ref="CZ14" si="414">CW14/12</f>
        <v>0.20833333333333334</v>
      </c>
      <c r="DA14" s="54" t="str">
        <f t="shared" si="361"/>
        <v>Aug</v>
      </c>
      <c r="DB14" s="54" t="str">
        <f t="shared" si="362"/>
        <v>Feb</v>
      </c>
      <c r="DC14" s="54"/>
      <c r="DD14" s="198"/>
      <c r="DE14" s="389" t="s">
        <v>1383</v>
      </c>
      <c r="DF14" s="455" t="s">
        <v>1387</v>
      </c>
      <c r="DG14" s="59">
        <v>100</v>
      </c>
      <c r="DH14" s="3">
        <v>10</v>
      </c>
      <c r="DI14" s="55">
        <v>42398</v>
      </c>
      <c r="DJ14" s="55">
        <f t="shared" si="306"/>
        <v>46050.5</v>
      </c>
      <c r="DK14" s="55">
        <v>42384</v>
      </c>
      <c r="DL14" s="747" t="s">
        <v>1676</v>
      </c>
      <c r="DM14" s="160">
        <v>6.2500000000000003E-3</v>
      </c>
      <c r="DN14" s="165">
        <f t="shared" ref="DN14" si="415">DO14/2</f>
        <v>0.31765625000000003</v>
      </c>
      <c r="DO14" s="163">
        <f t="shared" si="308"/>
        <v>0.63531250000000006</v>
      </c>
      <c r="DP14" s="73">
        <f t="shared" si="309"/>
        <v>6.3531250000000004</v>
      </c>
      <c r="DQ14" s="203">
        <f t="shared" si="336"/>
        <v>108.00312500000001</v>
      </c>
      <c r="DR14" s="203">
        <f t="shared" ref="DR14" si="416">DO14/12</f>
        <v>5.2942708333333338E-2</v>
      </c>
      <c r="DS14" s="54" t="str">
        <f t="shared" si="337"/>
        <v>Jul</v>
      </c>
      <c r="DT14" s="54" t="str">
        <f t="shared" si="338"/>
        <v>Jan</v>
      </c>
      <c r="DU14" s="44">
        <v>101.65</v>
      </c>
      <c r="DV14" s="579">
        <v>42752</v>
      </c>
      <c r="DW14" s="40">
        <f t="shared" si="310"/>
        <v>1.6499999999999959E-2</v>
      </c>
      <c r="DX14" s="39">
        <f t="shared" si="339"/>
        <v>1.6500000000000057</v>
      </c>
      <c r="DY14" s="355">
        <f t="shared" si="311"/>
        <v>354</v>
      </c>
      <c r="DZ14" s="39">
        <f t="shared" si="312"/>
        <v>4.6610169491525582E-3</v>
      </c>
      <c r="EA14" s="38"/>
      <c r="EC14" s="380">
        <f t="shared" ca="1" si="83"/>
        <v>0</v>
      </c>
      <c r="ED14" s="73">
        <v>60</v>
      </c>
      <c r="EE14" s="38">
        <v>30</v>
      </c>
      <c r="EF14" s="54">
        <v>42675</v>
      </c>
      <c r="EG14" s="55">
        <f t="shared" si="393"/>
        <v>53632.5</v>
      </c>
      <c r="EH14" s="61" t="s">
        <v>122</v>
      </c>
      <c r="EI14" s="61">
        <f t="shared" ca="1" si="394"/>
        <v>3</v>
      </c>
      <c r="EJ14" s="747" t="s">
        <v>1544</v>
      </c>
      <c r="EK14" s="39">
        <v>60</v>
      </c>
      <c r="EL14" s="39">
        <f t="shared" ref="EL14" si="417">EK14-ED14</f>
        <v>0</v>
      </c>
      <c r="EM14" s="40">
        <f t="shared" ref="EM14" si="418">EK14/ED14-1</f>
        <v>0</v>
      </c>
      <c r="EN14" s="39">
        <f t="shared" ref="EN14" ca="1" si="419">EL14/EI14</f>
        <v>0</v>
      </c>
      <c r="EO14" s="43">
        <f t="shared" ca="1" si="397"/>
        <v>0</v>
      </c>
      <c r="EP14" s="39">
        <f t="shared" ca="1" si="398"/>
        <v>60.52211902742394</v>
      </c>
      <c r="EQ14" s="39">
        <f t="shared" ref="EQ14" ca="1" si="420">EP14-ED14</f>
        <v>0.52211902742394045</v>
      </c>
      <c r="ER14" s="153">
        <f t="shared" ref="ER14" ca="1" si="421">EQ14/EI14</f>
        <v>0.17403967580798016</v>
      </c>
      <c r="EU14" s="1360">
        <f t="shared" ca="1" si="90"/>
        <v>0</v>
      </c>
      <c r="EV14" s="173">
        <v>0</v>
      </c>
      <c r="EW14" s="747">
        <v>30</v>
      </c>
      <c r="EX14" s="55">
        <v>43009</v>
      </c>
      <c r="EY14" s="55">
        <f t="shared" ref="EY14" si="422">EX14+EW14*365.25</f>
        <v>53966.5</v>
      </c>
      <c r="EZ14" s="61">
        <f t="shared" ref="EZ14" ca="1" si="423">IF(EX14&gt;$G$1,0,DATEDIF(EX14,$G$1,"M"))</f>
        <v>0</v>
      </c>
      <c r="FA14" s="37" t="s">
        <v>2577</v>
      </c>
      <c r="FB14" s="39">
        <v>0</v>
      </c>
      <c r="FC14" s="39">
        <f t="shared" ref="FC14" si="424">FB14-EV14</f>
        <v>0</v>
      </c>
      <c r="FD14" s="40" t="e">
        <f t="shared" ref="FD14" si="425">FB14/EV14-1</f>
        <v>#DIV/0!</v>
      </c>
      <c r="FE14" s="39"/>
      <c r="FF14" s="43">
        <f t="shared" ref="FF14" ca="1" si="426">IF(EX14&lt;$G$1-365.25,1,0)</f>
        <v>0</v>
      </c>
      <c r="FH14" s="135" t="s">
        <v>112</v>
      </c>
      <c r="FI14" s="136" t="s">
        <v>413</v>
      </c>
      <c r="FJ14" s="151"/>
      <c r="FS14" s="550"/>
      <c r="FT14" s="58"/>
      <c r="FU14" s="38"/>
      <c r="FV14" s="38"/>
      <c r="FW14" s="39"/>
      <c r="FY14" s="552">
        <v>2</v>
      </c>
      <c r="FZ14" s="39">
        <f>FW26</f>
        <v>25.150337837626569</v>
      </c>
      <c r="GA14" s="39">
        <f t="shared" si="379"/>
        <v>0.15033783762656938</v>
      </c>
      <c r="GB14" s="386">
        <f t="shared" si="380"/>
        <v>6.0135135050627397E-3</v>
      </c>
      <c r="GD14" s="497" t="s">
        <v>1997</v>
      </c>
      <c r="GE14" s="1109"/>
      <c r="GF14" s="114"/>
      <c r="GG14" s="114"/>
      <c r="GH14" s="114"/>
      <c r="GI14" s="115"/>
    </row>
    <row r="15" spans="2:191" ht="13.5" thickBot="1">
      <c r="B15" s="1132" t="s">
        <v>2742</v>
      </c>
      <c r="C15" s="112"/>
      <c r="D15" s="95" t="s">
        <v>280</v>
      </c>
      <c r="E15" s="96">
        <f>SUM(BW:BW)</f>
        <v>4300</v>
      </c>
      <c r="F15" s="96">
        <f>BV9</f>
        <v>5068.354166666667</v>
      </c>
      <c r="G15" s="350"/>
      <c r="H15" s="799" t="s">
        <v>2475</v>
      </c>
      <c r="I15" s="96">
        <f>SUM(X6,BB6)</f>
        <v>0.20518099999999323</v>
      </c>
      <c r="J15" s="96">
        <f>I15*4</f>
        <v>0.82072399999997292</v>
      </c>
      <c r="K15" s="97">
        <f ca="1">J15/$J$18</f>
        <v>1.9878792198741251E-3</v>
      </c>
      <c r="L15" s="96">
        <f>J15/365.25</f>
        <v>2.2470198494181325E-3</v>
      </c>
      <c r="M15" s="844">
        <f>J15/12</f>
        <v>6.839366666666441E-2</v>
      </c>
      <c r="N15" s="544"/>
      <c r="O15" s="205"/>
      <c r="P15" s="59">
        <v>100</v>
      </c>
      <c r="Q15" s="59" t="s">
        <v>1254</v>
      </c>
      <c r="R15" s="60">
        <v>28</v>
      </c>
      <c r="S15" s="55">
        <v>42096</v>
      </c>
      <c r="T15" s="380">
        <v>25</v>
      </c>
      <c r="U15" s="55">
        <f t="shared" si="50"/>
        <v>42824</v>
      </c>
      <c r="V15" s="61">
        <f t="shared" ca="1" si="51"/>
        <v>1</v>
      </c>
      <c r="W15" s="38"/>
      <c r="X15" s="38"/>
      <c r="Y15" s="38"/>
      <c r="Z15" s="38"/>
      <c r="AA15" s="38"/>
      <c r="AB15" s="38"/>
      <c r="AC15" s="38"/>
      <c r="AD15" s="38"/>
      <c r="AE15" s="38"/>
      <c r="AF15" s="38"/>
      <c r="AG15" s="73"/>
      <c r="AH15" s="73"/>
      <c r="AI15" s="73"/>
      <c r="AJ15" s="73"/>
      <c r="AK15" s="73"/>
      <c r="AL15" s="73"/>
      <c r="AM15" s="73"/>
      <c r="AN15" s="73"/>
      <c r="AO15" s="73"/>
      <c r="AP15" s="73"/>
      <c r="AQ15" s="73"/>
      <c r="AR15" s="73"/>
      <c r="AS15" s="73"/>
      <c r="AT15" s="73"/>
      <c r="AU15" s="73"/>
      <c r="AV15" s="73"/>
      <c r="AW15" s="73"/>
      <c r="AX15" s="73"/>
      <c r="AY15" s="73"/>
      <c r="AZ15" s="192" t="s">
        <v>1371</v>
      </c>
      <c r="BA15" s="172">
        <f>COUNTIF($BO:$BQ,AZ15)</f>
        <v>3</v>
      </c>
      <c r="BB15" s="82">
        <f>SUMIF($BO:$BO,"=Jan",$BJ:$BJ)+SUMIF($BP:$BP,"=Jan",$BJ:$BJ)+SUMIF($BQ:$BQ,"=Jan",$BJ:$BJ)</f>
        <v>7.5000000000000011E-2</v>
      </c>
      <c r="BC15" s="59"/>
      <c r="BD15" s="3"/>
      <c r="BE15" s="1291"/>
      <c r="BF15" s="1291"/>
      <c r="BG15" s="55"/>
      <c r="BH15" s="747"/>
      <c r="BI15" s="160"/>
      <c r="BJ15" s="165"/>
      <c r="BK15" s="163"/>
      <c r="BL15" s="39"/>
      <c r="BM15" s="73"/>
      <c r="BN15" s="73"/>
      <c r="BO15" s="73"/>
      <c r="BP15" s="73"/>
      <c r="BQ15" s="73"/>
      <c r="BR15" s="73"/>
      <c r="BS15" s="73"/>
      <c r="BT15" s="192" t="s">
        <v>1371</v>
      </c>
      <c r="BU15" s="172">
        <f t="shared" ref="BU15:BU26" si="427">COUNTIF($CI:$CJ,BT15)</f>
        <v>5</v>
      </c>
      <c r="BV15" s="82">
        <f>SUMIF($CI:$CI,"=Jan",$CD:$CD)+SUMIF($CJ:$CJ,"=Jan",$CD:$CD)</f>
        <v>2.875</v>
      </c>
      <c r="BW15" s="59">
        <v>100</v>
      </c>
      <c r="BX15" s="3">
        <v>10</v>
      </c>
      <c r="BY15" s="55">
        <v>42506</v>
      </c>
      <c r="BZ15" s="55">
        <f t="shared" si="381"/>
        <v>46158.5</v>
      </c>
      <c r="CA15" s="55">
        <v>42505</v>
      </c>
      <c r="CB15" s="747" t="s">
        <v>1919</v>
      </c>
      <c r="CC15" s="160">
        <v>1.6250000000000001E-2</v>
      </c>
      <c r="CD15" s="165">
        <f t="shared" ref="CD15" si="428">CE15/2</f>
        <v>0.8125</v>
      </c>
      <c r="CE15" s="163">
        <f t="shared" si="407"/>
        <v>1.625</v>
      </c>
      <c r="CF15" s="39">
        <f t="shared" si="408"/>
        <v>16.25</v>
      </c>
      <c r="CG15" s="73">
        <f t="shared" si="409"/>
        <v>116.25</v>
      </c>
      <c r="CH15" s="73">
        <f t="shared" ref="CH15" si="429">CE15/12</f>
        <v>0.13541666666666666</v>
      </c>
      <c r="CI15" s="54" t="str">
        <f t="shared" ref="CI15:CI43" si="430">CHOOSE(MONTH(CA15+365.25/2),"Jan","Feb","Mar","Apr","May","Jun","Jul","Aug","Sep","Oct","Nov","Dec")</f>
        <v>Nov</v>
      </c>
      <c r="CJ15" s="54" t="str">
        <f t="shared" ref="CJ15:CJ43" si="431">CHOOSE(MONTH(CA15+365.25),"Jan","Feb","Mar","Apr","May","Jun","Jul","Aug","Sep","Oct","Nov","Dec")</f>
        <v>May</v>
      </c>
      <c r="CK15" s="54"/>
      <c r="CL15" s="192" t="s">
        <v>1371</v>
      </c>
      <c r="CM15" s="172">
        <f t="shared" ref="CM15:CM26" si="432">COUNTIF($DA:$DB,CL15)</f>
        <v>0</v>
      </c>
      <c r="CN15" s="82">
        <f>SUMIF($DA:$DA,"=Jan",$CV:$CV)+SUMIF($DB:$DB,"=Jan",$CV:$CV)</f>
        <v>0</v>
      </c>
      <c r="CO15" s="59">
        <v>200</v>
      </c>
      <c r="CP15" s="3">
        <v>30</v>
      </c>
      <c r="CQ15" s="55">
        <v>42416</v>
      </c>
      <c r="CR15" s="55">
        <f t="shared" si="329"/>
        <v>53373.5</v>
      </c>
      <c r="CS15" s="55">
        <v>42415</v>
      </c>
      <c r="CT15" s="23" t="s">
        <v>1699</v>
      </c>
      <c r="CU15" s="160">
        <v>2.5000000000000001E-2</v>
      </c>
      <c r="CV15" s="165">
        <f t="shared" ref="CV15" si="433">CW15/2</f>
        <v>2.5</v>
      </c>
      <c r="CW15" s="163">
        <f t="shared" ref="CW15" si="434">CO15*CU15</f>
        <v>5</v>
      </c>
      <c r="CX15" s="73">
        <f t="shared" ref="CX15" si="435">CP15*CW15</f>
        <v>150</v>
      </c>
      <c r="CY15" s="203">
        <f t="shared" ref="CY15" si="436">CO15+CX15</f>
        <v>350</v>
      </c>
      <c r="CZ15" s="203">
        <f t="shared" ref="CZ15" si="437">CW15/12</f>
        <v>0.41666666666666669</v>
      </c>
      <c r="DA15" s="54" t="str">
        <f t="shared" si="361"/>
        <v>Aug</v>
      </c>
      <c r="DB15" s="54" t="str">
        <f t="shared" si="362"/>
        <v>Feb</v>
      </c>
      <c r="DC15" s="54"/>
      <c r="DD15" s="192" t="s">
        <v>1371</v>
      </c>
      <c r="DE15" s="172">
        <f t="shared" ref="DE15:DE26" si="438">COUNTIF($DS:$DT,DD15)</f>
        <v>18</v>
      </c>
      <c r="DF15" s="82">
        <f>SUMIF($DS:$DS,"=Jan",$DN:$DN)+SUMIF($DT:$DT,"=Jan",$DN:$DN)</f>
        <v>3.4433499999999997</v>
      </c>
      <c r="DG15" s="59">
        <v>100</v>
      </c>
      <c r="DH15" s="3">
        <f>4+(4/12)</f>
        <v>4.333333333333333</v>
      </c>
      <c r="DI15" s="55">
        <v>42369</v>
      </c>
      <c r="DJ15" s="55">
        <f t="shared" si="306"/>
        <v>43951.75</v>
      </c>
      <c r="DK15" s="55">
        <v>42292</v>
      </c>
      <c r="DL15" s="747" t="s">
        <v>1630</v>
      </c>
      <c r="DM15" s="160">
        <v>1.25E-3</v>
      </c>
      <c r="DN15" s="165">
        <f t="shared" ref="DN15" si="439">DO15/2</f>
        <v>6.4256250000000001E-2</v>
      </c>
      <c r="DO15" s="163">
        <f t="shared" si="308"/>
        <v>0.1285125</v>
      </c>
      <c r="DP15" s="73">
        <f t="shared" si="309"/>
        <v>0.55688749999999998</v>
      </c>
      <c r="DQ15" s="203">
        <f t="shared" si="336"/>
        <v>103.3668875</v>
      </c>
      <c r="DR15" s="203">
        <f t="shared" ref="DR15" si="440">DO15/12</f>
        <v>1.0709375E-2</v>
      </c>
      <c r="DS15" s="54" t="str">
        <f t="shared" si="337"/>
        <v>Apr</v>
      </c>
      <c r="DT15" s="54" t="str">
        <f t="shared" si="338"/>
        <v>Oct</v>
      </c>
      <c r="DU15" s="44">
        <v>102.81</v>
      </c>
      <c r="DV15" s="579">
        <v>42660</v>
      </c>
      <c r="DW15" s="40">
        <f>DU15/DG15-1</f>
        <v>2.8100000000000014E-2</v>
      </c>
      <c r="DX15" s="39">
        <f t="shared" si="339"/>
        <v>2.8100000000000023</v>
      </c>
      <c r="DY15" s="355">
        <f t="shared" si="311"/>
        <v>291</v>
      </c>
      <c r="DZ15" s="39">
        <f t="shared" si="312"/>
        <v>9.6563573883161596E-3</v>
      </c>
      <c r="EA15" s="62"/>
      <c r="EB15" s="42" t="s">
        <v>1364</v>
      </c>
      <c r="EC15" s="380">
        <f t="shared" ca="1" si="83"/>
        <v>0</v>
      </c>
      <c r="ED15" s="73">
        <v>60</v>
      </c>
      <c r="EE15" s="38">
        <v>30</v>
      </c>
      <c r="EF15" s="54">
        <v>42644</v>
      </c>
      <c r="EG15" s="55">
        <f t="shared" si="393"/>
        <v>53601.5</v>
      </c>
      <c r="EH15" s="61" t="s">
        <v>122</v>
      </c>
      <c r="EI15" s="61">
        <f t="shared" ca="1" si="394"/>
        <v>4</v>
      </c>
      <c r="EJ15" s="747" t="s">
        <v>1543</v>
      </c>
      <c r="EK15" s="39">
        <v>60</v>
      </c>
      <c r="EL15" s="39">
        <f t="shared" ref="EL15" si="441">EK15-ED15</f>
        <v>0</v>
      </c>
      <c r="EM15" s="40">
        <f t="shared" ref="EM15" si="442">EK15/ED15-1</f>
        <v>0</v>
      </c>
      <c r="EN15" s="39">
        <f t="shared" ref="EN15" ca="1" si="443">EL15/EI15</f>
        <v>0</v>
      </c>
      <c r="EO15" s="43">
        <f t="shared" ca="1" si="397"/>
        <v>0</v>
      </c>
      <c r="EP15" s="39">
        <f t="shared" ca="1" si="398"/>
        <v>60.697166418115351</v>
      </c>
      <c r="EQ15" s="39">
        <f t="shared" ref="EQ15" ca="1" si="444">EP15-ED15</f>
        <v>0.69716641811535141</v>
      </c>
      <c r="ER15" s="153">
        <f t="shared" ref="ER15" ca="1" si="445">EQ15/EI15</f>
        <v>0.17429160452883785</v>
      </c>
      <c r="ET15" s="1" t="s">
        <v>820</v>
      </c>
      <c r="EU15" s="1360">
        <f t="shared" ca="1" si="90"/>
        <v>0</v>
      </c>
      <c r="EV15" s="173">
        <v>0</v>
      </c>
      <c r="EW15" s="747">
        <v>30</v>
      </c>
      <c r="EX15" s="55">
        <v>43009</v>
      </c>
      <c r="EY15" s="55">
        <f t="shared" ref="EY15" si="446">EX15+EW15*365.25</f>
        <v>53966.5</v>
      </c>
      <c r="EZ15" s="61">
        <f t="shared" ref="EZ15" ca="1" si="447">IF(EX15&gt;$G$1,0,DATEDIF(EX15,$G$1,"M"))</f>
        <v>0</v>
      </c>
      <c r="FA15" s="37" t="s">
        <v>2576</v>
      </c>
      <c r="FB15" s="39">
        <v>0</v>
      </c>
      <c r="FC15" s="39">
        <f t="shared" ref="FC15" si="448">FB15-EV15</f>
        <v>0</v>
      </c>
      <c r="FD15" s="40" t="e">
        <f t="shared" ref="FD15" si="449">FB15/EV15-1</f>
        <v>#DIV/0!</v>
      </c>
      <c r="FE15" s="39"/>
      <c r="FF15" s="43">
        <f t="shared" ref="FF15" ca="1" si="450">IF(EX15&lt;$G$1-365.25,1,0)</f>
        <v>0</v>
      </c>
      <c r="FH15" s="202">
        <v>18</v>
      </c>
      <c r="FI15" s="149">
        <f>FH15*FI9*12</f>
        <v>75600</v>
      </c>
      <c r="FJ15" s="151"/>
      <c r="FS15" s="550">
        <v>2</v>
      </c>
      <c r="FT15" s="58">
        <v>1</v>
      </c>
      <c r="FU15" s="38">
        <v>1</v>
      </c>
      <c r="FV15" s="38">
        <f t="shared" ref="FV15:FV26" si="451">(1+$FY$2/2)^(FU15/6)</f>
        <v>1.0002498438930771</v>
      </c>
      <c r="FW15" s="39">
        <f>$FW$13*FV15</f>
        <v>25.081321099672632</v>
      </c>
      <c r="FX15" s="67"/>
      <c r="FY15" s="552">
        <v>3</v>
      </c>
      <c r="FZ15" s="39">
        <f>FW39</f>
        <v>25.225845439399588</v>
      </c>
      <c r="GA15" s="39">
        <f t="shared" si="379"/>
        <v>0.22584543939958834</v>
      </c>
      <c r="GB15" s="386">
        <f t="shared" si="380"/>
        <v>9.0338175759834272E-3</v>
      </c>
      <c r="GD15" s="497" t="s">
        <v>1998</v>
      </c>
      <c r="GE15" s="1109"/>
      <c r="GF15" s="114"/>
      <c r="GG15" s="114"/>
      <c r="GH15" s="114"/>
      <c r="GI15" s="115"/>
    </row>
    <row r="16" spans="2:191">
      <c r="B16" s="113" t="s">
        <v>2164</v>
      </c>
      <c r="C16" s="115"/>
      <c r="D16" s="95" t="s">
        <v>282</v>
      </c>
      <c r="E16" s="96">
        <f>SUM(CO:CO)</f>
        <v>7100</v>
      </c>
      <c r="F16" s="96">
        <f>CN9</f>
        <v>13306.42708333333</v>
      </c>
      <c r="G16" s="114"/>
      <c r="H16" s="1208" t="s">
        <v>2476</v>
      </c>
      <c r="I16" s="96">
        <f>SUM(AH6,BV6,CN6,DF6)</f>
        <v>157.10604699999999</v>
      </c>
      <c r="J16" s="96">
        <f>I16*2</f>
        <v>314.21209399999998</v>
      </c>
      <c r="K16" s="97">
        <f ca="1">J16/$J$18</f>
        <v>0.76105449858387941</v>
      </c>
      <c r="L16" s="96">
        <f>J16/365.25</f>
        <v>0.86026582888432579</v>
      </c>
      <c r="M16" s="844">
        <f>J16/12</f>
        <v>26.184341166666666</v>
      </c>
      <c r="N16" s="544"/>
      <c r="O16" s="206"/>
      <c r="P16" s="59">
        <v>100</v>
      </c>
      <c r="Q16" s="59" t="s">
        <v>1251</v>
      </c>
      <c r="R16" s="60">
        <v>28</v>
      </c>
      <c r="S16" s="55">
        <v>42089</v>
      </c>
      <c r="T16" s="380">
        <v>25</v>
      </c>
      <c r="U16" s="55">
        <f t="shared" si="50"/>
        <v>42817</v>
      </c>
      <c r="V16" s="61">
        <f t="shared" ca="1" si="51"/>
        <v>1</v>
      </c>
      <c r="W16" s="38"/>
      <c r="X16" s="38"/>
      <c r="Y16" s="38"/>
      <c r="Z16" s="38"/>
      <c r="AA16" s="38"/>
      <c r="AB16" s="38"/>
      <c r="AC16" s="38"/>
      <c r="AD16" s="38"/>
      <c r="AE16" s="38"/>
      <c r="AF16" s="38"/>
      <c r="AG16" s="73"/>
      <c r="AH16" s="73"/>
      <c r="AI16" s="73"/>
      <c r="AJ16" s="73"/>
      <c r="AK16" s="73"/>
      <c r="AL16" s="73"/>
      <c r="AM16" s="73"/>
      <c r="AN16" s="73"/>
      <c r="AO16" s="73"/>
      <c r="AP16" s="73"/>
      <c r="AQ16" s="73"/>
      <c r="AR16" s="73"/>
      <c r="AS16" s="73"/>
      <c r="AT16" s="73"/>
      <c r="AU16" s="73"/>
      <c r="AV16" s="73"/>
      <c r="AW16" s="73"/>
      <c r="AX16" s="73"/>
      <c r="AY16" s="73"/>
      <c r="AZ16" s="693" t="s">
        <v>1372</v>
      </c>
      <c r="BA16" s="172">
        <f t="shared" ref="BA16:BA26" si="452">COUNTIF($BO:$BQ,AZ16)</f>
        <v>0</v>
      </c>
      <c r="BB16" s="82">
        <f>SUMIF($BO:$BO,"=Feb",$BJ:$BJ)+SUMIF($BP:$BP,"=Feb",$BJ:$BJ)+SUMIF($BQ:$BQ,"=Feb",$BJ:$BJ)</f>
        <v>0</v>
      </c>
      <c r="BC16" s="59"/>
      <c r="BD16" s="3"/>
      <c r="BE16" s="1291"/>
      <c r="BF16" s="1291"/>
      <c r="BG16" s="55"/>
      <c r="BH16" s="747"/>
      <c r="BI16" s="160"/>
      <c r="BJ16" s="165"/>
      <c r="BK16" s="163"/>
      <c r="BL16" s="39"/>
      <c r="BM16" s="73"/>
      <c r="BN16" s="73"/>
      <c r="BO16" s="73"/>
      <c r="BP16" s="73"/>
      <c r="BQ16" s="73"/>
      <c r="BR16" s="73"/>
      <c r="BS16" s="73"/>
      <c r="BT16" s="693" t="s">
        <v>1372</v>
      </c>
      <c r="BU16" s="172">
        <f t="shared" si="427"/>
        <v>14</v>
      </c>
      <c r="BV16" s="82">
        <f>SUMIF($CI:$CI,"=Feb",$CD:$CD)+SUMIF($CJ:$CJ,"=Feb",$CD:$CD)</f>
        <v>14.4375</v>
      </c>
      <c r="BW16" s="59">
        <v>100</v>
      </c>
      <c r="BX16" s="3">
        <f>9+(10/12)</f>
        <v>9.8333333333333339</v>
      </c>
      <c r="BY16" s="55">
        <v>42475</v>
      </c>
      <c r="BZ16" s="55">
        <f t="shared" si="381"/>
        <v>46066.625</v>
      </c>
      <c r="CA16" s="55">
        <v>42415</v>
      </c>
      <c r="CB16" s="747" t="s">
        <v>1841</v>
      </c>
      <c r="CC16" s="160">
        <v>1.6250000000000001E-2</v>
      </c>
      <c r="CD16" s="165">
        <f t="shared" ref="CD16" si="453">CE16/2</f>
        <v>0.8125</v>
      </c>
      <c r="CE16" s="163">
        <f t="shared" si="407"/>
        <v>1.625</v>
      </c>
      <c r="CF16" s="39">
        <f t="shared" si="408"/>
        <v>15.979166666666668</v>
      </c>
      <c r="CG16" s="73">
        <f t="shared" si="409"/>
        <v>115.97916666666667</v>
      </c>
      <c r="CH16" s="73">
        <f t="shared" ref="CH16" si="454">CE16/12</f>
        <v>0.13541666666666666</v>
      </c>
      <c r="CI16" s="54" t="str">
        <f t="shared" si="430"/>
        <v>Aug</v>
      </c>
      <c r="CJ16" s="54" t="str">
        <f t="shared" si="431"/>
        <v>Feb</v>
      </c>
      <c r="CK16" s="54"/>
      <c r="CL16" s="693" t="s">
        <v>1372</v>
      </c>
      <c r="CM16" s="172">
        <f t="shared" si="432"/>
        <v>20</v>
      </c>
      <c r="CN16" s="82">
        <f>SUMIF($DA:$DA,"=Feb",$CV:$CV)+SUMIF($DB:$DB,"=Feb",$CV:$CV)</f>
        <v>44.5625</v>
      </c>
      <c r="CO16" s="59">
        <v>100</v>
      </c>
      <c r="CP16" s="3">
        <f>29+(10/12)</f>
        <v>29.833333333333332</v>
      </c>
      <c r="CQ16" s="55">
        <v>42384</v>
      </c>
      <c r="CR16" s="55">
        <f t="shared" si="329"/>
        <v>53280.625</v>
      </c>
      <c r="CS16" s="55">
        <v>42323</v>
      </c>
      <c r="CT16" s="23" t="s">
        <v>1667</v>
      </c>
      <c r="CU16" s="160">
        <v>0.03</v>
      </c>
      <c r="CV16" s="165">
        <f t="shared" ref="CV16" si="455">CW16/2</f>
        <v>1.5</v>
      </c>
      <c r="CW16" s="163">
        <f t="shared" ref="CW16" si="456">CO16*CU16</f>
        <v>3</v>
      </c>
      <c r="CX16" s="73">
        <f t="shared" ref="CX16" si="457">CP16*CW16</f>
        <v>89.5</v>
      </c>
      <c r="CY16" s="203">
        <f t="shared" ref="CY16" si="458">CO16+CX16</f>
        <v>189.5</v>
      </c>
      <c r="CZ16" s="203">
        <f t="shared" ref="CZ16" si="459">CW16/12</f>
        <v>0.25</v>
      </c>
      <c r="DA16" s="54" t="str">
        <f t="shared" si="361"/>
        <v>May</v>
      </c>
      <c r="DB16" s="54" t="str">
        <f t="shared" si="362"/>
        <v>Nov</v>
      </c>
      <c r="DC16" s="54"/>
      <c r="DD16" s="693" t="s">
        <v>1372</v>
      </c>
      <c r="DE16" s="172">
        <f t="shared" si="438"/>
        <v>11</v>
      </c>
      <c r="DF16" s="82">
        <f>SUMIF($DS:$DS,"=Feb",$DN:$DN)+SUMIF($DT:$DT,"=Feb",$DN:$DN)</f>
        <v>7.2147812500000006</v>
      </c>
      <c r="DG16" s="59">
        <v>100</v>
      </c>
      <c r="DH16" s="3">
        <f>9+(8/12)</f>
        <v>9.6666666666666661</v>
      </c>
      <c r="DI16" s="55">
        <v>42338</v>
      </c>
      <c r="DJ16" s="55">
        <f t="shared" si="306"/>
        <v>45868.75</v>
      </c>
      <c r="DK16" s="55">
        <v>42200</v>
      </c>
      <c r="DL16" s="747" t="s">
        <v>1629</v>
      </c>
      <c r="DM16" s="160">
        <v>3.7499999999999999E-3</v>
      </c>
      <c r="DN16" s="165">
        <f t="shared" ref="DN16" si="460">DO16/2</f>
        <v>0.19096874999999999</v>
      </c>
      <c r="DO16" s="163">
        <f t="shared" si="308"/>
        <v>0.38193749999999999</v>
      </c>
      <c r="DP16" s="73">
        <f t="shared" si="309"/>
        <v>3.6920624999999996</v>
      </c>
      <c r="DQ16" s="203">
        <f t="shared" si="336"/>
        <v>105.5420625</v>
      </c>
      <c r="DR16" s="203">
        <f t="shared" ref="DR16" si="461">DO16/12</f>
        <v>3.1828124999999999E-2</v>
      </c>
      <c r="DS16" s="54" t="str">
        <f t="shared" si="337"/>
        <v>Jan</v>
      </c>
      <c r="DT16" s="54" t="str">
        <f t="shared" si="338"/>
        <v>Jul</v>
      </c>
      <c r="DU16" s="44">
        <v>101.85</v>
      </c>
      <c r="DV16" s="579">
        <v>42752</v>
      </c>
      <c r="DW16" s="40">
        <f t="shared" ref="DW16:DW36" si="462">DU16/DG16-1</f>
        <v>1.8499999999999961E-2</v>
      </c>
      <c r="DX16" s="39">
        <f t="shared" si="339"/>
        <v>1.8499999999999943</v>
      </c>
      <c r="DY16" s="355">
        <f t="shared" si="311"/>
        <v>414</v>
      </c>
      <c r="DZ16" s="39">
        <f t="shared" si="312"/>
        <v>4.4685990338164117E-3</v>
      </c>
      <c r="EA16" s="62"/>
      <c r="EB16" s="461" t="s">
        <v>484</v>
      </c>
      <c r="EC16" s="380">
        <f t="shared" ca="1" si="83"/>
        <v>0</v>
      </c>
      <c r="ED16" s="73">
        <v>60</v>
      </c>
      <c r="EE16" s="38">
        <v>30</v>
      </c>
      <c r="EF16" s="54">
        <v>42614</v>
      </c>
      <c r="EG16" s="55">
        <f t="shared" si="393"/>
        <v>53571.5</v>
      </c>
      <c r="EH16" s="61" t="s">
        <v>122</v>
      </c>
      <c r="EI16" s="61">
        <f t="shared" ca="1" si="394"/>
        <v>5</v>
      </c>
      <c r="EJ16" s="747" t="s">
        <v>1542</v>
      </c>
      <c r="EK16" s="39">
        <v>60</v>
      </c>
      <c r="EL16" s="39">
        <f t="shared" ref="EL16" si="463">EK16-ED16</f>
        <v>0</v>
      </c>
      <c r="EM16" s="40">
        <f t="shared" ref="EM16" si="464">EK16/ED16-1</f>
        <v>0</v>
      </c>
      <c r="EN16" s="39">
        <f t="shared" ref="EN16:EN47" ca="1" si="465">EL16/EI16</f>
        <v>0</v>
      </c>
      <c r="EO16" s="43">
        <f t="shared" ca="1" si="397"/>
        <v>0</v>
      </c>
      <c r="EP16" s="39">
        <f t="shared" ca="1" si="398"/>
        <v>60.872720096251427</v>
      </c>
      <c r="EQ16" s="39">
        <f t="shared" ref="EQ16:EQ46" ca="1" si="466">EP16-ED16</f>
        <v>0.87272009625142744</v>
      </c>
      <c r="ER16" s="153">
        <f t="shared" ref="ER16:ER47" ca="1" si="467">EQ16/EI16</f>
        <v>0.17454401925028548</v>
      </c>
      <c r="ET16" s="39">
        <f ca="1">ET12-ET13</f>
        <v>197.96999999998479</v>
      </c>
      <c r="EU16" s="1360">
        <f t="shared" ca="1" si="90"/>
        <v>0</v>
      </c>
      <c r="EV16" s="173">
        <v>0</v>
      </c>
      <c r="EW16" s="747">
        <v>30</v>
      </c>
      <c r="EX16" s="55">
        <v>42979</v>
      </c>
      <c r="EY16" s="55">
        <f t="shared" ref="EY16" si="468">EX16+EW16*365.25</f>
        <v>53936.5</v>
      </c>
      <c r="EZ16" s="61">
        <f t="shared" ref="EZ16" ca="1" si="469">IF(EX16&gt;$G$1,0,DATEDIF(EX16,$G$1,"M"))</f>
        <v>0</v>
      </c>
      <c r="FA16" s="37" t="s">
        <v>2575</v>
      </c>
      <c r="FB16" s="39">
        <v>0</v>
      </c>
      <c r="FC16" s="39">
        <f t="shared" ref="FC16" si="470">FB16-EV16</f>
        <v>0</v>
      </c>
      <c r="FD16" s="40" t="e">
        <f t="shared" ref="FD16" si="471">FB16/EV16-1</f>
        <v>#DIV/0!</v>
      </c>
      <c r="FE16" s="39"/>
      <c r="FF16" s="43">
        <f t="shared" ref="FF16" ca="1" si="472">IF(EX16&lt;$G$1-365.25,1,0)</f>
        <v>0</v>
      </c>
      <c r="FH16" s="192"/>
      <c r="FI16" s="149"/>
      <c r="FJ16" s="157" t="s">
        <v>410</v>
      </c>
      <c r="FM16" s="438"/>
      <c r="FN16" s="55"/>
      <c r="FO16" s="54"/>
      <c r="FQ16" s="144"/>
      <c r="FR16" s="144"/>
      <c r="FS16" s="550">
        <v>2</v>
      </c>
      <c r="FT16" s="58">
        <v>1</v>
      </c>
      <c r="FU16" s="38">
        <v>2</v>
      </c>
      <c r="FV16" s="38">
        <f t="shared" si="451"/>
        <v>1.0004997502081252</v>
      </c>
      <c r="FW16" s="39">
        <f>$FW$13*FV16</f>
        <v>25.087587514579692</v>
      </c>
      <c r="FX16" s="153"/>
      <c r="FY16" s="552">
        <v>4</v>
      </c>
      <c r="FZ16" s="39">
        <f>FW52</f>
        <v>25.301579733870028</v>
      </c>
      <c r="GA16" s="39">
        <f t="shared" si="379"/>
        <v>0.30157973387002812</v>
      </c>
      <c r="GB16" s="386">
        <f t="shared" si="380"/>
        <v>1.2063189354801107E-2</v>
      </c>
      <c r="GD16" s="497" t="s">
        <v>1999</v>
      </c>
      <c r="GE16" s="1109"/>
      <c r="GF16" s="114"/>
      <c r="GG16" s="114"/>
      <c r="GH16" s="114"/>
      <c r="GI16" s="115"/>
    </row>
    <row r="17" spans="2:191">
      <c r="B17" s="1133">
        <v>33210</v>
      </c>
      <c r="C17" s="115"/>
      <c r="D17" s="95" t="s">
        <v>303</v>
      </c>
      <c r="E17" s="96">
        <f>SUM(DG:DG)</f>
        <v>3900</v>
      </c>
      <c r="F17" s="96">
        <f>DF9</f>
        <v>4514.5904833333343</v>
      </c>
      <c r="G17" s="96"/>
      <c r="H17" s="1208" t="s">
        <v>2477</v>
      </c>
      <c r="I17" s="96">
        <f>AQ6</f>
        <v>4.853999999999985</v>
      </c>
      <c r="J17" s="96">
        <f>I17</f>
        <v>4.853999999999985</v>
      </c>
      <c r="K17" s="97">
        <f ca="1">J17/$J$18</f>
        <v>1.1756894806621095E-2</v>
      </c>
      <c r="L17" s="96">
        <f>J17/365.25</f>
        <v>1.3289527720739179E-2</v>
      </c>
      <c r="M17" s="844">
        <f>J17/12</f>
        <v>0.40449999999999875</v>
      </c>
      <c r="N17" s="544"/>
      <c r="O17" s="206"/>
      <c r="P17" s="59">
        <v>100</v>
      </c>
      <c r="Q17" s="59" t="s">
        <v>1209</v>
      </c>
      <c r="R17" s="60">
        <v>28</v>
      </c>
      <c r="S17" s="55">
        <v>42075</v>
      </c>
      <c r="T17" s="380">
        <v>25</v>
      </c>
      <c r="U17" s="55">
        <f t="shared" si="50"/>
        <v>42803</v>
      </c>
      <c r="V17" s="61">
        <f t="shared" ca="1" si="51"/>
        <v>1</v>
      </c>
      <c r="W17" s="38"/>
      <c r="X17" s="38"/>
      <c r="Y17" s="38"/>
      <c r="Z17" s="38"/>
      <c r="AA17" s="38"/>
      <c r="AB17" s="38"/>
      <c r="AC17" s="38"/>
      <c r="AD17" s="38"/>
      <c r="AE17" s="38"/>
      <c r="AF17" s="38"/>
      <c r="AG17" s="73"/>
      <c r="AH17" s="73"/>
      <c r="AI17" s="73"/>
      <c r="AJ17" s="73"/>
      <c r="AK17" s="73"/>
      <c r="AL17" s="73"/>
      <c r="AM17" s="73"/>
      <c r="AN17" s="73"/>
      <c r="AO17" s="73"/>
      <c r="AP17" s="73"/>
      <c r="AQ17" s="73"/>
      <c r="AR17" s="73"/>
      <c r="AS17" s="73"/>
      <c r="AT17" s="73"/>
      <c r="AU17" s="73"/>
      <c r="AV17" s="73"/>
      <c r="AW17" s="73"/>
      <c r="AX17" s="73"/>
      <c r="AY17" s="73"/>
      <c r="AZ17" s="693" t="s">
        <v>1373</v>
      </c>
      <c r="BA17" s="172">
        <f t="shared" si="452"/>
        <v>0</v>
      </c>
      <c r="BB17" s="82">
        <f>SUMIF($BO:$BO,"=Mar",$BJ:$BJ)+SUMIF($BP:$BP,"=Mar",$BJ:$BJ)+SUMIF($BQ:$BQ,"=Mar",$BJ:$BJ)</f>
        <v>0</v>
      </c>
      <c r="BC17" s="59"/>
      <c r="BD17" s="3"/>
      <c r="BE17" s="1291"/>
      <c r="BF17" s="1291"/>
      <c r="BG17" s="55"/>
      <c r="BH17" s="747"/>
      <c r="BI17" s="160"/>
      <c r="BJ17" s="165"/>
      <c r="BK17" s="163"/>
      <c r="BL17" s="39"/>
      <c r="BM17" s="73"/>
      <c r="BN17" s="73"/>
      <c r="BO17" s="73"/>
      <c r="BP17" s="73"/>
      <c r="BQ17" s="73"/>
      <c r="BR17" s="73"/>
      <c r="BS17" s="73"/>
      <c r="BT17" s="693" t="s">
        <v>1373</v>
      </c>
      <c r="BU17" s="172">
        <f t="shared" si="427"/>
        <v>1</v>
      </c>
      <c r="BV17" s="82">
        <f>SUMIF($CI:$CI,"=Mar",$CD:$CD)+SUMIF($CJ:$CJ,"=Mar",$CD:$CD)</f>
        <v>1</v>
      </c>
      <c r="BW17" s="59">
        <v>100</v>
      </c>
      <c r="BX17" s="3">
        <v>7</v>
      </c>
      <c r="BY17" s="55">
        <v>42401</v>
      </c>
      <c r="BZ17" s="55">
        <f t="shared" si="381"/>
        <v>44957.75</v>
      </c>
      <c r="CA17" s="55">
        <v>42400</v>
      </c>
      <c r="CB17" s="747" t="s">
        <v>1690</v>
      </c>
      <c r="CC17" s="160">
        <v>1.7500000000000002E-2</v>
      </c>
      <c r="CD17" s="165">
        <f>CE17/2</f>
        <v>0.87500000000000011</v>
      </c>
      <c r="CE17" s="163">
        <f t="shared" si="407"/>
        <v>1.7500000000000002</v>
      </c>
      <c r="CF17" s="39">
        <f t="shared" si="408"/>
        <v>12.250000000000002</v>
      </c>
      <c r="CG17" s="73">
        <f t="shared" si="409"/>
        <v>112.25</v>
      </c>
      <c r="CH17" s="73">
        <f>CE17/12</f>
        <v>0.14583333333333334</v>
      </c>
      <c r="CI17" s="54" t="str">
        <f t="shared" si="430"/>
        <v>Jul</v>
      </c>
      <c r="CJ17" s="54" t="str">
        <f t="shared" si="431"/>
        <v>Jan</v>
      </c>
      <c r="CK17" s="54"/>
      <c r="CL17" s="693" t="s">
        <v>1373</v>
      </c>
      <c r="CM17" s="172">
        <f t="shared" si="432"/>
        <v>1</v>
      </c>
      <c r="CN17" s="82">
        <f>SUMIF($DA:$DA,"=Mar",$CV:$CV)+SUMIF($DB:$DB,"=Mar",$CV:$CV)</f>
        <v>2.875</v>
      </c>
      <c r="CO17" s="59">
        <v>100</v>
      </c>
      <c r="CP17" s="3">
        <f>29+(11/12)</f>
        <v>29.916666666666668</v>
      </c>
      <c r="CQ17" s="55">
        <v>42353</v>
      </c>
      <c r="CR17" s="55">
        <f t="shared" si="329"/>
        <v>53280.0625</v>
      </c>
      <c r="CS17" s="55">
        <v>42323</v>
      </c>
      <c r="CT17" s="23" t="s">
        <v>1603</v>
      </c>
      <c r="CU17" s="160">
        <v>0.03</v>
      </c>
      <c r="CV17" s="165">
        <f t="shared" ref="CV17" si="473">CW17/2</f>
        <v>1.5</v>
      </c>
      <c r="CW17" s="163">
        <f t="shared" ref="CW17" si="474">CO17*CU17</f>
        <v>3</v>
      </c>
      <c r="CX17" s="73">
        <f t="shared" ref="CX17" si="475">CP17*CW17</f>
        <v>89.75</v>
      </c>
      <c r="CY17" s="203">
        <f t="shared" ref="CY17" si="476">CO17+CX17</f>
        <v>189.75</v>
      </c>
      <c r="CZ17" s="203">
        <f t="shared" ref="CZ17" si="477">CW17/12</f>
        <v>0.25</v>
      </c>
      <c r="DA17" s="54" t="str">
        <f t="shared" si="361"/>
        <v>May</v>
      </c>
      <c r="DB17" s="54" t="str">
        <f t="shared" si="362"/>
        <v>Nov</v>
      </c>
      <c r="DC17" s="54"/>
      <c r="DD17" s="693" t="s">
        <v>1373</v>
      </c>
      <c r="DE17" s="172">
        <f t="shared" si="438"/>
        <v>0</v>
      </c>
      <c r="DF17" s="82">
        <f>SUMIF($DS:$DS,"=Mar",$DN:$DN)+SUMIF($DT:$DT,"=Mar",$DN:$DN)</f>
        <v>0</v>
      </c>
      <c r="DG17" s="59">
        <v>100</v>
      </c>
      <c r="DH17" s="3">
        <f>29+(4/12)</f>
        <v>29.333333333333332</v>
      </c>
      <c r="DI17" s="55">
        <v>42307</v>
      </c>
      <c r="DJ17" s="55">
        <f t="shared" si="306"/>
        <v>53021</v>
      </c>
      <c r="DK17" s="55">
        <v>42231</v>
      </c>
      <c r="DL17" s="747" t="s">
        <v>1497</v>
      </c>
      <c r="DM17" s="160">
        <v>7.4999999999999997E-3</v>
      </c>
      <c r="DN17" s="165">
        <f t="shared" ref="DN17" si="478">DO17/2</f>
        <v>0.38313750000000002</v>
      </c>
      <c r="DO17" s="163">
        <f t="shared" si="308"/>
        <v>0.76627500000000004</v>
      </c>
      <c r="DP17" s="73">
        <f t="shared" si="309"/>
        <v>22.477399999999999</v>
      </c>
      <c r="DQ17" s="203">
        <f t="shared" si="336"/>
        <v>124.6474</v>
      </c>
      <c r="DR17" s="203">
        <f t="shared" ref="DR17" si="479">DO17/12</f>
        <v>6.3856250000000003E-2</v>
      </c>
      <c r="DS17" s="54" t="str">
        <f t="shared" si="337"/>
        <v>Feb</v>
      </c>
      <c r="DT17" s="54" t="str">
        <f t="shared" si="338"/>
        <v>Aug</v>
      </c>
      <c r="DU17" s="44">
        <v>102.17</v>
      </c>
      <c r="DV17" s="579">
        <v>42597</v>
      </c>
      <c r="DW17" s="40">
        <f>DU17/DG17-1</f>
        <v>2.1700000000000053E-2</v>
      </c>
      <c r="DX17" s="39">
        <f t="shared" si="339"/>
        <v>2.1700000000000017</v>
      </c>
      <c r="DY17" s="355">
        <f t="shared" si="311"/>
        <v>290</v>
      </c>
      <c r="DZ17" s="39">
        <f t="shared" si="312"/>
        <v>7.4827586206896611E-3</v>
      </c>
      <c r="EA17" s="62"/>
      <c r="EB17" s="462" t="s">
        <v>485</v>
      </c>
      <c r="EC17" s="380">
        <f t="shared" ca="1" si="83"/>
        <v>0</v>
      </c>
      <c r="ED17" s="73">
        <v>60</v>
      </c>
      <c r="EE17" s="38">
        <v>30</v>
      </c>
      <c r="EF17" s="54">
        <v>42583</v>
      </c>
      <c r="EG17" s="55">
        <f t="shared" si="393"/>
        <v>53540.5</v>
      </c>
      <c r="EH17" s="61" t="s">
        <v>122</v>
      </c>
      <c r="EI17" s="61">
        <f t="shared" ca="1" si="394"/>
        <v>6</v>
      </c>
      <c r="EJ17" s="747" t="s">
        <v>1541</v>
      </c>
      <c r="EK17" s="39">
        <v>60</v>
      </c>
      <c r="EL17" s="39">
        <f t="shared" ref="EL17:EL38" si="480">EK17-ED17</f>
        <v>0</v>
      </c>
      <c r="EM17" s="40">
        <f t="shared" ref="EM17" si="481">EK17/ED17-1</f>
        <v>0</v>
      </c>
      <c r="EN17" s="39">
        <f t="shared" ca="1" si="465"/>
        <v>0</v>
      </c>
      <c r="EO17" s="43">
        <f t="shared" ca="1" si="397"/>
        <v>0</v>
      </c>
      <c r="EP17" s="39">
        <f t="shared" ca="1" si="398"/>
        <v>61.048781526161193</v>
      </c>
      <c r="EQ17" s="39">
        <f t="shared" ca="1" si="466"/>
        <v>1.0487815261611928</v>
      </c>
      <c r="ER17" s="153">
        <f t="shared" ca="1" si="467"/>
        <v>0.17479692102686548</v>
      </c>
      <c r="ET17" s="244">
        <f ca="1">(ET12/ET13)-1</f>
        <v>2.6555331991949593E-2</v>
      </c>
      <c r="EU17" s="1360">
        <f t="shared" ca="1" si="90"/>
        <v>0</v>
      </c>
      <c r="EV17" s="173">
        <v>0</v>
      </c>
      <c r="EW17" s="747">
        <v>30</v>
      </c>
      <c r="EX17" s="55">
        <v>42979</v>
      </c>
      <c r="EY17" s="55">
        <f t="shared" ref="EY17" si="482">EX17+EW17*365.25</f>
        <v>53936.5</v>
      </c>
      <c r="EZ17" s="61">
        <f t="shared" ref="EZ17" ca="1" si="483">IF(EX17&gt;$G$1,0,DATEDIF(EX17,$G$1,"M"))</f>
        <v>0</v>
      </c>
      <c r="FA17" s="37" t="s">
        <v>2574</v>
      </c>
      <c r="FB17" s="39">
        <v>0</v>
      </c>
      <c r="FC17" s="39">
        <f t="shared" ref="FC17" si="484">FB17-EV17</f>
        <v>0</v>
      </c>
      <c r="FD17" s="40" t="e">
        <f t="shared" ref="FD17" si="485">FB17/EV17-1</f>
        <v>#DIV/0!</v>
      </c>
      <c r="FE17" s="39"/>
      <c r="FF17" s="43">
        <f t="shared" ref="FF17" ca="1" si="486">IF(EX17&lt;$G$1-365.25,1,0)</f>
        <v>0</v>
      </c>
      <c r="FH17" s="135" t="s">
        <v>272</v>
      </c>
      <c r="FI17" s="93" t="s">
        <v>414</v>
      </c>
      <c r="FJ17" s="157" t="str">
        <f>CONCATENATE("Value at ",FH15," years")</f>
        <v>Value at 18 years</v>
      </c>
      <c r="FK17" s="57"/>
      <c r="FL17" s="42" t="s">
        <v>2353</v>
      </c>
      <c r="FM17" s="1230" t="s">
        <v>2353</v>
      </c>
      <c r="FN17" s="55"/>
      <c r="FO17" s="54"/>
      <c r="FQ17" s="144"/>
      <c r="FR17" s="144"/>
      <c r="FS17" s="550">
        <v>2</v>
      </c>
      <c r="FT17" s="58">
        <v>1</v>
      </c>
      <c r="FU17" s="38">
        <v>3</v>
      </c>
      <c r="FV17" s="38">
        <f t="shared" si="451"/>
        <v>1.0007497189607399</v>
      </c>
      <c r="FW17" s="39">
        <f>$FW$13*FV17</f>
        <v>25.093855495112248</v>
      </c>
      <c r="FX17" s="153"/>
      <c r="FY17" s="552">
        <v>5</v>
      </c>
      <c r="FZ17" s="39">
        <f>FW65</f>
        <v>25.37754140162604</v>
      </c>
      <c r="GA17" s="39">
        <f t="shared" si="379"/>
        <v>0.37754140162603989</v>
      </c>
      <c r="GB17" s="386">
        <f t="shared" si="380"/>
        <v>1.5101656065041658E-2</v>
      </c>
      <c r="GD17" s="497" t="s">
        <v>2000</v>
      </c>
      <c r="GE17" s="1109"/>
      <c r="GF17" s="114"/>
      <c r="GG17" s="114"/>
      <c r="GH17" s="114"/>
      <c r="GI17" s="115"/>
    </row>
    <row r="18" spans="2:191">
      <c r="B18" s="497" t="s">
        <v>2159</v>
      </c>
      <c r="C18" s="115"/>
      <c r="D18" s="95" t="s">
        <v>2474</v>
      </c>
      <c r="E18" s="96">
        <f>SUM(BC:BC)</f>
        <v>300</v>
      </c>
      <c r="F18" s="96">
        <f>BB9</f>
        <v>300.5916666666667</v>
      </c>
      <c r="G18" s="114"/>
      <c r="H18" s="1208" t="s">
        <v>344</v>
      </c>
      <c r="I18" s="96"/>
      <c r="J18" s="93">
        <f ca="1">SUM(J14:J17)</f>
        <v>412.86411759560633</v>
      </c>
      <c r="K18" s="97">
        <f ca="1">SUM(K14:K17)</f>
        <v>1</v>
      </c>
      <c r="L18" s="93">
        <f ca="1">J18/365.25</f>
        <v>1.1303603493377312</v>
      </c>
      <c r="M18" s="845">
        <f ca="1">J18/12</f>
        <v>34.405343132967197</v>
      </c>
      <c r="N18" s="544"/>
      <c r="O18" s="436"/>
      <c r="P18" s="59">
        <v>100</v>
      </c>
      <c r="Q18" s="59" t="s">
        <v>1208</v>
      </c>
      <c r="R18" s="60">
        <v>28</v>
      </c>
      <c r="S18" s="55">
        <v>42068</v>
      </c>
      <c r="T18" s="380">
        <v>25</v>
      </c>
      <c r="U18" s="55">
        <f t="shared" si="50"/>
        <v>42796</v>
      </c>
      <c r="V18" s="61">
        <f t="shared" ca="1" si="51"/>
        <v>0</v>
      </c>
      <c r="W18" s="38"/>
      <c r="X18" s="38"/>
      <c r="Y18" s="38"/>
      <c r="Z18" s="38"/>
      <c r="AA18" s="38"/>
      <c r="AB18" s="38"/>
      <c r="AC18" s="38"/>
      <c r="AD18" s="38"/>
      <c r="AE18" s="38"/>
      <c r="AF18" s="38"/>
      <c r="AG18" s="73"/>
      <c r="AH18" s="73"/>
      <c r="AI18" s="73"/>
      <c r="AJ18" s="73"/>
      <c r="AK18" s="73"/>
      <c r="AL18" s="73"/>
      <c r="AM18" s="73"/>
      <c r="AN18" s="73"/>
      <c r="AO18" s="73"/>
      <c r="AP18" s="73"/>
      <c r="AQ18" s="73"/>
      <c r="AR18" s="73"/>
      <c r="AS18" s="73"/>
      <c r="AT18" s="73"/>
      <c r="AU18" s="73"/>
      <c r="AV18" s="73"/>
      <c r="AW18" s="73"/>
      <c r="AX18" s="73"/>
      <c r="AY18" s="73"/>
      <c r="AZ18" s="693" t="s">
        <v>1374</v>
      </c>
      <c r="BA18" s="172">
        <f t="shared" si="452"/>
        <v>1</v>
      </c>
      <c r="BB18" s="82">
        <f>SUMIF($BO:$BO,"=Apr",$BJ:$BJ)+SUMIF($BP:$BP,"=Apr",$BJ:$BJ)+SUMIF($BQ:$BQ,"=Apr",$BJ:$BJ)</f>
        <v>2.5000000000000001E-2</v>
      </c>
      <c r="BC18" s="59"/>
      <c r="BD18" s="3"/>
      <c r="BE18" s="1291"/>
      <c r="BF18" s="1291"/>
      <c r="BG18" s="55"/>
      <c r="BH18" s="747"/>
      <c r="BI18" s="160"/>
      <c r="BJ18" s="165"/>
      <c r="BK18" s="163"/>
      <c r="BL18" s="39"/>
      <c r="BM18" s="73"/>
      <c r="BN18" s="73"/>
      <c r="BO18" s="73"/>
      <c r="BP18" s="73"/>
      <c r="BQ18" s="73"/>
      <c r="BR18" s="73"/>
      <c r="BS18" s="73"/>
      <c r="BT18" s="693" t="s">
        <v>1374</v>
      </c>
      <c r="BU18" s="172">
        <f t="shared" si="427"/>
        <v>2</v>
      </c>
      <c r="BV18" s="82">
        <f>SUMIF($CI:$CI,"=Apr",$CD:$CD)+SUMIF($CJ:$CJ,"=Apr",$CD:$CD)</f>
        <v>0.875</v>
      </c>
      <c r="BW18" s="59">
        <v>100</v>
      </c>
      <c r="BX18" s="3">
        <v>5</v>
      </c>
      <c r="BY18" s="55">
        <v>42401</v>
      </c>
      <c r="BZ18" s="55">
        <f t="shared" si="381"/>
        <v>44227.25</v>
      </c>
      <c r="CA18" s="55">
        <v>42400</v>
      </c>
      <c r="CB18" s="747" t="s">
        <v>1692</v>
      </c>
      <c r="CC18" s="160">
        <v>1.375E-2</v>
      </c>
      <c r="CD18" s="165">
        <f t="shared" ref="CD18:CD43" si="487">CE18/2</f>
        <v>0.6875</v>
      </c>
      <c r="CE18" s="163">
        <f t="shared" si="407"/>
        <v>1.375</v>
      </c>
      <c r="CF18" s="39">
        <f t="shared" si="408"/>
        <v>6.875</v>
      </c>
      <c r="CG18" s="73">
        <f t="shared" si="409"/>
        <v>106.875</v>
      </c>
      <c r="CH18" s="73">
        <f t="shared" ref="CH18:CH43" si="488">CE18/12</f>
        <v>0.11458333333333333</v>
      </c>
      <c r="CI18" s="54" t="str">
        <f t="shared" si="430"/>
        <v>Jul</v>
      </c>
      <c r="CJ18" s="54" t="str">
        <f t="shared" si="431"/>
        <v>Jan</v>
      </c>
      <c r="CK18" s="54"/>
      <c r="CL18" s="693" t="s">
        <v>1374</v>
      </c>
      <c r="CM18" s="172">
        <f t="shared" si="432"/>
        <v>0</v>
      </c>
      <c r="CN18" s="82">
        <f>SUMIF($DA:$DA,"=Apr",$CV:$CV)+SUMIF($DB:$DB,"=Apr",$CV:$CV)</f>
        <v>0</v>
      </c>
      <c r="CO18" s="59">
        <v>100</v>
      </c>
      <c r="CP18" s="3">
        <v>30</v>
      </c>
      <c r="CQ18" s="55">
        <v>42324</v>
      </c>
      <c r="CR18" s="55">
        <f t="shared" si="329"/>
        <v>53281.5</v>
      </c>
      <c r="CS18" s="55">
        <v>42323</v>
      </c>
      <c r="CT18" s="23" t="s">
        <v>1517</v>
      </c>
      <c r="CU18" s="160">
        <v>0.03</v>
      </c>
      <c r="CV18" s="165">
        <f t="shared" ref="CV18" si="489">CW18/2</f>
        <v>1.5</v>
      </c>
      <c r="CW18" s="163">
        <f t="shared" ref="CW18" si="490">CO18*CU18</f>
        <v>3</v>
      </c>
      <c r="CX18" s="73">
        <f t="shared" ref="CX18" si="491">CP18*CW18</f>
        <v>90</v>
      </c>
      <c r="CY18" s="203">
        <f t="shared" ref="CY18" si="492">CO18+CX18</f>
        <v>190</v>
      </c>
      <c r="CZ18" s="203">
        <f t="shared" ref="CZ18" si="493">CW18/12</f>
        <v>0.25</v>
      </c>
      <c r="DA18" s="54" t="str">
        <f t="shared" si="361"/>
        <v>May</v>
      </c>
      <c r="DB18" s="54" t="str">
        <f t="shared" si="362"/>
        <v>Nov</v>
      </c>
      <c r="DC18" s="54"/>
      <c r="DD18" s="693" t="s">
        <v>1374</v>
      </c>
      <c r="DE18" s="172">
        <f t="shared" si="438"/>
        <v>4</v>
      </c>
      <c r="DF18" s="82">
        <f>SUMIF($DS:$DS,"=Apr",$DN:$DN)+SUMIF($DT:$DT,"=Apr",$DN:$DN)</f>
        <v>0.25694375000000003</v>
      </c>
      <c r="DG18" s="59">
        <v>100</v>
      </c>
      <c r="DH18" s="3">
        <f>9+(10/12)</f>
        <v>9.8333333333333339</v>
      </c>
      <c r="DI18" s="55">
        <v>42277</v>
      </c>
      <c r="DJ18" s="55">
        <f t="shared" si="306"/>
        <v>45868.625</v>
      </c>
      <c r="DK18" s="55">
        <v>42200</v>
      </c>
      <c r="DL18" s="747" t="s">
        <v>1473</v>
      </c>
      <c r="DM18" s="160">
        <v>3.7499999999999999E-3</v>
      </c>
      <c r="DN18" s="165">
        <f t="shared" ref="DN18" si="494">DO18/2</f>
        <v>0.19096874999999999</v>
      </c>
      <c r="DO18" s="163">
        <f t="shared" si="308"/>
        <v>0.38193749999999999</v>
      </c>
      <c r="DP18" s="73">
        <f t="shared" si="309"/>
        <v>3.7557187500000002</v>
      </c>
      <c r="DQ18" s="203">
        <f t="shared" si="336"/>
        <v>105.60571874999999</v>
      </c>
      <c r="DR18" s="203">
        <f>DO18/12</f>
        <v>3.1828124999999999E-2</v>
      </c>
      <c r="DS18" s="54" t="str">
        <f t="shared" si="337"/>
        <v>Jan</v>
      </c>
      <c r="DT18" s="54" t="str">
        <f t="shared" si="338"/>
        <v>Jul</v>
      </c>
      <c r="DU18" s="44">
        <v>101.85</v>
      </c>
      <c r="DV18" s="1394">
        <v>42752</v>
      </c>
      <c r="DW18" s="40">
        <f t="shared" si="462"/>
        <v>1.8499999999999961E-2</v>
      </c>
      <c r="DX18" s="39">
        <f t="shared" si="339"/>
        <v>1.8499999999999943</v>
      </c>
      <c r="DY18" s="355">
        <f t="shared" si="311"/>
        <v>475</v>
      </c>
      <c r="DZ18" s="39">
        <f t="shared" si="312"/>
        <v>3.8947368421052512E-3</v>
      </c>
      <c r="EA18" s="62"/>
      <c r="EB18" s="463"/>
      <c r="EC18" s="380">
        <f t="shared" ca="1" si="83"/>
        <v>0</v>
      </c>
      <c r="ED18" s="73">
        <v>50</v>
      </c>
      <c r="EE18" s="38">
        <v>30</v>
      </c>
      <c r="EF18" s="54">
        <v>42583</v>
      </c>
      <c r="EG18" s="55">
        <f t="shared" ref="EG18" si="495">EF18+EE18*365.25</f>
        <v>53540.5</v>
      </c>
      <c r="EH18" s="61" t="s">
        <v>122</v>
      </c>
      <c r="EI18" s="61">
        <f t="shared" ca="1" si="394"/>
        <v>6</v>
      </c>
      <c r="EJ18" s="747" t="s">
        <v>2379</v>
      </c>
      <c r="EK18" s="39">
        <v>50</v>
      </c>
      <c r="EL18" s="39">
        <f t="shared" si="480"/>
        <v>0</v>
      </c>
      <c r="EM18" s="40">
        <f t="shared" ref="EM18" si="496">EK18/ED18-1</f>
        <v>0</v>
      </c>
      <c r="EN18" s="39">
        <f t="shared" ca="1" si="465"/>
        <v>0</v>
      </c>
      <c r="EO18" s="43">
        <f t="shared" ca="1" si="397"/>
        <v>0</v>
      </c>
      <c r="EP18" s="39">
        <f t="shared" ca="1" si="398"/>
        <v>50.873984605134325</v>
      </c>
      <c r="EQ18" s="39">
        <f t="shared" ca="1" si="466"/>
        <v>0.87398460513432497</v>
      </c>
      <c r="ER18" s="153">
        <f t="shared" ca="1" si="467"/>
        <v>0.14566410085572082</v>
      </c>
      <c r="EU18" s="1360">
        <f t="shared" ca="1" si="90"/>
        <v>0</v>
      </c>
      <c r="EV18" s="173">
        <v>0</v>
      </c>
      <c r="EW18" s="747">
        <v>30</v>
      </c>
      <c r="EX18" s="55">
        <v>42979</v>
      </c>
      <c r="EY18" s="55">
        <f t="shared" ref="EY18" si="497">EX18+EW18*365.25</f>
        <v>53936.5</v>
      </c>
      <c r="EZ18" s="61">
        <f t="shared" ref="EZ18" ca="1" si="498">IF(EX18&gt;$G$1,0,DATEDIF(EX18,$G$1,"M"))</f>
        <v>0</v>
      </c>
      <c r="FA18" s="37" t="s">
        <v>2573</v>
      </c>
      <c r="FB18" s="39">
        <v>0</v>
      </c>
      <c r="FC18" s="39">
        <f t="shared" ref="FC18" si="499">FB18-EV18</f>
        <v>0</v>
      </c>
      <c r="FD18" s="40" t="e">
        <f t="shared" ref="FD18" si="500">FB18/EV18-1</f>
        <v>#DIV/0!</v>
      </c>
      <c r="FE18" s="39"/>
      <c r="FF18" s="43">
        <f t="shared" ref="FF18" ca="1" si="501">IF(EX18&lt;$G$1-365.25,1,0)</f>
        <v>0</v>
      </c>
      <c r="FH18" s="192">
        <v>1</v>
      </c>
      <c r="FI18" s="149">
        <f>FI12</f>
        <v>4200</v>
      </c>
      <c r="FJ18" s="82">
        <f>FI18*(1+$FI$5)^(($FH$15+0.5)-FH18)</f>
        <v>6763.4917294624111</v>
      </c>
      <c r="FK18" s="375"/>
      <c r="FL18" s="73">
        <f>FI18</f>
        <v>4200</v>
      </c>
      <c r="FM18" s="39">
        <f>FJ18</f>
        <v>6763.4917294624111</v>
      </c>
      <c r="FN18" s="679">
        <f>FM18/FL18-1</f>
        <v>0.61035517368152647</v>
      </c>
      <c r="FO18" s="42"/>
      <c r="FP18" s="153"/>
      <c r="FQ18" s="439"/>
      <c r="FR18" s="438"/>
      <c r="FS18" s="550">
        <v>2</v>
      </c>
      <c r="FT18" s="58">
        <v>1</v>
      </c>
      <c r="FU18" s="38">
        <v>4</v>
      </c>
      <c r="FV18" s="38">
        <f t="shared" si="451"/>
        <v>1.0009997501665211</v>
      </c>
      <c r="FW18" s="39">
        <f t="shared" ref="FW18:FW20" si="502">$FW$13*FV18</f>
        <v>25.100125041661467</v>
      </c>
      <c r="FX18" s="153"/>
      <c r="FY18" s="552">
        <v>6</v>
      </c>
      <c r="FZ18" s="39">
        <f>FW78</f>
        <v>25.453731125299075</v>
      </c>
      <c r="GA18" s="39">
        <f t="shared" si="379"/>
        <v>0.45373112529907544</v>
      </c>
      <c r="GB18" s="386">
        <f t="shared" si="380"/>
        <v>1.8149245011962911E-2</v>
      </c>
      <c r="GD18" s="497" t="s">
        <v>2001</v>
      </c>
      <c r="GE18" s="1109"/>
      <c r="GF18" s="114"/>
      <c r="GG18" s="114"/>
      <c r="GH18" s="114"/>
      <c r="GI18" s="115"/>
    </row>
    <row r="19" spans="2:191">
      <c r="B19" s="1148">
        <v>3256</v>
      </c>
      <c r="C19" s="115"/>
      <c r="D19" s="95"/>
      <c r="E19" s="93">
        <f>SUM(E14:E18)</f>
        <v>18300</v>
      </c>
      <c r="F19" s="93">
        <f ca="1">SUM(F14:F18)</f>
        <v>25984.821679000001</v>
      </c>
      <c r="G19" s="96">
        <f ca="1">F19-E19</f>
        <v>7684.8216790000006</v>
      </c>
      <c r="H19" s="91"/>
      <c r="I19" s="91"/>
      <c r="J19" s="91"/>
      <c r="K19" s="91"/>
      <c r="L19" s="91"/>
      <c r="M19" s="151"/>
      <c r="N19" s="1274"/>
      <c r="P19" s="59">
        <v>100</v>
      </c>
      <c r="Q19" s="59" t="s">
        <v>1207</v>
      </c>
      <c r="R19" s="60">
        <v>28</v>
      </c>
      <c r="S19" s="55">
        <v>42061</v>
      </c>
      <c r="T19" s="380">
        <v>25</v>
      </c>
      <c r="U19" s="55">
        <f t="shared" si="50"/>
        <v>42789</v>
      </c>
      <c r="V19" s="61">
        <f t="shared" ca="1" si="51"/>
        <v>0</v>
      </c>
      <c r="W19" s="38"/>
      <c r="X19" s="38"/>
      <c r="Y19" s="38"/>
      <c r="Z19" s="38"/>
      <c r="AA19" s="38"/>
      <c r="AB19" s="38"/>
      <c r="AC19" s="38"/>
      <c r="AD19" s="38"/>
      <c r="AE19" s="38"/>
      <c r="AF19" s="38"/>
      <c r="AG19" s="73"/>
      <c r="AH19" s="73"/>
      <c r="AI19" s="73"/>
      <c r="AJ19" s="73"/>
      <c r="AK19" s="73"/>
      <c r="AL19" s="73"/>
      <c r="AM19" s="73"/>
      <c r="AN19" s="73"/>
      <c r="AO19" s="73"/>
      <c r="AP19" s="73"/>
      <c r="AQ19" s="73"/>
      <c r="AR19" s="73"/>
      <c r="AS19" s="73"/>
      <c r="AT19" s="73"/>
      <c r="AU19" s="73"/>
      <c r="AV19" s="73"/>
      <c r="AW19" s="73"/>
      <c r="AX19" s="73"/>
      <c r="AY19" s="73"/>
      <c r="AZ19" s="693" t="s">
        <v>1375</v>
      </c>
      <c r="BA19" s="172">
        <f t="shared" si="452"/>
        <v>1</v>
      </c>
      <c r="BB19" s="82">
        <f>SUMIF($BO:$BO,"=May",$BJ:$BJ)+SUMIF($BP:$BP,"=May",$BJ:$BJ)+SUMIF($BQ:$BQ,"=May",$BJ:$BJ)</f>
        <v>2.5000000000000001E-2</v>
      </c>
      <c r="BC19" s="59"/>
      <c r="BD19" s="3"/>
      <c r="BE19" s="1291"/>
      <c r="BF19" s="1291"/>
      <c r="BG19" s="55"/>
      <c r="BH19" s="747"/>
      <c r="BI19" s="160"/>
      <c r="BJ19" s="165"/>
      <c r="BK19" s="163"/>
      <c r="BL19" s="39"/>
      <c r="BM19" s="73"/>
      <c r="BN19" s="73"/>
      <c r="BO19" s="73"/>
      <c r="BP19" s="73"/>
      <c r="BQ19" s="73"/>
      <c r="BR19" s="73"/>
      <c r="BS19" s="73"/>
      <c r="BT19" s="693" t="s">
        <v>1375</v>
      </c>
      <c r="BU19" s="172">
        <f t="shared" si="427"/>
        <v>18</v>
      </c>
      <c r="BV19" s="82">
        <f>SUMIF($CI:$CI,"=May",$CD:$CD)+SUMIF($CJ:$CJ,"=May",$CD:$CD)</f>
        <v>20.375</v>
      </c>
      <c r="BW19" s="59">
        <v>100</v>
      </c>
      <c r="BX19" s="3">
        <f>9+(10/12)</f>
        <v>9.8333333333333339</v>
      </c>
      <c r="BY19" s="55">
        <v>42384</v>
      </c>
      <c r="BZ19" s="55">
        <f t="shared" si="381"/>
        <v>45975.625</v>
      </c>
      <c r="CA19" s="55">
        <v>42323</v>
      </c>
      <c r="CB19" s="747" t="s">
        <v>1668</v>
      </c>
      <c r="CC19" s="160">
        <v>2.2499999999999999E-2</v>
      </c>
      <c r="CD19" s="165">
        <f t="shared" si="487"/>
        <v>1.125</v>
      </c>
      <c r="CE19" s="163">
        <f t="shared" si="407"/>
        <v>2.25</v>
      </c>
      <c r="CF19" s="39">
        <f t="shared" si="408"/>
        <v>22.125</v>
      </c>
      <c r="CG19" s="73">
        <f t="shared" si="409"/>
        <v>122.125</v>
      </c>
      <c r="CH19" s="73">
        <f t="shared" si="488"/>
        <v>0.1875</v>
      </c>
      <c r="CI19" s="54" t="str">
        <f t="shared" si="430"/>
        <v>May</v>
      </c>
      <c r="CJ19" s="54" t="str">
        <f t="shared" si="431"/>
        <v>Nov</v>
      </c>
      <c r="CK19" s="54"/>
      <c r="CL19" s="693" t="s">
        <v>1375</v>
      </c>
      <c r="CM19" s="172">
        <f t="shared" si="432"/>
        <v>23</v>
      </c>
      <c r="CN19" s="82">
        <f>SUMIF($DA:$DA,"=May",$CV:$CV)+SUMIF($DB:$DB,"=May",$CV:$CV)</f>
        <v>56.25</v>
      </c>
      <c r="CO19" s="59">
        <v>100</v>
      </c>
      <c r="CP19" s="3">
        <f>29+(10/12)</f>
        <v>29.833333333333332</v>
      </c>
      <c r="CQ19" s="55">
        <v>42292</v>
      </c>
      <c r="CR19" s="55">
        <f t="shared" si="329"/>
        <v>53188.625</v>
      </c>
      <c r="CS19" s="55">
        <v>42231</v>
      </c>
      <c r="CT19" s="23" t="s">
        <v>1484</v>
      </c>
      <c r="CU19" s="160">
        <v>2.8750000000000001E-2</v>
      </c>
      <c r="CV19" s="165">
        <f t="shared" ref="CV19" si="503">CW19/2</f>
        <v>1.4375</v>
      </c>
      <c r="CW19" s="163">
        <f t="shared" ref="CW19" si="504">CO19*CU19</f>
        <v>2.875</v>
      </c>
      <c r="CX19" s="73">
        <f t="shared" ref="CX19" si="505">CP19*CW19</f>
        <v>85.770833333333329</v>
      </c>
      <c r="CY19" s="203">
        <f t="shared" ref="CY19" si="506">CO19+CX19</f>
        <v>185.77083333333331</v>
      </c>
      <c r="CZ19" s="203">
        <f t="shared" ref="CZ19" si="507">CW19/12</f>
        <v>0.23958333333333334</v>
      </c>
      <c r="DA19" s="54" t="str">
        <f t="shared" si="361"/>
        <v>Feb</v>
      </c>
      <c r="DB19" s="54" t="str">
        <f t="shared" si="362"/>
        <v>Aug</v>
      </c>
      <c r="DC19" s="54"/>
      <c r="DD19" s="693" t="s">
        <v>1375</v>
      </c>
      <c r="DE19" s="172">
        <f t="shared" si="438"/>
        <v>0</v>
      </c>
      <c r="DF19" s="82">
        <f>SUMIF($DS:$DS,"=May",$DN:$DN)+SUMIF($DT:$DT,"=May",$DN:$DN)</f>
        <v>0</v>
      </c>
      <c r="DG19" s="59">
        <v>100</v>
      </c>
      <c r="DH19" s="3">
        <v>10</v>
      </c>
      <c r="DI19" s="55">
        <v>42216</v>
      </c>
      <c r="DJ19" s="55">
        <f t="shared" si="306"/>
        <v>45868.5</v>
      </c>
      <c r="DK19" s="55">
        <v>42200</v>
      </c>
      <c r="DL19" s="1" t="s">
        <v>1365</v>
      </c>
      <c r="DM19" s="160">
        <v>3.7499999999999999E-3</v>
      </c>
      <c r="DN19" s="165">
        <f t="shared" ref="DN19" si="508">DO19/2</f>
        <v>0.19096874999999999</v>
      </c>
      <c r="DO19" s="163">
        <f t="shared" si="308"/>
        <v>0.38193749999999999</v>
      </c>
      <c r="DP19" s="73">
        <f t="shared" si="309"/>
        <v>3.819375</v>
      </c>
      <c r="DQ19" s="203">
        <f t="shared" si="336"/>
        <v>105.66937499999999</v>
      </c>
      <c r="DR19" s="203">
        <f t="shared" ref="DR19" si="509">DO19/12</f>
        <v>3.1828124999999999E-2</v>
      </c>
      <c r="DS19" s="54" t="str">
        <f t="shared" si="337"/>
        <v>Jan</v>
      </c>
      <c r="DT19" s="54" t="str">
        <f t="shared" si="338"/>
        <v>Jul</v>
      </c>
      <c r="DU19" s="44">
        <v>101.85</v>
      </c>
      <c r="DV19" s="579">
        <v>42752</v>
      </c>
      <c r="DW19" s="40">
        <f t="shared" si="462"/>
        <v>1.8499999999999961E-2</v>
      </c>
      <c r="DX19" s="39">
        <f t="shared" si="339"/>
        <v>1.8499999999999943</v>
      </c>
      <c r="DY19" s="355">
        <f t="shared" si="311"/>
        <v>536</v>
      </c>
      <c r="DZ19" s="39">
        <f t="shared" si="312"/>
        <v>3.4514925373134221E-3</v>
      </c>
      <c r="EA19" s="62"/>
      <c r="EB19" s="464" t="s">
        <v>143</v>
      </c>
      <c r="EC19" s="380">
        <f t="shared" ca="1" si="83"/>
        <v>0</v>
      </c>
      <c r="ED19" s="73">
        <v>60</v>
      </c>
      <c r="EE19" s="38">
        <v>30</v>
      </c>
      <c r="EF19" s="54">
        <v>42552</v>
      </c>
      <c r="EG19" s="55">
        <f t="shared" si="393"/>
        <v>53509.5</v>
      </c>
      <c r="EH19" s="61" t="s">
        <v>122</v>
      </c>
      <c r="EI19" s="61">
        <f t="shared" ca="1" si="394"/>
        <v>7</v>
      </c>
      <c r="EJ19" s="747" t="s">
        <v>1540</v>
      </c>
      <c r="EK19" s="39">
        <v>60</v>
      </c>
      <c r="EL19" s="39">
        <f t="shared" si="480"/>
        <v>0</v>
      </c>
      <c r="EM19" s="40">
        <f t="shared" ref="EM19" si="510">EK19/ED19-1</f>
        <v>0</v>
      </c>
      <c r="EN19" s="39">
        <f t="shared" ca="1" si="465"/>
        <v>0</v>
      </c>
      <c r="EO19" s="43">
        <f t="shared" ca="1" si="397"/>
        <v>0</v>
      </c>
      <c r="EP19" s="39">
        <f t="shared" ca="1" si="398"/>
        <v>61.225352176408947</v>
      </c>
      <c r="EQ19" s="39">
        <f t="shared" ca="1" si="466"/>
        <v>1.225352176408947</v>
      </c>
      <c r="ER19" s="153">
        <f t="shared" ca="1" si="467"/>
        <v>0.17505031091556386</v>
      </c>
      <c r="ET19" s="1" t="s">
        <v>1527</v>
      </c>
      <c r="EU19" s="1360">
        <f t="shared" ca="1" si="90"/>
        <v>0</v>
      </c>
      <c r="EV19" s="173">
        <v>0</v>
      </c>
      <c r="EW19" s="747">
        <v>30</v>
      </c>
      <c r="EX19" s="55">
        <v>42979</v>
      </c>
      <c r="EY19" s="55">
        <f t="shared" ref="EY19" si="511">EX19+EW19*365.25</f>
        <v>53936.5</v>
      </c>
      <c r="EZ19" s="61">
        <f t="shared" ref="EZ19" ca="1" si="512">IF(EX19&gt;$G$1,0,DATEDIF(EX19,$G$1,"M"))</f>
        <v>0</v>
      </c>
      <c r="FA19" s="37" t="s">
        <v>2572</v>
      </c>
      <c r="FB19" s="39">
        <v>0</v>
      </c>
      <c r="FC19" s="39">
        <f t="shared" ref="FC19" si="513">FB19-EV19</f>
        <v>0</v>
      </c>
      <c r="FD19" s="40" t="e">
        <f t="shared" ref="FD19" si="514">FB19/EV19-1</f>
        <v>#DIV/0!</v>
      </c>
      <c r="FE19" s="39"/>
      <c r="FF19" s="43">
        <f t="shared" ref="FF19" ca="1" si="515">IF(EX19&lt;$G$1-365.25,1,0)</f>
        <v>0</v>
      </c>
      <c r="FH19" s="192">
        <v>2</v>
      </c>
      <c r="FI19" s="149">
        <f t="shared" ref="FI19:FI35" si="516">$FI$12</f>
        <v>4200</v>
      </c>
      <c r="FJ19" s="82">
        <f t="shared" ref="FJ19:FJ35" si="517">FI19*(1+$FI$5)^(($FH$15+0.5)-FH19)</f>
        <v>6581.8331349381187</v>
      </c>
      <c r="FK19" s="375"/>
      <c r="FL19" s="73">
        <f>FL18+FI19</f>
        <v>8400</v>
      </c>
      <c r="FM19" s="39">
        <f>FM18+FJ19</f>
        <v>13345.324864400529</v>
      </c>
      <c r="FN19" s="679">
        <f t="shared" ref="FN19:FN35" si="518">FM19/FL19-1</f>
        <v>0.58872915052387254</v>
      </c>
      <c r="FO19" s="39"/>
      <c r="FQ19" s="439"/>
      <c r="FR19" s="438"/>
      <c r="FS19" s="550">
        <v>2</v>
      </c>
      <c r="FT19" s="58">
        <v>1</v>
      </c>
      <c r="FU19" s="38">
        <v>5</v>
      </c>
      <c r="FV19" s="38">
        <f t="shared" si="451"/>
        <v>1.001249843841072</v>
      </c>
      <c r="FW19" s="39">
        <f t="shared" si="502"/>
        <v>25.106396154618597</v>
      </c>
      <c r="FX19" s="153"/>
      <c r="FY19" s="552">
        <v>7</v>
      </c>
      <c r="FZ19" s="39">
        <f>FW91</f>
        <v>25.530149589570009</v>
      </c>
      <c r="GA19" s="39">
        <f t="shared" si="379"/>
        <v>0.53014958957000857</v>
      </c>
      <c r="GB19" s="386">
        <f t="shared" si="380"/>
        <v>2.1205983582800236E-2</v>
      </c>
      <c r="GD19" s="497" t="s">
        <v>2002</v>
      </c>
      <c r="GE19" s="1109"/>
      <c r="GF19" s="114"/>
      <c r="GG19" s="114"/>
      <c r="GH19" s="114"/>
      <c r="GI19" s="115"/>
    </row>
    <row r="20" spans="2:191">
      <c r="B20" s="113" t="s">
        <v>2167</v>
      </c>
      <c r="C20" s="115"/>
      <c r="D20" s="95"/>
      <c r="E20" s="96"/>
      <c r="F20" s="114"/>
      <c r="G20" s="114"/>
      <c r="H20" s="149"/>
      <c r="I20" s="96"/>
      <c r="J20" s="93"/>
      <c r="K20" s="97"/>
      <c r="L20" s="93"/>
      <c r="M20" s="845"/>
      <c r="N20" s="91"/>
      <c r="P20" s="59">
        <v>100</v>
      </c>
      <c r="Q20" s="59" t="s">
        <v>1206</v>
      </c>
      <c r="R20" s="60">
        <v>28</v>
      </c>
      <c r="S20" s="55">
        <v>42054</v>
      </c>
      <c r="T20" s="380">
        <v>25</v>
      </c>
      <c r="U20" s="55">
        <f t="shared" si="50"/>
        <v>42782</v>
      </c>
      <c r="V20" s="61">
        <f t="shared" ca="1" si="51"/>
        <v>0</v>
      </c>
      <c r="W20" s="38"/>
      <c r="X20" s="38"/>
      <c r="Y20" s="38"/>
      <c r="Z20" s="38"/>
      <c r="AA20" s="38"/>
      <c r="AB20" s="38"/>
      <c r="AC20" s="38"/>
      <c r="AD20" s="38"/>
      <c r="AE20" s="38"/>
      <c r="AF20" s="38"/>
      <c r="AG20" s="73"/>
      <c r="AH20" s="73"/>
      <c r="AI20" s="73"/>
      <c r="AJ20" s="73"/>
      <c r="AK20" s="73"/>
      <c r="AL20" s="73"/>
      <c r="AM20" s="73"/>
      <c r="AN20" s="73"/>
      <c r="AO20" s="73"/>
      <c r="AP20" s="73"/>
      <c r="AQ20" s="73"/>
      <c r="AR20" s="73"/>
      <c r="AS20" s="73"/>
      <c r="AT20" s="73"/>
      <c r="AU20" s="73"/>
      <c r="AV20" s="73"/>
      <c r="AW20" s="73"/>
      <c r="AX20" s="73"/>
      <c r="AY20" s="73"/>
      <c r="AZ20" s="693" t="s">
        <v>1376</v>
      </c>
      <c r="BA20" s="172">
        <f t="shared" si="452"/>
        <v>0</v>
      </c>
      <c r="BB20" s="82">
        <f>SUMIF($BO:$BO,"=Jun",$BJ:$BJ)+SUMIF($BP:$BP,"=Jun",$BJ:$BJ)+SUMIF($BQ:$BQ,"=Jun",$BJ:$BJ)</f>
        <v>0</v>
      </c>
      <c r="BC20" s="38"/>
      <c r="BD20" s="38"/>
      <c r="BE20" s="69"/>
      <c r="BF20" s="69"/>
      <c r="BG20" s="38"/>
      <c r="BH20" s="38"/>
      <c r="BI20" s="38"/>
      <c r="BJ20" s="38"/>
      <c r="BK20" s="38"/>
      <c r="BL20" s="38"/>
      <c r="BM20" s="38"/>
      <c r="BN20" s="38"/>
      <c r="BO20" s="38"/>
      <c r="BP20" s="38"/>
      <c r="BQ20" s="38"/>
      <c r="BR20" s="73"/>
      <c r="BS20" s="73"/>
      <c r="BT20" s="693" t="s">
        <v>1376</v>
      </c>
      <c r="BU20" s="172">
        <f t="shared" si="427"/>
        <v>2</v>
      </c>
      <c r="BV20" s="82">
        <f>SUMIF($CI:$CI,"=Jun",$CD:$CD)+SUMIF($CJ:$CJ,"=Jun",$CD:$CD)</f>
        <v>1.9375</v>
      </c>
      <c r="BW20" s="59">
        <v>100</v>
      </c>
      <c r="BX20" s="3">
        <v>7</v>
      </c>
      <c r="BY20" s="55">
        <v>42369</v>
      </c>
      <c r="BZ20" s="55">
        <f t="shared" si="381"/>
        <v>44925.75</v>
      </c>
      <c r="CA20" s="55">
        <v>42369</v>
      </c>
      <c r="CB20" s="747" t="s">
        <v>1689</v>
      </c>
      <c r="CC20" s="160">
        <v>2.1250000000000002E-2</v>
      </c>
      <c r="CD20" s="165">
        <f t="shared" si="487"/>
        <v>1.0625</v>
      </c>
      <c r="CE20" s="163">
        <f t="shared" si="407"/>
        <v>2.125</v>
      </c>
      <c r="CF20" s="39">
        <f t="shared" si="408"/>
        <v>14.875</v>
      </c>
      <c r="CG20" s="73">
        <f t="shared" si="409"/>
        <v>114.875</v>
      </c>
      <c r="CH20" s="73">
        <f t="shared" si="488"/>
        <v>0.17708333333333334</v>
      </c>
      <c r="CI20" s="54" t="str">
        <f t="shared" si="430"/>
        <v>Jun</v>
      </c>
      <c r="CJ20" s="54" t="str">
        <f t="shared" si="431"/>
        <v>Dec</v>
      </c>
      <c r="CK20" s="62"/>
      <c r="CL20" s="693" t="s">
        <v>1376</v>
      </c>
      <c r="CM20" s="172">
        <f t="shared" si="432"/>
        <v>0</v>
      </c>
      <c r="CN20" s="82">
        <f>SUMIF($DA:$DA,"=Jun",$CV:$CV)+SUMIF($DB:$DB,"=Jun",$CV:$CV)</f>
        <v>0</v>
      </c>
      <c r="CO20" s="59">
        <v>200</v>
      </c>
      <c r="CP20" s="3">
        <f>29+(11/12)</f>
        <v>29.916666666666668</v>
      </c>
      <c r="CQ20" s="55">
        <v>42262</v>
      </c>
      <c r="CR20" s="55">
        <f t="shared" si="329"/>
        <v>53189.0625</v>
      </c>
      <c r="CS20" s="55">
        <v>42231</v>
      </c>
      <c r="CT20" s="23" t="s">
        <v>1447</v>
      </c>
      <c r="CU20" s="160">
        <v>2.8750000000000001E-2</v>
      </c>
      <c r="CV20" s="165">
        <f t="shared" ref="CV20" si="519">CW20/2</f>
        <v>2.875</v>
      </c>
      <c r="CW20" s="163">
        <f t="shared" ref="CW20" si="520">CO20*CU20</f>
        <v>5.75</v>
      </c>
      <c r="CX20" s="73">
        <f t="shared" ref="CX20" si="521">CP20*CW20</f>
        <v>172.02083333333334</v>
      </c>
      <c r="CY20" s="203">
        <f t="shared" ref="CY20" si="522">CO20+CX20</f>
        <v>372.02083333333337</v>
      </c>
      <c r="CZ20" s="203">
        <f t="shared" ref="CZ20" si="523">CW20/12</f>
        <v>0.47916666666666669</v>
      </c>
      <c r="DA20" s="54" t="str">
        <f t="shared" si="361"/>
        <v>Feb</v>
      </c>
      <c r="DB20" s="54" t="str">
        <f t="shared" si="362"/>
        <v>Aug</v>
      </c>
      <c r="DC20" s="62"/>
      <c r="DD20" s="693" t="s">
        <v>1376</v>
      </c>
      <c r="DE20" s="172">
        <f t="shared" si="438"/>
        <v>2</v>
      </c>
      <c r="DF20" s="82">
        <f>SUMIF($DS:$DS,"=Jun",$DN:$DN)+SUMIF($DT:$DT,"=Jun",$DN:$DN)</f>
        <v>0.6875</v>
      </c>
      <c r="DG20" s="59">
        <v>200</v>
      </c>
      <c r="DH20" s="3">
        <f>29+(8/12)</f>
        <v>29.666666666666668</v>
      </c>
      <c r="DI20" s="55">
        <v>42185</v>
      </c>
      <c r="DJ20" s="55">
        <f t="shared" si="306"/>
        <v>53020.75</v>
      </c>
      <c r="DK20" s="55">
        <v>42050</v>
      </c>
      <c r="DL20" s="1" t="s">
        <v>1277</v>
      </c>
      <c r="DM20" s="160">
        <v>7.4999999999999997E-3</v>
      </c>
      <c r="DN20" s="165">
        <f t="shared" ref="DN20" si="524">DO20/2</f>
        <v>0.76631249999999995</v>
      </c>
      <c r="DO20" s="163">
        <f t="shared" si="308"/>
        <v>1.5326249999999999</v>
      </c>
      <c r="DP20" s="73">
        <f t="shared" si="309"/>
        <v>45.467874999999999</v>
      </c>
      <c r="DQ20" s="203">
        <f t="shared" si="336"/>
        <v>249.81787499999999</v>
      </c>
      <c r="DR20" s="203">
        <f>DO20/12</f>
        <v>0.12771874999999999</v>
      </c>
      <c r="DS20" s="54" t="str">
        <f t="shared" si="337"/>
        <v>Aug</v>
      </c>
      <c r="DT20" s="54" t="str">
        <f t="shared" si="338"/>
        <v>Feb</v>
      </c>
      <c r="DU20" s="44">
        <v>204.35</v>
      </c>
      <c r="DV20" s="1394">
        <v>42597</v>
      </c>
      <c r="DW20" s="40">
        <f t="shared" si="462"/>
        <v>2.1749999999999936E-2</v>
      </c>
      <c r="DX20" s="39">
        <f t="shared" si="339"/>
        <v>4.3499999999999943</v>
      </c>
      <c r="DY20" s="355">
        <f t="shared" si="311"/>
        <v>412</v>
      </c>
      <c r="DZ20" s="39">
        <f t="shared" si="312"/>
        <v>1.0558252427184452E-2</v>
      </c>
      <c r="EA20" s="62"/>
      <c r="EB20" s="465">
        <v>20</v>
      </c>
      <c r="EC20" s="380">
        <f t="shared" ca="1" si="83"/>
        <v>0</v>
      </c>
      <c r="ED20" s="73">
        <v>60</v>
      </c>
      <c r="EE20" s="38">
        <v>30</v>
      </c>
      <c r="EF20" s="54">
        <v>42522</v>
      </c>
      <c r="EG20" s="55">
        <f t="shared" si="393"/>
        <v>53479.5</v>
      </c>
      <c r="EH20" s="61" t="s">
        <v>122</v>
      </c>
      <c r="EI20" s="61">
        <f t="shared" ca="1" si="394"/>
        <v>8</v>
      </c>
      <c r="EJ20" s="747" t="s">
        <v>1539</v>
      </c>
      <c r="EK20" s="39">
        <v>60.05</v>
      </c>
      <c r="EL20" s="39">
        <f t="shared" si="480"/>
        <v>4.9999999999997158E-2</v>
      </c>
      <c r="EM20" s="40">
        <f t="shared" ref="EM20" si="525">EK20/ED20-1</f>
        <v>8.3333333333324155E-4</v>
      </c>
      <c r="EN20" s="39">
        <f t="shared" ca="1" si="465"/>
        <v>6.2499999999996447E-3</v>
      </c>
      <c r="EO20" s="43">
        <f t="shared" ca="1" si="397"/>
        <v>0</v>
      </c>
      <c r="EP20" s="39">
        <f t="shared" ca="1" si="398"/>
        <v>61.4024335198065</v>
      </c>
      <c r="EQ20" s="39">
        <f t="shared" ca="1" si="466"/>
        <v>1.4024335198065003</v>
      </c>
      <c r="ER20" s="153">
        <f t="shared" ca="1" si="467"/>
        <v>0.17530418997581254</v>
      </c>
      <c r="ET20" s="39">
        <f ca="1">(12*ET9)/365.25</f>
        <v>0.2159825823146406</v>
      </c>
      <c r="EU20" s="1360">
        <f t="shared" ca="1" si="90"/>
        <v>0</v>
      </c>
      <c r="EV20" s="173">
        <v>0</v>
      </c>
      <c r="EW20" s="747">
        <v>30</v>
      </c>
      <c r="EX20" s="55">
        <v>42948</v>
      </c>
      <c r="EY20" s="55">
        <f t="shared" ref="EY20" si="526">EX20+EW20*365.25</f>
        <v>53905.5</v>
      </c>
      <c r="EZ20" s="61">
        <f t="shared" ref="EZ20" ca="1" si="527">IF(EX20&gt;$G$1,0,DATEDIF(EX20,$G$1,"M"))</f>
        <v>0</v>
      </c>
      <c r="FA20" s="37" t="s">
        <v>2571</v>
      </c>
      <c r="FB20" s="39">
        <v>0</v>
      </c>
      <c r="FC20" s="39">
        <f t="shared" ref="FC20" si="528">FB20-EV20</f>
        <v>0</v>
      </c>
      <c r="FD20" s="40" t="e">
        <f t="shared" ref="FD20" si="529">FB20/EV20-1</f>
        <v>#DIV/0!</v>
      </c>
      <c r="FE20" s="39"/>
      <c r="FF20" s="43">
        <f t="shared" ref="FF20" ca="1" si="530">IF(EX20&lt;$G$1-365.25,1,0)</f>
        <v>0</v>
      </c>
      <c r="FH20" s="150">
        <v>3</v>
      </c>
      <c r="FI20" s="149">
        <f t="shared" si="516"/>
        <v>4200</v>
      </c>
      <c r="FJ20" s="82">
        <f t="shared" si="517"/>
        <v>6405.0536540853627</v>
      </c>
      <c r="FK20" s="375"/>
      <c r="FL20" s="73">
        <f t="shared" ref="FL20:FL35" si="531">FL19+FI20</f>
        <v>12600</v>
      </c>
      <c r="FM20" s="39">
        <f t="shared" ref="FM20:FM35" si="532">FM19+FJ20</f>
        <v>19750.378518485893</v>
      </c>
      <c r="FN20" s="679">
        <f t="shared" si="518"/>
        <v>0.56749035860999153</v>
      </c>
      <c r="FO20" s="40"/>
      <c r="FP20" s="52"/>
      <c r="FQ20" s="439"/>
      <c r="FR20" s="438"/>
      <c r="FS20" s="550">
        <v>2</v>
      </c>
      <c r="FT20" s="58">
        <v>1</v>
      </c>
      <c r="FU20" s="38">
        <v>6</v>
      </c>
      <c r="FV20" s="38">
        <f t="shared" si="451"/>
        <v>1.0015000000000001</v>
      </c>
      <c r="FW20" s="39">
        <f t="shared" si="502"/>
        <v>25.112668834375004</v>
      </c>
      <c r="FX20" s="153"/>
      <c r="FY20" s="552">
        <v>8</v>
      </c>
      <c r="FZ20" s="39">
        <f>FW104</f>
        <v>25.606797481175299</v>
      </c>
      <c r="GA20" s="39">
        <f t="shared" si="379"/>
        <v>0.60679748117529897</v>
      </c>
      <c r="GB20" s="386">
        <f t="shared" si="380"/>
        <v>2.4271899247011897E-2</v>
      </c>
      <c r="GD20" s="497"/>
      <c r="GE20" s="1109"/>
      <c r="GF20" s="114"/>
      <c r="GG20" s="114"/>
      <c r="GH20" s="114"/>
      <c r="GI20" s="115"/>
    </row>
    <row r="21" spans="2:191" ht="13.5" thickBot="1">
      <c r="B21" s="1118">
        <f>B19/B17</f>
        <v>9.8042758205359834E-2</v>
      </c>
      <c r="C21" s="115"/>
      <c r="D21" s="99" t="s">
        <v>146</v>
      </c>
      <c r="E21" s="96">
        <f>G11+E19</f>
        <v>32499.639999999996</v>
      </c>
      <c r="F21" s="100" t="s">
        <v>675</v>
      </c>
      <c r="G21" s="96"/>
      <c r="H21" s="149"/>
      <c r="I21" s="96"/>
      <c r="J21" s="93"/>
      <c r="K21" s="97"/>
      <c r="L21" s="93"/>
      <c r="M21" s="845"/>
      <c r="N21" s="91"/>
      <c r="P21" s="59"/>
      <c r="Q21" s="59"/>
      <c r="R21" s="60"/>
      <c r="S21" s="55"/>
      <c r="T21" s="380"/>
      <c r="U21" s="55"/>
      <c r="V21" s="61"/>
      <c r="W21" s="38"/>
      <c r="X21" s="38"/>
      <c r="Y21" s="38"/>
      <c r="Z21" s="38"/>
      <c r="AA21" s="38"/>
      <c r="AB21" s="38"/>
      <c r="AC21" s="38"/>
      <c r="AD21" s="38"/>
      <c r="AE21" s="38"/>
      <c r="AF21" s="38"/>
      <c r="AG21" s="73"/>
      <c r="AH21" s="73"/>
      <c r="AI21" s="73"/>
      <c r="AJ21" s="73"/>
      <c r="AK21" s="73"/>
      <c r="AL21" s="73"/>
      <c r="AM21" s="73"/>
      <c r="AN21" s="73"/>
      <c r="AO21" s="73"/>
      <c r="AP21" s="73"/>
      <c r="AQ21" s="73"/>
      <c r="AR21" s="73"/>
      <c r="AS21" s="73"/>
      <c r="AT21" s="73"/>
      <c r="AU21" s="73"/>
      <c r="AV21" s="73"/>
      <c r="AW21" s="73"/>
      <c r="AX21" s="73"/>
      <c r="AY21" s="73"/>
      <c r="AZ21" s="693" t="s">
        <v>1377</v>
      </c>
      <c r="BA21" s="172">
        <f t="shared" si="452"/>
        <v>2</v>
      </c>
      <c r="BB21" s="82">
        <f>SUMIF($BO:$BO,"=Jul",$BJ:$BJ)+SUMIF($BP:$BP,"=Jul",$BJ:$BJ)+SUMIF($BQ:$BQ,"=Jul",$BJ:$BJ)</f>
        <v>0.05</v>
      </c>
      <c r="BC21" s="38"/>
      <c r="BD21" s="38"/>
      <c r="BE21" s="69"/>
      <c r="BF21" s="69"/>
      <c r="BG21" s="38"/>
      <c r="BH21" s="38"/>
      <c r="BI21" s="38"/>
      <c r="BJ21" s="38"/>
      <c r="BK21" s="38"/>
      <c r="BL21" s="38"/>
      <c r="BM21" s="38"/>
      <c r="BN21" s="38"/>
      <c r="BO21" s="38"/>
      <c r="BP21" s="38"/>
      <c r="BQ21" s="38"/>
      <c r="BR21" s="73"/>
      <c r="BS21" s="73"/>
      <c r="BT21" s="693" t="s">
        <v>1377</v>
      </c>
      <c r="BU21" s="172">
        <f t="shared" si="427"/>
        <v>5</v>
      </c>
      <c r="BV21" s="82">
        <f>SUMIF($CI:$CI,"=Jul",$CD:$CD)+SUMIF($CJ:$CJ,"=Jul",$CD:$CD)</f>
        <v>2.875</v>
      </c>
      <c r="BW21" s="59">
        <v>100</v>
      </c>
      <c r="BX21" s="3">
        <v>5</v>
      </c>
      <c r="BY21" s="55">
        <v>42369</v>
      </c>
      <c r="BZ21" s="55">
        <f t="shared" si="381"/>
        <v>44195.25</v>
      </c>
      <c r="CA21" s="55">
        <v>42369</v>
      </c>
      <c r="CB21" s="747" t="s">
        <v>1691</v>
      </c>
      <c r="CC21" s="160">
        <v>1.7500000000000002E-2</v>
      </c>
      <c r="CD21" s="165">
        <f t="shared" si="487"/>
        <v>0.87500000000000011</v>
      </c>
      <c r="CE21" s="163">
        <f t="shared" si="407"/>
        <v>1.7500000000000002</v>
      </c>
      <c r="CF21" s="39">
        <f t="shared" si="408"/>
        <v>8.7500000000000018</v>
      </c>
      <c r="CG21" s="73">
        <f t="shared" si="409"/>
        <v>108.75</v>
      </c>
      <c r="CH21" s="73">
        <f t="shared" si="488"/>
        <v>0.14583333333333334</v>
      </c>
      <c r="CI21" s="54" t="str">
        <f t="shared" si="430"/>
        <v>Jun</v>
      </c>
      <c r="CJ21" s="54" t="str">
        <f t="shared" si="431"/>
        <v>Dec</v>
      </c>
      <c r="CK21" s="62"/>
      <c r="CL21" s="693" t="s">
        <v>1377</v>
      </c>
      <c r="CM21" s="172">
        <f t="shared" si="432"/>
        <v>0</v>
      </c>
      <c r="CN21" s="82">
        <f>SUMIF($DA:$DA,"=Jul",$CV:$CV)+SUMIF($DB:$DB,"=Jul",$CV:$CV)</f>
        <v>0</v>
      </c>
      <c r="CO21" s="59">
        <v>100</v>
      </c>
      <c r="CP21" s="3">
        <v>30</v>
      </c>
      <c r="CQ21" s="55">
        <v>42233</v>
      </c>
      <c r="CR21" s="55">
        <f t="shared" si="329"/>
        <v>53190.5</v>
      </c>
      <c r="CS21" s="55">
        <v>42231</v>
      </c>
      <c r="CT21" s="23" t="s">
        <v>1421</v>
      </c>
      <c r="CU21" s="160">
        <v>2.8750000000000001E-2</v>
      </c>
      <c r="CV21" s="165">
        <f t="shared" ref="CV21" si="533">CW21/2</f>
        <v>1.4375</v>
      </c>
      <c r="CW21" s="163">
        <f t="shared" ref="CW21" si="534">CO21*CU21</f>
        <v>2.875</v>
      </c>
      <c r="CX21" s="73">
        <f t="shared" ref="CX21" si="535">CP21*CW21</f>
        <v>86.25</v>
      </c>
      <c r="CY21" s="203">
        <f t="shared" ref="CY21" si="536">CO21+CX21</f>
        <v>186.25</v>
      </c>
      <c r="CZ21" s="203">
        <f t="shared" ref="CZ21" si="537">CW21/12</f>
        <v>0.23958333333333334</v>
      </c>
      <c r="DA21" s="54" t="str">
        <f t="shared" si="361"/>
        <v>Feb</v>
      </c>
      <c r="DB21" s="54" t="str">
        <f t="shared" si="362"/>
        <v>Aug</v>
      </c>
      <c r="DC21" s="62"/>
      <c r="DD21" s="693" t="s">
        <v>1377</v>
      </c>
      <c r="DE21" s="172">
        <f t="shared" si="438"/>
        <v>18</v>
      </c>
      <c r="DF21" s="82">
        <f>SUMIF($DS:$DS,"=Jul",$DN:$DN)+SUMIF($DT:$DT,"=Jul",$DN:$DN)</f>
        <v>3.4433499999999997</v>
      </c>
      <c r="DG21" s="59">
        <v>100</v>
      </c>
      <c r="DH21" s="3">
        <f>9+(8/12)</f>
        <v>9.6666666666666661</v>
      </c>
      <c r="DI21" s="55">
        <v>42153</v>
      </c>
      <c r="DJ21" s="55">
        <f t="shared" si="306"/>
        <v>45683.75</v>
      </c>
      <c r="DK21" s="55">
        <v>42019</v>
      </c>
      <c r="DL21" s="1" t="s">
        <v>1274</v>
      </c>
      <c r="DM21" s="160">
        <v>2.5000000000000001E-3</v>
      </c>
      <c r="DN21" s="165">
        <f t="shared" ref="DN21" si="538">DO21/2</f>
        <v>0.127475</v>
      </c>
      <c r="DO21" s="163">
        <f t="shared" si="308"/>
        <v>0.25495000000000001</v>
      </c>
      <c r="DP21" s="73">
        <f t="shared" si="309"/>
        <v>2.4645166666666665</v>
      </c>
      <c r="DQ21" s="203">
        <f t="shared" si="336"/>
        <v>104.44451666666667</v>
      </c>
      <c r="DR21" s="203">
        <f t="shared" ref="DR21" si="539">DO21/12</f>
        <v>2.1245833333333335E-2</v>
      </c>
      <c r="DS21" s="54" t="str">
        <f t="shared" si="337"/>
        <v>Jul</v>
      </c>
      <c r="DT21" s="54" t="str">
        <f t="shared" si="338"/>
        <v>Jan</v>
      </c>
      <c r="DU21" s="44">
        <v>101.98</v>
      </c>
      <c r="DV21" s="579">
        <v>42752</v>
      </c>
      <c r="DW21" s="40">
        <f t="shared" si="462"/>
        <v>1.980000000000004E-2</v>
      </c>
      <c r="DX21" s="39">
        <f t="shared" si="339"/>
        <v>1.980000000000004</v>
      </c>
      <c r="DY21" s="355">
        <f t="shared" si="311"/>
        <v>599</v>
      </c>
      <c r="DZ21" s="39">
        <f t="shared" si="312"/>
        <v>3.3055091819699568E-3</v>
      </c>
      <c r="EA21" s="62"/>
      <c r="EB21" s="463"/>
      <c r="EC21" s="380">
        <f t="shared" ca="1" si="83"/>
        <v>0</v>
      </c>
      <c r="ED21" s="73">
        <v>60</v>
      </c>
      <c r="EE21" s="38">
        <v>30</v>
      </c>
      <c r="EF21" s="54">
        <v>42491</v>
      </c>
      <c r="EG21" s="55">
        <f t="shared" si="393"/>
        <v>53448.5</v>
      </c>
      <c r="EH21" s="61" t="s">
        <v>122</v>
      </c>
      <c r="EI21" s="61">
        <f t="shared" ca="1" si="394"/>
        <v>9</v>
      </c>
      <c r="EJ21" s="747" t="s">
        <v>1538</v>
      </c>
      <c r="EK21" s="39">
        <v>60.05</v>
      </c>
      <c r="EL21" s="39">
        <f t="shared" si="480"/>
        <v>4.9999999999997158E-2</v>
      </c>
      <c r="EM21" s="40">
        <f t="shared" ref="EM21" si="540">EK21/ED21-1</f>
        <v>8.3333333333324155E-4</v>
      </c>
      <c r="EN21" s="39">
        <f t="shared" ca="1" si="465"/>
        <v>5.55555555555524E-3</v>
      </c>
      <c r="EO21" s="43">
        <f t="shared" ca="1" si="397"/>
        <v>0</v>
      </c>
      <c r="EP21" s="39">
        <f t="shared" ca="1" si="398"/>
        <v>61.580027033425459</v>
      </c>
      <c r="EQ21" s="39">
        <f t="shared" ca="1" si="466"/>
        <v>1.5800270334254591</v>
      </c>
      <c r="ER21" s="153">
        <f t="shared" ca="1" si="467"/>
        <v>0.17555855926949546</v>
      </c>
      <c r="ET21" s="37"/>
      <c r="EU21" s="1360">
        <f t="shared" ca="1" si="90"/>
        <v>0</v>
      </c>
      <c r="EV21" s="173">
        <v>0</v>
      </c>
      <c r="EW21" s="747">
        <v>30</v>
      </c>
      <c r="EX21" s="55">
        <v>42948</v>
      </c>
      <c r="EY21" s="55">
        <f t="shared" ref="EY21" si="541">EX21+EW21*365.25</f>
        <v>53905.5</v>
      </c>
      <c r="EZ21" s="61">
        <f t="shared" ref="EZ21" ca="1" si="542">IF(EX21&gt;$G$1,0,DATEDIF(EX21,$G$1,"M"))</f>
        <v>0</v>
      </c>
      <c r="FA21" s="37" t="s">
        <v>2570</v>
      </c>
      <c r="FB21" s="39">
        <v>0</v>
      </c>
      <c r="FC21" s="39">
        <f t="shared" ref="FC21" si="543">FB21-EV21</f>
        <v>0</v>
      </c>
      <c r="FD21" s="40" t="e">
        <f t="shared" ref="FD21" si="544">FB21/EV21-1</f>
        <v>#DIV/0!</v>
      </c>
      <c r="FE21" s="39"/>
      <c r="FF21" s="43">
        <f t="shared" ref="FF21" ca="1" si="545">IF(EX21&lt;$G$1-365.25,1,0)</f>
        <v>0</v>
      </c>
      <c r="FH21" s="192">
        <v>4</v>
      </c>
      <c r="FI21" s="149">
        <f t="shared" si="516"/>
        <v>4200</v>
      </c>
      <c r="FJ21" s="82">
        <f t="shared" si="517"/>
        <v>6233.0222402543423</v>
      </c>
      <c r="FK21" s="375"/>
      <c r="FL21" s="73">
        <f t="shared" si="531"/>
        <v>16800</v>
      </c>
      <c r="FM21" s="39">
        <f t="shared" si="532"/>
        <v>25983.400758740238</v>
      </c>
      <c r="FN21" s="679">
        <f t="shared" si="518"/>
        <v>0.54663099754406175</v>
      </c>
      <c r="FO21" s="39"/>
      <c r="FP21" s="153"/>
      <c r="FQ21" s="440"/>
      <c r="FR21" s="438"/>
      <c r="FS21" s="550">
        <v>2</v>
      </c>
      <c r="FT21" s="58">
        <v>2</v>
      </c>
      <c r="FU21" s="38">
        <v>1</v>
      </c>
      <c r="FV21" s="38">
        <f t="shared" si="451"/>
        <v>1.0002498438930771</v>
      </c>
      <c r="FW21" s="39">
        <f>$FW$20*FV21</f>
        <v>25.11894308132214</v>
      </c>
      <c r="FX21" s="153"/>
      <c r="FY21" s="552">
        <v>9</v>
      </c>
      <c r="FZ21" s="39">
        <f>FW117</f>
        <v>25.68367548891316</v>
      </c>
      <c r="GA21" s="39">
        <f t="shared" si="379"/>
        <v>0.68367548891315977</v>
      </c>
      <c r="GB21" s="386">
        <f t="shared" si="380"/>
        <v>2.7347019556526408E-2</v>
      </c>
      <c r="GD21" s="1110"/>
      <c r="GE21" s="1111"/>
      <c r="GF21" s="819"/>
      <c r="GG21" s="819"/>
      <c r="GH21" s="819"/>
      <c r="GI21" s="808"/>
    </row>
    <row r="22" spans="2:191">
      <c r="B22" s="497" t="s">
        <v>2160</v>
      </c>
      <c r="C22" s="115"/>
      <c r="D22" s="150" t="s">
        <v>147</v>
      </c>
      <c r="E22" s="96">
        <f>E21+D4</f>
        <v>32708.209999999995</v>
      </c>
      <c r="F22" s="100" t="s">
        <v>676</v>
      </c>
      <c r="G22" s="96"/>
      <c r="H22" s="96"/>
      <c r="I22" s="91"/>
      <c r="J22" s="96"/>
      <c r="K22" s="136" t="s">
        <v>1406</v>
      </c>
      <c r="L22" s="193" t="s">
        <v>2128</v>
      </c>
      <c r="M22" s="151"/>
      <c r="N22" s="91"/>
      <c r="P22" s="59"/>
      <c r="Q22" s="59"/>
      <c r="R22" s="60"/>
      <c r="S22" s="55"/>
      <c r="T22" s="380"/>
      <c r="U22" s="55"/>
      <c r="V22" s="61"/>
      <c r="W22" s="38"/>
      <c r="X22" s="38"/>
      <c r="Y22" s="38"/>
      <c r="Z22" s="38"/>
      <c r="AA22" s="38"/>
      <c r="AB22" s="38"/>
      <c r="AC22" s="38"/>
      <c r="AD22" s="38"/>
      <c r="AE22" s="38"/>
      <c r="AF22" s="38"/>
      <c r="AG22" s="73"/>
      <c r="AH22" s="73"/>
      <c r="AI22" s="73"/>
      <c r="AJ22" s="73"/>
      <c r="AK22" s="73"/>
      <c r="AL22" s="73"/>
      <c r="AM22" s="73"/>
      <c r="AN22" s="73"/>
      <c r="AO22" s="73"/>
      <c r="AP22" s="73"/>
      <c r="AQ22" s="73"/>
      <c r="AR22" s="73"/>
      <c r="AS22" s="73"/>
      <c r="AT22" s="73"/>
      <c r="AU22" s="73"/>
      <c r="AV22" s="73"/>
      <c r="AW22" s="73"/>
      <c r="AX22" s="73"/>
      <c r="AY22" s="73"/>
      <c r="AZ22" s="693" t="s">
        <v>1378</v>
      </c>
      <c r="BA22" s="172">
        <f t="shared" si="452"/>
        <v>0</v>
      </c>
      <c r="BB22" s="82">
        <f>SUMIF($BO:$BO,"=Aug",$BJ:$BJ)+SUMIF($BP:$BP,"=Aug",$BJ:$BJ)+SUMIF($BQ:$BQ,"=Aug",$BJ:$BJ)</f>
        <v>0</v>
      </c>
      <c r="BC22" s="62"/>
      <c r="BD22" s="62"/>
      <c r="BE22" s="1292"/>
      <c r="BF22" s="1292"/>
      <c r="BG22" s="62"/>
      <c r="BH22" s="62"/>
      <c r="BI22" s="62"/>
      <c r="BJ22" s="62"/>
      <c r="BK22" s="62"/>
      <c r="BL22" s="38"/>
      <c r="BM22" s="38"/>
      <c r="BN22" s="38"/>
      <c r="BO22" s="38"/>
      <c r="BP22" s="38"/>
      <c r="BQ22" s="38"/>
      <c r="BR22" s="73"/>
      <c r="BS22" s="73"/>
      <c r="BT22" s="693" t="s">
        <v>1378</v>
      </c>
      <c r="BU22" s="172">
        <f t="shared" si="427"/>
        <v>14</v>
      </c>
      <c r="BV22" s="82">
        <f>SUMIF($CI:$CI,"=Aug",$CD:$CD)+SUMIF($CJ:$CJ,"=Aug",$CD:$CD)</f>
        <v>14.4375</v>
      </c>
      <c r="BW22" s="59">
        <v>100</v>
      </c>
      <c r="BX22" s="3">
        <f>9+(11/12)</f>
        <v>9.9166666666666661</v>
      </c>
      <c r="BY22" s="55">
        <v>42353</v>
      </c>
      <c r="BZ22" s="55">
        <f t="shared" si="381"/>
        <v>45975.0625</v>
      </c>
      <c r="CA22" s="55">
        <v>42323</v>
      </c>
      <c r="CB22" s="747" t="s">
        <v>1604</v>
      </c>
      <c r="CC22" s="160">
        <v>2.2499999999999999E-2</v>
      </c>
      <c r="CD22" s="165">
        <f t="shared" si="487"/>
        <v>1.125</v>
      </c>
      <c r="CE22" s="163">
        <f t="shared" si="407"/>
        <v>2.25</v>
      </c>
      <c r="CF22" s="39">
        <f t="shared" si="408"/>
        <v>22.3125</v>
      </c>
      <c r="CG22" s="73">
        <f t="shared" si="409"/>
        <v>122.3125</v>
      </c>
      <c r="CH22" s="73">
        <f t="shared" si="488"/>
        <v>0.1875</v>
      </c>
      <c r="CI22" s="54" t="str">
        <f t="shared" si="430"/>
        <v>May</v>
      </c>
      <c r="CJ22" s="54" t="str">
        <f t="shared" si="431"/>
        <v>Nov</v>
      </c>
      <c r="CK22" s="62"/>
      <c r="CL22" s="693" t="s">
        <v>1378</v>
      </c>
      <c r="CM22" s="172">
        <f t="shared" si="432"/>
        <v>20</v>
      </c>
      <c r="CN22" s="82">
        <f>SUMIF($DA:$DA,"=Aug",$CV:$CV)+SUMIF($DB:$DB,"=Aug",$CV:$CV)</f>
        <v>44.5625</v>
      </c>
      <c r="CO22" s="59">
        <v>200</v>
      </c>
      <c r="CP22" s="3">
        <f>29+(10/12)</f>
        <v>29.833333333333332</v>
      </c>
      <c r="CQ22" s="55">
        <v>42200</v>
      </c>
      <c r="CR22" s="55">
        <f t="shared" si="329"/>
        <v>53096.625</v>
      </c>
      <c r="CS22" s="55">
        <v>42139</v>
      </c>
      <c r="CT22" s="23" t="s">
        <v>1303</v>
      </c>
      <c r="CU22" s="160">
        <v>0.03</v>
      </c>
      <c r="CV22" s="165">
        <f t="shared" ref="CV22" si="546">CW22/2</f>
        <v>3</v>
      </c>
      <c r="CW22" s="163">
        <f t="shared" ref="CW22" si="547">CO22*CU22</f>
        <v>6</v>
      </c>
      <c r="CX22" s="73">
        <f t="shared" ref="CX22" si="548">CP22*CW22</f>
        <v>179</v>
      </c>
      <c r="CY22" s="203">
        <f t="shared" ref="CY22" si="549">CO22+CX22</f>
        <v>379</v>
      </c>
      <c r="CZ22" s="203">
        <f t="shared" ref="CZ22" si="550">CW22/12</f>
        <v>0.5</v>
      </c>
      <c r="DA22" s="54" t="str">
        <f t="shared" si="361"/>
        <v>Nov</v>
      </c>
      <c r="DB22" s="54" t="str">
        <f t="shared" si="362"/>
        <v>May</v>
      </c>
      <c r="DC22" s="62"/>
      <c r="DD22" s="693" t="s">
        <v>1378</v>
      </c>
      <c r="DE22" s="172">
        <f t="shared" si="438"/>
        <v>11</v>
      </c>
      <c r="DF22" s="82">
        <f>SUMIF($DS:$DS,"=Aug",$DN:$DN)+SUMIF($DT:$DT,"=Aug",$DN:$DN)</f>
        <v>7.2147812500000006</v>
      </c>
      <c r="DG22" s="59">
        <v>100</v>
      </c>
      <c r="DH22" s="3">
        <v>30</v>
      </c>
      <c r="DI22" s="55">
        <v>42062</v>
      </c>
      <c r="DJ22" s="55">
        <f t="shared" si="306"/>
        <v>53019.5</v>
      </c>
      <c r="DK22" s="55">
        <v>42050</v>
      </c>
      <c r="DL22" s="1" t="s">
        <v>1092</v>
      </c>
      <c r="DM22" s="160">
        <v>7.4999999999999997E-3</v>
      </c>
      <c r="DN22" s="165">
        <f t="shared" ref="DN22:DN23" si="551">DO22/2</f>
        <v>0.38313750000000002</v>
      </c>
      <c r="DO22" s="163">
        <f t="shared" si="308"/>
        <v>0.76627500000000004</v>
      </c>
      <c r="DP22" s="73">
        <f t="shared" si="309"/>
        <v>22.988250000000001</v>
      </c>
      <c r="DQ22" s="203">
        <f t="shared" si="336"/>
        <v>125.15825000000001</v>
      </c>
      <c r="DR22" s="203">
        <f t="shared" ref="DR22:DR23" si="552">DO22/12</f>
        <v>6.3856250000000003E-2</v>
      </c>
      <c r="DS22" s="54" t="str">
        <f t="shared" si="337"/>
        <v>Aug</v>
      </c>
      <c r="DT22" s="54" t="str">
        <f t="shared" si="338"/>
        <v>Feb</v>
      </c>
      <c r="DU22" s="44">
        <v>102.17</v>
      </c>
      <c r="DV22" s="579">
        <v>42597</v>
      </c>
      <c r="DW22" s="40">
        <f t="shared" si="462"/>
        <v>2.1700000000000053E-2</v>
      </c>
      <c r="DX22" s="39">
        <f t="shared" si="339"/>
        <v>2.1700000000000017</v>
      </c>
      <c r="DY22" s="355">
        <f t="shared" si="311"/>
        <v>535</v>
      </c>
      <c r="DZ22" s="39">
        <f t="shared" si="312"/>
        <v>4.0560747663551432E-3</v>
      </c>
      <c r="EA22" s="62"/>
      <c r="EB22" s="466" t="s">
        <v>420</v>
      </c>
      <c r="EC22" s="380">
        <f t="shared" ca="1" si="83"/>
        <v>0</v>
      </c>
      <c r="ED22" s="73">
        <v>60</v>
      </c>
      <c r="EE22" s="38">
        <v>30</v>
      </c>
      <c r="EF22" s="54">
        <v>42461</v>
      </c>
      <c r="EG22" s="55">
        <f t="shared" si="393"/>
        <v>53418.5</v>
      </c>
      <c r="EH22" s="61" t="s">
        <v>122</v>
      </c>
      <c r="EI22" s="61">
        <f t="shared" ca="1" si="394"/>
        <v>10</v>
      </c>
      <c r="EJ22" s="747" t="s">
        <v>1537</v>
      </c>
      <c r="EK22" s="39">
        <v>60.05</v>
      </c>
      <c r="EL22" s="39">
        <f t="shared" si="480"/>
        <v>4.9999999999997158E-2</v>
      </c>
      <c r="EM22" s="40">
        <f t="shared" ref="EM22" si="553">EK22/ED22-1</f>
        <v>8.3333333333324155E-4</v>
      </c>
      <c r="EN22" s="39">
        <f t="shared" ca="1" si="465"/>
        <v>4.9999999999997156E-3</v>
      </c>
      <c r="EO22" s="43">
        <f t="shared" ca="1" si="397"/>
        <v>0</v>
      </c>
      <c r="EP22" s="39">
        <f t="shared" ca="1" si="398"/>
        <v>61.758134198609525</v>
      </c>
      <c r="EQ22" s="39">
        <f t="shared" ca="1" si="466"/>
        <v>1.7581341986095254</v>
      </c>
      <c r="ER22" s="153">
        <f t="shared" ca="1" si="467"/>
        <v>0.17581341986095253</v>
      </c>
      <c r="ET22" s="37" t="s">
        <v>2665</v>
      </c>
      <c r="EU22" s="1360">
        <f t="shared" ca="1" si="90"/>
        <v>0</v>
      </c>
      <c r="EV22" s="173">
        <v>0</v>
      </c>
      <c r="EW22" s="747">
        <v>30</v>
      </c>
      <c r="EX22" s="55">
        <v>42948</v>
      </c>
      <c r="EY22" s="55">
        <f t="shared" ref="EY22" si="554">EX22+EW22*365.25</f>
        <v>53905.5</v>
      </c>
      <c r="EZ22" s="61">
        <f t="shared" ref="EZ22" ca="1" si="555">IF(EX22&gt;$G$1,0,DATEDIF(EX22,$G$1,"M"))</f>
        <v>0</v>
      </c>
      <c r="FA22" s="37" t="s">
        <v>2569</v>
      </c>
      <c r="FB22" s="39">
        <v>0</v>
      </c>
      <c r="FC22" s="39">
        <f t="shared" ref="FC22" si="556">FB22-EV22</f>
        <v>0</v>
      </c>
      <c r="FD22" s="40" t="e">
        <f t="shared" ref="FD22" si="557">FB22/EV22-1</f>
        <v>#DIV/0!</v>
      </c>
      <c r="FE22" s="39"/>
      <c r="FF22" s="43">
        <f t="shared" ref="FF22" ca="1" si="558">IF(EX22&lt;$G$1-365.25,1,0)</f>
        <v>0</v>
      </c>
      <c r="FH22" s="150">
        <v>5</v>
      </c>
      <c r="FI22" s="149">
        <f t="shared" si="516"/>
        <v>4200</v>
      </c>
      <c r="FJ22" s="82">
        <f t="shared" si="517"/>
        <v>6065.6113665378962</v>
      </c>
      <c r="FK22" s="375"/>
      <c r="FL22" s="73">
        <f t="shared" si="531"/>
        <v>21000</v>
      </c>
      <c r="FM22" s="39">
        <f t="shared" si="532"/>
        <v>32049.012125278132</v>
      </c>
      <c r="FN22" s="679">
        <f t="shared" si="518"/>
        <v>0.52614343453705392</v>
      </c>
      <c r="FO22" s="40"/>
      <c r="FR22" s="438"/>
      <c r="FS22" s="550">
        <v>2</v>
      </c>
      <c r="FT22" s="58">
        <v>2</v>
      </c>
      <c r="FU22" s="38">
        <v>2</v>
      </c>
      <c r="FV22" s="38">
        <f t="shared" si="451"/>
        <v>1.0004997502081252</v>
      </c>
      <c r="FW22" s="39">
        <f t="shared" ref="FW22:FW26" si="559">$FW$20*FV22</f>
        <v>25.125218895851564</v>
      </c>
      <c r="FX22" s="153"/>
      <c r="FY22" s="552">
        <v>10</v>
      </c>
      <c r="FZ22" s="39">
        <f>FW130</f>
        <v>25.76078430364975</v>
      </c>
      <c r="GA22" s="39">
        <f t="shared" si="379"/>
        <v>0.76078430364974992</v>
      </c>
      <c r="GB22" s="386">
        <f t="shared" si="380"/>
        <v>3.0431372145989899E-2</v>
      </c>
      <c r="GE22" s="144"/>
    </row>
    <row r="23" spans="2:191" ht="13.5" thickBot="1">
      <c r="B23" s="1133">
        <v>1189</v>
      </c>
      <c r="C23" s="115"/>
      <c r="D23" s="192" t="s">
        <v>609</v>
      </c>
      <c r="E23" s="96">
        <f ca="1">F19+2*E11+D4</f>
        <v>54153.391679</v>
      </c>
      <c r="F23" s="100" t="s">
        <v>610</v>
      </c>
      <c r="G23" s="96"/>
      <c r="H23" s="96"/>
      <c r="I23" s="96"/>
      <c r="J23" s="96"/>
      <c r="K23" s="842">
        <f ca="1">J18/E21</f>
        <v>1.2703652028010352E-2</v>
      </c>
      <c r="L23" s="96">
        <f>E10+E17</f>
        <v>14725</v>
      </c>
      <c r="M23" s="151" t="s">
        <v>1942</v>
      </c>
      <c r="N23" s="91"/>
      <c r="P23" s="59"/>
      <c r="Q23" s="59"/>
      <c r="R23" s="60"/>
      <c r="S23" s="55"/>
      <c r="T23" s="380"/>
      <c r="U23" s="55"/>
      <c r="V23" s="61"/>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693" t="s">
        <v>1379</v>
      </c>
      <c r="BA23" s="172">
        <f t="shared" si="452"/>
        <v>0</v>
      </c>
      <c r="BB23" s="82">
        <f>SUMIF($BO:$BO,"=Sep",$BJ:$BJ)+SUMIF($BP:$BP,"=Sep",$BJ:$BJ)+SUMIF($BQ:$BQ,"=Sep",$BJ:$BJ)</f>
        <v>0</v>
      </c>
      <c r="BC23" s="62"/>
      <c r="BD23" s="62"/>
      <c r="BE23" s="1292"/>
      <c r="BF23" s="1292"/>
      <c r="BG23" s="62"/>
      <c r="BH23" s="62"/>
      <c r="BI23" s="62"/>
      <c r="BJ23" s="62"/>
      <c r="BK23" s="62"/>
      <c r="BL23" s="38"/>
      <c r="BM23" s="38"/>
      <c r="BN23" s="38"/>
      <c r="BO23" s="38"/>
      <c r="BP23" s="38"/>
      <c r="BQ23" s="38"/>
      <c r="BR23" s="38"/>
      <c r="BS23" s="38"/>
      <c r="BT23" s="693" t="s">
        <v>1379</v>
      </c>
      <c r="BU23" s="172">
        <f t="shared" si="427"/>
        <v>1</v>
      </c>
      <c r="BV23" s="82">
        <f>SUMIF($CI:$CI,"=Sep",$CD:$CD)+SUMIF($CJ:$CJ,"=Sep",$CD:$CD)</f>
        <v>1</v>
      </c>
      <c r="BW23" s="59">
        <v>100</v>
      </c>
      <c r="BX23" s="3">
        <v>10</v>
      </c>
      <c r="BY23" s="55">
        <v>42324</v>
      </c>
      <c r="BZ23" s="55">
        <f t="shared" si="381"/>
        <v>45976.5</v>
      </c>
      <c r="CA23" s="55">
        <v>42323</v>
      </c>
      <c r="CB23" s="747" t="s">
        <v>1518</v>
      </c>
      <c r="CC23" s="160">
        <v>2.2499999999999999E-2</v>
      </c>
      <c r="CD23" s="165">
        <f t="shared" si="487"/>
        <v>1.125</v>
      </c>
      <c r="CE23" s="163">
        <f t="shared" si="407"/>
        <v>2.25</v>
      </c>
      <c r="CF23" s="39">
        <f t="shared" si="408"/>
        <v>22.5</v>
      </c>
      <c r="CG23" s="73">
        <f t="shared" si="409"/>
        <v>122.5</v>
      </c>
      <c r="CH23" s="73">
        <f t="shared" si="488"/>
        <v>0.1875</v>
      </c>
      <c r="CI23" s="54" t="str">
        <f t="shared" si="430"/>
        <v>May</v>
      </c>
      <c r="CJ23" s="54" t="str">
        <f t="shared" si="431"/>
        <v>Nov</v>
      </c>
      <c r="CK23" s="62"/>
      <c r="CL23" s="693" t="s">
        <v>1379</v>
      </c>
      <c r="CM23" s="172">
        <f t="shared" si="432"/>
        <v>1</v>
      </c>
      <c r="CN23" s="82">
        <f>SUMIF($DA:$DA,"=Sep",$CV:$CV)+SUMIF($DB:$DB,"=Sep",$CV:$CV)</f>
        <v>2.875</v>
      </c>
      <c r="CO23" s="59">
        <v>200</v>
      </c>
      <c r="CP23" s="3">
        <f>29+(11/12)</f>
        <v>29.916666666666668</v>
      </c>
      <c r="CQ23" s="55">
        <v>42170</v>
      </c>
      <c r="CR23" s="55">
        <f t="shared" si="329"/>
        <v>53097.0625</v>
      </c>
      <c r="CS23" s="55">
        <v>42139</v>
      </c>
      <c r="CT23" s="23" t="s">
        <v>1275</v>
      </c>
      <c r="CU23" s="160">
        <v>0.03</v>
      </c>
      <c r="CV23" s="165">
        <f t="shared" ref="CV23" si="560">CW23/2</f>
        <v>3</v>
      </c>
      <c r="CW23" s="163">
        <f t="shared" ref="CW23" si="561">CO23*CU23</f>
        <v>6</v>
      </c>
      <c r="CX23" s="73">
        <f t="shared" ref="CX23" si="562">CP23*CW23</f>
        <v>179.5</v>
      </c>
      <c r="CY23" s="203">
        <f t="shared" ref="CY23" si="563">CO23+CX23</f>
        <v>379.5</v>
      </c>
      <c r="CZ23" s="203">
        <f t="shared" ref="CZ23" si="564">CW23/12</f>
        <v>0.5</v>
      </c>
      <c r="DA23" s="54" t="str">
        <f t="shared" si="361"/>
        <v>Nov</v>
      </c>
      <c r="DB23" s="54" t="str">
        <f t="shared" si="362"/>
        <v>May</v>
      </c>
      <c r="DC23" s="62"/>
      <c r="DD23" s="693" t="s">
        <v>1379</v>
      </c>
      <c r="DE23" s="172">
        <f t="shared" si="438"/>
        <v>0</v>
      </c>
      <c r="DF23" s="82">
        <f>SUMIF($DS:$DS,"=Sep",$DN:$DN)+SUMIF($DT:$DT,"=Sep",$DN:$DN)</f>
        <v>0</v>
      </c>
      <c r="DG23" s="59">
        <v>100</v>
      </c>
      <c r="DH23" s="3">
        <v>10</v>
      </c>
      <c r="DI23" s="55">
        <v>42034</v>
      </c>
      <c r="DJ23" s="55">
        <f t="shared" si="306"/>
        <v>45686.5</v>
      </c>
      <c r="DK23" s="55">
        <v>42019</v>
      </c>
      <c r="DL23" s="1" t="s">
        <v>1154</v>
      </c>
      <c r="DM23" s="160">
        <v>2.5000000000000001E-3</v>
      </c>
      <c r="DN23" s="165">
        <f t="shared" si="551"/>
        <v>0.127475</v>
      </c>
      <c r="DO23" s="163">
        <f t="shared" si="308"/>
        <v>0.25495000000000001</v>
      </c>
      <c r="DP23" s="73">
        <f t="shared" si="309"/>
        <v>2.5495000000000001</v>
      </c>
      <c r="DQ23" s="203">
        <f t="shared" si="336"/>
        <v>104.5295</v>
      </c>
      <c r="DR23" s="203">
        <f t="shared" si="552"/>
        <v>2.1245833333333335E-2</v>
      </c>
      <c r="DS23" s="54" t="str">
        <f t="shared" si="337"/>
        <v>Jul</v>
      </c>
      <c r="DT23" s="54" t="str">
        <f t="shared" si="338"/>
        <v>Jan</v>
      </c>
      <c r="DU23" s="44">
        <v>101.98</v>
      </c>
      <c r="DV23" s="579">
        <v>42752</v>
      </c>
      <c r="DW23" s="40">
        <f t="shared" si="462"/>
        <v>1.980000000000004E-2</v>
      </c>
      <c r="DX23" s="39">
        <f t="shared" si="339"/>
        <v>1.980000000000004</v>
      </c>
      <c r="DY23" s="355">
        <f t="shared" si="311"/>
        <v>718</v>
      </c>
      <c r="DZ23" s="39">
        <f t="shared" si="312"/>
        <v>2.7576601671309249E-3</v>
      </c>
      <c r="EA23" s="62"/>
      <c r="EB23" s="467">
        <f>2^(1/EB20)-1</f>
        <v>3.5264923841377582E-2</v>
      </c>
      <c r="EC23" s="380">
        <f t="shared" ca="1" si="83"/>
        <v>0</v>
      </c>
      <c r="ED23" s="73">
        <v>60</v>
      </c>
      <c r="EE23" s="38">
        <v>30</v>
      </c>
      <c r="EF23" s="54">
        <v>42430</v>
      </c>
      <c r="EG23" s="55">
        <f t="shared" si="393"/>
        <v>53387.5</v>
      </c>
      <c r="EH23" s="61" t="s">
        <v>122</v>
      </c>
      <c r="EI23" s="61">
        <f t="shared" ca="1" si="394"/>
        <v>11</v>
      </c>
      <c r="EJ23" s="747" t="s">
        <v>1536</v>
      </c>
      <c r="EK23" s="39">
        <v>60.05</v>
      </c>
      <c r="EL23" s="39">
        <f t="shared" si="480"/>
        <v>4.9999999999997158E-2</v>
      </c>
      <c r="EM23" s="40">
        <f t="shared" ref="EM23" si="565">EK23/ED23-1</f>
        <v>8.3333333333324155E-4</v>
      </c>
      <c r="EN23" s="39">
        <f t="shared" ca="1" si="465"/>
        <v>4.5454545454542868E-3</v>
      </c>
      <c r="EO23" s="43">
        <f t="shared" ca="1" si="397"/>
        <v>0</v>
      </c>
      <c r="EP23" s="39">
        <f t="shared" ca="1" si="398"/>
        <v>61.93675650098691</v>
      </c>
      <c r="EQ23" s="39">
        <f t="shared" ca="1" si="466"/>
        <v>1.9367565009869097</v>
      </c>
      <c r="ER23" s="153">
        <f t="shared" ca="1" si="467"/>
        <v>0.17606877281699179</v>
      </c>
      <c r="ES23" s="426"/>
      <c r="ET23" s="386">
        <f ca="1">AVERAGE(EU:EU)</f>
        <v>0</v>
      </c>
      <c r="EU23" s="1360">
        <f t="shared" ca="1" si="90"/>
        <v>0</v>
      </c>
      <c r="EV23" s="173">
        <v>0</v>
      </c>
      <c r="EW23" s="747">
        <v>30</v>
      </c>
      <c r="EX23" s="55">
        <v>42948</v>
      </c>
      <c r="EY23" s="55">
        <f t="shared" ref="EY23" si="566">EX23+EW23*365.25</f>
        <v>53905.5</v>
      </c>
      <c r="EZ23" s="61">
        <f t="shared" ref="EZ23" ca="1" si="567">IF(EX23&gt;$G$1,0,DATEDIF(EX23,$G$1,"M"))</f>
        <v>0</v>
      </c>
      <c r="FA23" s="37" t="s">
        <v>2568</v>
      </c>
      <c r="FB23" s="39">
        <v>0</v>
      </c>
      <c r="FC23" s="39">
        <f t="shared" ref="FC23" si="568">FB23-EV23</f>
        <v>0</v>
      </c>
      <c r="FD23" s="40" t="e">
        <f t="shared" ref="FD23" si="569">FB23/EV23-1</f>
        <v>#DIV/0!</v>
      </c>
      <c r="FE23" s="39"/>
      <c r="FF23" s="43">
        <f t="shared" ref="FF23" ca="1" si="570">IF(EX23&lt;$G$1-365.25,1,0)</f>
        <v>0</v>
      </c>
      <c r="FH23" s="192">
        <v>6</v>
      </c>
      <c r="FI23" s="149">
        <f t="shared" si="516"/>
        <v>4200</v>
      </c>
      <c r="FJ23" s="82">
        <f t="shared" si="517"/>
        <v>5902.6969312357878</v>
      </c>
      <c r="FK23" s="375"/>
      <c r="FL23" s="73">
        <f t="shared" si="531"/>
        <v>25200</v>
      </c>
      <c r="FM23" s="39">
        <f t="shared" si="532"/>
        <v>37951.709056513922</v>
      </c>
      <c r="FN23" s="679">
        <f t="shared" si="518"/>
        <v>0.50602020065531428</v>
      </c>
      <c r="FO23" s="40"/>
      <c r="FR23" s="438"/>
      <c r="FS23" s="550">
        <v>2</v>
      </c>
      <c r="FT23" s="58">
        <v>2</v>
      </c>
      <c r="FU23" s="38">
        <v>3</v>
      </c>
      <c r="FV23" s="38">
        <f t="shared" si="451"/>
        <v>1.0007497189607399</v>
      </c>
      <c r="FW23" s="39">
        <f t="shared" si="559"/>
        <v>25.131496278354916</v>
      </c>
      <c r="FX23" s="153"/>
      <c r="FY23" s="552">
        <v>11</v>
      </c>
      <c r="FZ23" s="39">
        <f>FW143</f>
        <v>25.838124618325384</v>
      </c>
      <c r="GA23" s="39">
        <f t="shared" si="379"/>
        <v>0.83812461832538432</v>
      </c>
      <c r="GB23" s="386">
        <f t="shared" si="380"/>
        <v>3.3524984733015462E-2</v>
      </c>
      <c r="GE23" s="144"/>
    </row>
    <row r="24" spans="2:191" ht="13.5" thickBot="1">
      <c r="B24" s="113" t="s">
        <v>2380</v>
      </c>
      <c r="C24" s="117" t="s">
        <v>2743</v>
      </c>
      <c r="D24" s="192"/>
      <c r="E24" s="96"/>
      <c r="F24" s="100"/>
      <c r="G24" s="96"/>
      <c r="H24" s="96"/>
      <c r="I24" s="96"/>
      <c r="J24" s="91"/>
      <c r="K24" s="96"/>
      <c r="L24" s="91"/>
      <c r="M24" s="151"/>
      <c r="N24" s="91"/>
      <c r="P24" s="59"/>
      <c r="Q24" s="59"/>
      <c r="R24" s="60"/>
      <c r="S24" s="55"/>
      <c r="T24" s="380"/>
      <c r="U24" s="55"/>
      <c r="V24" s="61"/>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693" t="s">
        <v>1380</v>
      </c>
      <c r="BA24" s="172">
        <f t="shared" si="452"/>
        <v>2</v>
      </c>
      <c r="BB24" s="82">
        <f>SUMIF($BO:$BO,"=Oct",$BJ:$BJ)+SUMIF($BP:$BP,"=Oct",$BJ:$BJ)+SUMIF($BQ:$BQ,"=Oct",$BJ:$BJ)</f>
        <v>0.05</v>
      </c>
      <c r="BC24" s="62"/>
      <c r="BD24" s="62"/>
      <c r="BE24" s="1292"/>
      <c r="BF24" s="1292"/>
      <c r="BG24" s="62"/>
      <c r="BH24" s="62"/>
      <c r="BI24" s="62"/>
      <c r="BJ24" s="62"/>
      <c r="BK24" s="62"/>
      <c r="BL24" s="62"/>
      <c r="BM24" s="62"/>
      <c r="BN24" s="62"/>
      <c r="BO24" s="62"/>
      <c r="BP24" s="62"/>
      <c r="BQ24" s="62"/>
      <c r="BR24" s="38"/>
      <c r="BS24" s="38"/>
      <c r="BT24" s="693" t="s">
        <v>1380</v>
      </c>
      <c r="BU24" s="172">
        <f t="shared" si="427"/>
        <v>2</v>
      </c>
      <c r="BV24" s="82">
        <f>SUMIF($CI:$CI,"=Oct",$CD:$CD)+SUMIF($CJ:$CJ,"=Oct",$CD:$CD)</f>
        <v>0.875</v>
      </c>
      <c r="BW24" s="59">
        <v>100</v>
      </c>
      <c r="BX24" s="3">
        <f>9+(10/12)</f>
        <v>9.8333333333333339</v>
      </c>
      <c r="BY24" s="55">
        <v>42292</v>
      </c>
      <c r="BZ24" s="55">
        <f t="shared" si="381"/>
        <v>45883.625</v>
      </c>
      <c r="CA24" s="55">
        <v>42231</v>
      </c>
      <c r="CB24" s="747" t="s">
        <v>1485</v>
      </c>
      <c r="CC24" s="160">
        <v>0.02</v>
      </c>
      <c r="CD24" s="165">
        <f t="shared" si="487"/>
        <v>1</v>
      </c>
      <c r="CE24" s="163">
        <f t="shared" si="407"/>
        <v>2</v>
      </c>
      <c r="CF24" s="39">
        <f t="shared" si="408"/>
        <v>19.666666666666668</v>
      </c>
      <c r="CG24" s="73">
        <f t="shared" si="409"/>
        <v>119.66666666666667</v>
      </c>
      <c r="CH24" s="73">
        <f t="shared" si="488"/>
        <v>0.16666666666666666</v>
      </c>
      <c r="CI24" s="54" t="str">
        <f t="shared" si="430"/>
        <v>Feb</v>
      </c>
      <c r="CJ24" s="54" t="str">
        <f t="shared" si="431"/>
        <v>Aug</v>
      </c>
      <c r="CK24" s="62"/>
      <c r="CL24" s="693" t="s">
        <v>1380</v>
      </c>
      <c r="CM24" s="172">
        <f t="shared" si="432"/>
        <v>0</v>
      </c>
      <c r="CN24" s="82">
        <f>SUMIF($DA:$DA,"=Oct",$CV:$CV)+SUMIF($DB:$DB,"=Oct",$CV:$CV)</f>
        <v>0</v>
      </c>
      <c r="CO24" s="59">
        <v>200</v>
      </c>
      <c r="CP24" s="3">
        <v>30</v>
      </c>
      <c r="CQ24" s="55">
        <v>42139</v>
      </c>
      <c r="CR24" s="55">
        <f t="shared" si="329"/>
        <v>53096.5</v>
      </c>
      <c r="CS24" s="55">
        <v>42139</v>
      </c>
      <c r="CT24" s="23" t="s">
        <v>1359</v>
      </c>
      <c r="CU24" s="160">
        <v>0.03</v>
      </c>
      <c r="CV24" s="165">
        <f t="shared" ref="CV24" si="571">CW24/2</f>
        <v>3</v>
      </c>
      <c r="CW24" s="163">
        <f t="shared" ref="CW24" si="572">CO24*CU24</f>
        <v>6</v>
      </c>
      <c r="CX24" s="73">
        <f t="shared" ref="CX24" si="573">CP24*CW24</f>
        <v>180</v>
      </c>
      <c r="CY24" s="203">
        <f t="shared" ref="CY24" si="574">CO24+CX24</f>
        <v>380</v>
      </c>
      <c r="CZ24" s="203">
        <f t="shared" ref="CZ24:CZ29" si="575">CW24/12</f>
        <v>0.5</v>
      </c>
      <c r="DA24" s="54" t="str">
        <f t="shared" si="361"/>
        <v>Nov</v>
      </c>
      <c r="DB24" s="54" t="str">
        <f t="shared" si="362"/>
        <v>May</v>
      </c>
      <c r="DC24" s="62"/>
      <c r="DD24" s="693" t="s">
        <v>1380</v>
      </c>
      <c r="DE24" s="172">
        <f t="shared" si="438"/>
        <v>4</v>
      </c>
      <c r="DF24" s="82">
        <f>SUMIF($DS:$DS,"=Oct",$DN:$DN)+SUMIF($DT:$DT,"=Oct",$DN:$DN)</f>
        <v>0.25694375000000003</v>
      </c>
      <c r="DG24" s="59">
        <v>100</v>
      </c>
      <c r="DH24" s="3">
        <f>9+(8/12)</f>
        <v>9.6666666666666661</v>
      </c>
      <c r="DI24" s="55">
        <v>41971</v>
      </c>
      <c r="DJ24" s="55">
        <f>DI24+DH24*365.25</f>
        <v>45501.75</v>
      </c>
      <c r="DK24" s="55">
        <v>41835</v>
      </c>
      <c r="DL24" s="1" t="s">
        <v>805</v>
      </c>
      <c r="DM24" s="160">
        <v>1.25E-3</v>
      </c>
      <c r="DN24" s="165">
        <f t="shared" ref="DN24" si="576">DO24/2</f>
        <v>6.3575000000000007E-2</v>
      </c>
      <c r="DO24" s="163">
        <f t="shared" si="308"/>
        <v>0.12715000000000001</v>
      </c>
      <c r="DP24" s="73">
        <f t="shared" si="309"/>
        <v>1.2291166666666666</v>
      </c>
      <c r="DQ24" s="203">
        <f t="shared" si="336"/>
        <v>102.94911666666667</v>
      </c>
      <c r="DR24" s="203">
        <f t="shared" ref="DR24" si="577">DO24/12</f>
        <v>1.0595833333333334E-2</v>
      </c>
      <c r="DS24" s="54" t="str">
        <f t="shared" si="337"/>
        <v>Jan</v>
      </c>
      <c r="DT24" s="54" t="str">
        <f t="shared" si="338"/>
        <v>Jul</v>
      </c>
      <c r="DU24" s="44">
        <v>101.72</v>
      </c>
      <c r="DV24" s="579">
        <v>42752</v>
      </c>
      <c r="DW24" s="40">
        <f t="shared" si="462"/>
        <v>1.7199999999999882E-2</v>
      </c>
      <c r="DX24" s="39">
        <f t="shared" si="339"/>
        <v>1.7199999999999989</v>
      </c>
      <c r="DY24" s="355">
        <f t="shared" si="311"/>
        <v>781</v>
      </c>
      <c r="DZ24" s="39">
        <f t="shared" si="312"/>
        <v>2.2023047375160035E-3</v>
      </c>
      <c r="EA24" s="62"/>
      <c r="EC24" s="380">
        <f t="shared" ca="1" si="83"/>
        <v>0</v>
      </c>
      <c r="ED24" s="73">
        <v>60</v>
      </c>
      <c r="EE24" s="38">
        <v>30</v>
      </c>
      <c r="EF24" s="54">
        <v>42401</v>
      </c>
      <c r="EG24" s="55">
        <f t="shared" si="393"/>
        <v>53358.5</v>
      </c>
      <c r="EH24" s="61" t="s">
        <v>122</v>
      </c>
      <c r="EI24" s="61">
        <f t="shared" ca="1" si="394"/>
        <v>12</v>
      </c>
      <c r="EJ24" s="747" t="s">
        <v>1535</v>
      </c>
      <c r="EK24" s="39">
        <v>60.05</v>
      </c>
      <c r="EL24" s="39">
        <f t="shared" si="480"/>
        <v>4.9999999999997158E-2</v>
      </c>
      <c r="EM24" s="40">
        <f t="shared" ref="EM24" si="578">EK24/ED24-1</f>
        <v>8.3333333333324155E-4</v>
      </c>
      <c r="EN24" s="39">
        <f t="shared" ca="1" si="465"/>
        <v>4.1666666666664298E-3</v>
      </c>
      <c r="EO24" s="43">
        <f t="shared" ca="1" si="397"/>
        <v>1</v>
      </c>
      <c r="EP24" s="39">
        <f t="shared" ca="1" si="398"/>
        <v>62.115895430482652</v>
      </c>
      <c r="EQ24" s="39">
        <f t="shared" ca="1" si="466"/>
        <v>2.1158954304826523</v>
      </c>
      <c r="ER24" s="153">
        <f t="shared" ca="1" si="467"/>
        <v>0.17632461920688769</v>
      </c>
      <c r="ET24" s="39"/>
      <c r="EU24" s="1360">
        <f t="shared" ca="1" si="90"/>
        <v>0</v>
      </c>
      <c r="EV24" s="173">
        <v>0</v>
      </c>
      <c r="EW24" s="747">
        <v>30</v>
      </c>
      <c r="EX24" s="55">
        <v>42917</v>
      </c>
      <c r="EY24" s="55">
        <f t="shared" ref="EY24" si="579">EX24+EW24*365.25</f>
        <v>53874.5</v>
      </c>
      <c r="EZ24" s="61">
        <f t="shared" ref="EZ24" ca="1" si="580">IF(EX24&gt;$G$1,0,DATEDIF(EX24,$G$1,"M"))</f>
        <v>0</v>
      </c>
      <c r="FA24" s="37" t="s">
        <v>2567</v>
      </c>
      <c r="FB24" s="39">
        <v>0</v>
      </c>
      <c r="FC24" s="39">
        <f t="shared" ref="FC24" si="581">FB24-EV24</f>
        <v>0</v>
      </c>
      <c r="FD24" s="40" t="e">
        <f t="shared" ref="FD24" si="582">FB24/EV24-1</f>
        <v>#DIV/0!</v>
      </c>
      <c r="FE24" s="39"/>
      <c r="FF24" s="43">
        <f t="shared" ref="FF24" ca="1" si="583">IF(EX24&lt;$G$1-365.25,1,0)</f>
        <v>0</v>
      </c>
      <c r="FH24" s="150">
        <v>7</v>
      </c>
      <c r="FI24" s="149">
        <f t="shared" si="516"/>
        <v>4200</v>
      </c>
      <c r="FJ24" s="82">
        <f t="shared" si="517"/>
        <v>5744.1581658581035</v>
      </c>
      <c r="FK24" s="375"/>
      <c r="FL24" s="73">
        <f t="shared" si="531"/>
        <v>29400</v>
      </c>
      <c r="FM24" s="39">
        <f t="shared" si="532"/>
        <v>43695.867222372028</v>
      </c>
      <c r="FN24" s="679">
        <f t="shared" si="518"/>
        <v>0.48625398715551116</v>
      </c>
      <c r="FO24" s="40"/>
      <c r="FR24" s="438"/>
      <c r="FS24" s="550">
        <v>2</v>
      </c>
      <c r="FT24" s="58">
        <v>2</v>
      </c>
      <c r="FU24" s="38">
        <v>4</v>
      </c>
      <c r="FV24" s="38">
        <f t="shared" si="451"/>
        <v>1.0009997501665211</v>
      </c>
      <c r="FW24" s="39">
        <f t="shared" si="559"/>
        <v>25.137775229223958</v>
      </c>
      <c r="FX24" s="153"/>
      <c r="FY24" s="552">
        <v>12</v>
      </c>
      <c r="FZ24" s="39">
        <f>FW156</f>
        <v>25.915697127960755</v>
      </c>
      <c r="GA24" s="39">
        <f t="shared" si="379"/>
        <v>0.91569712796075464</v>
      </c>
      <c r="GB24" s="386">
        <f t="shared" si="380"/>
        <v>3.6627885118430292E-2</v>
      </c>
      <c r="GD24" s="1155" t="s">
        <v>2417</v>
      </c>
      <c r="GE24" s="144"/>
    </row>
    <row r="25" spans="2:191" ht="13.5" thickBot="1">
      <c r="B25" s="1122">
        <f>B23/B19</f>
        <v>0.36517199017199015</v>
      </c>
      <c r="C25" s="1167">
        <f>B23/B17</f>
        <v>3.580246913580247E-2</v>
      </c>
      <c r="D25" s="51"/>
      <c r="E25" s="102"/>
      <c r="F25" s="103"/>
      <c r="G25" s="102"/>
      <c r="H25" s="102"/>
      <c r="I25" s="102"/>
      <c r="J25" s="141"/>
      <c r="K25" s="102"/>
      <c r="L25" s="102"/>
      <c r="M25" s="377"/>
      <c r="N25" s="136"/>
      <c r="P25" s="59"/>
      <c r="Q25" s="59"/>
      <c r="R25" s="60"/>
      <c r="S25" s="55"/>
      <c r="T25" s="380"/>
      <c r="U25" s="55"/>
      <c r="V25" s="61"/>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693" t="s">
        <v>1381</v>
      </c>
      <c r="BA25" s="172">
        <f t="shared" si="452"/>
        <v>0</v>
      </c>
      <c r="BB25" s="82">
        <f>SUMIF($BO:$BO,"=Nov",$BJ:$BJ)+SUMIF($BP:$BP,"=Nov",$BJ:$BJ)+SUMIF($BQ:$BQ,"=Nov",$BJ:$BJ)</f>
        <v>0</v>
      </c>
      <c r="BC25" s="62"/>
      <c r="BD25" s="62"/>
      <c r="BE25" s="62"/>
      <c r="BF25" s="62"/>
      <c r="BG25" s="62"/>
      <c r="BH25" s="62"/>
      <c r="BI25" s="62"/>
      <c r="BJ25" s="62"/>
      <c r="BK25" s="62"/>
      <c r="BL25" s="62"/>
      <c r="BM25" s="62"/>
      <c r="BN25" s="62"/>
      <c r="BO25" s="62"/>
      <c r="BP25" s="62"/>
      <c r="BQ25" s="62"/>
      <c r="BR25" s="38"/>
      <c r="BS25" s="38"/>
      <c r="BT25" s="693" t="s">
        <v>1381</v>
      </c>
      <c r="BU25" s="172">
        <f t="shared" si="427"/>
        <v>18</v>
      </c>
      <c r="BV25" s="82">
        <f>SUMIF($CI:$CI,"=Nov",$CD:$CD)+SUMIF($CJ:$CJ,"=Nov",$CD:$CD)</f>
        <v>20.375</v>
      </c>
      <c r="BW25" s="59">
        <v>100</v>
      </c>
      <c r="BX25" s="3">
        <f>9+(11/12)</f>
        <v>9.9166666666666661</v>
      </c>
      <c r="BY25" s="55">
        <v>42262</v>
      </c>
      <c r="BZ25" s="55">
        <f t="shared" si="381"/>
        <v>45884.0625</v>
      </c>
      <c r="CA25" s="55">
        <v>42231</v>
      </c>
      <c r="CB25" s="1" t="s">
        <v>1456</v>
      </c>
      <c r="CC25" s="160">
        <v>0.02</v>
      </c>
      <c r="CD25" s="165">
        <f t="shared" si="487"/>
        <v>1</v>
      </c>
      <c r="CE25" s="163">
        <f t="shared" si="407"/>
        <v>2</v>
      </c>
      <c r="CF25" s="39">
        <f t="shared" si="408"/>
        <v>19.833333333333332</v>
      </c>
      <c r="CG25" s="73">
        <f t="shared" si="409"/>
        <v>119.83333333333333</v>
      </c>
      <c r="CH25" s="73">
        <f t="shared" si="488"/>
        <v>0.16666666666666666</v>
      </c>
      <c r="CI25" s="54" t="str">
        <f t="shared" si="430"/>
        <v>Feb</v>
      </c>
      <c r="CJ25" s="54" t="str">
        <f t="shared" si="431"/>
        <v>Aug</v>
      </c>
      <c r="CK25" s="62"/>
      <c r="CL25" s="693" t="s">
        <v>1381</v>
      </c>
      <c r="CM25" s="172">
        <f t="shared" si="432"/>
        <v>23</v>
      </c>
      <c r="CN25" s="82">
        <f>SUMIF($DA:$DA,"=Nov",$CV:$CV)+SUMIF($DB:$DB,"=Nov",$CV:$CV)</f>
        <v>56.25</v>
      </c>
      <c r="CO25" s="59">
        <v>100</v>
      </c>
      <c r="CP25" s="3">
        <f>29+(10/12)</f>
        <v>29.833333333333332</v>
      </c>
      <c r="CQ25" s="55">
        <v>42109</v>
      </c>
      <c r="CR25" s="55">
        <f t="shared" si="329"/>
        <v>53005.625</v>
      </c>
      <c r="CS25" s="55">
        <v>42050</v>
      </c>
      <c r="CT25" s="23" t="s">
        <v>1197</v>
      </c>
      <c r="CU25" s="160">
        <v>2.5000000000000001E-2</v>
      </c>
      <c r="CV25" s="165">
        <f t="shared" ref="CV25" si="584">CW25/2</f>
        <v>1.25</v>
      </c>
      <c r="CW25" s="163">
        <f t="shared" ref="CW25" si="585">CO25*CU25</f>
        <v>2.5</v>
      </c>
      <c r="CX25" s="73">
        <f t="shared" ref="CX25" si="586">CP25*CW25</f>
        <v>74.583333333333329</v>
      </c>
      <c r="CY25" s="203">
        <f t="shared" ref="CY25" si="587">CO25+CX25</f>
        <v>174.58333333333331</v>
      </c>
      <c r="CZ25" s="203">
        <f t="shared" si="575"/>
        <v>0.20833333333333334</v>
      </c>
      <c r="DA25" s="54" t="str">
        <f t="shared" si="361"/>
        <v>Aug</v>
      </c>
      <c r="DB25" s="54" t="str">
        <f t="shared" si="362"/>
        <v>Feb</v>
      </c>
      <c r="DC25" s="62"/>
      <c r="DD25" s="693" t="s">
        <v>1381</v>
      </c>
      <c r="DE25" s="172">
        <f t="shared" si="438"/>
        <v>0</v>
      </c>
      <c r="DF25" s="82">
        <f>SUMIF($DS:$DS,"=Nov",$DN:$DN)+SUMIF($DT:$DT,"Nov",$DN:$DN)</f>
        <v>0</v>
      </c>
      <c r="DG25" s="59">
        <v>100</v>
      </c>
      <c r="DH25" s="3">
        <f>29+(4/12)</f>
        <v>29.333333333333332</v>
      </c>
      <c r="DI25" s="55">
        <v>41943</v>
      </c>
      <c r="DJ25" s="55">
        <f t="shared" si="306"/>
        <v>52657</v>
      </c>
      <c r="DK25" s="55">
        <v>41866</v>
      </c>
      <c r="DL25" s="1" t="s">
        <v>704</v>
      </c>
      <c r="DM25" s="160">
        <v>1.375E-2</v>
      </c>
      <c r="DN25" s="165">
        <f t="shared" ref="DN25:DN30" si="588">DO25/2</f>
        <v>0.70977499999999993</v>
      </c>
      <c r="DO25" s="163">
        <f t="shared" si="308"/>
        <v>1.4195499999999999</v>
      </c>
      <c r="DP25" s="73">
        <f t="shared" si="309"/>
        <v>41.640133333333331</v>
      </c>
      <c r="DQ25" s="203">
        <f t="shared" si="336"/>
        <v>144.88013333333333</v>
      </c>
      <c r="DR25" s="203">
        <f>DO25/12</f>
        <v>0.11829583333333332</v>
      </c>
      <c r="DS25" s="54" t="str">
        <f t="shared" si="337"/>
        <v>Feb</v>
      </c>
      <c r="DT25" s="54" t="str">
        <f t="shared" si="338"/>
        <v>Aug</v>
      </c>
      <c r="DU25" s="44">
        <v>103.24</v>
      </c>
      <c r="DV25" s="579">
        <v>42597</v>
      </c>
      <c r="DW25" s="40">
        <f t="shared" si="462"/>
        <v>3.2399999999999984E-2</v>
      </c>
      <c r="DX25" s="39">
        <f t="shared" si="339"/>
        <v>3.2399999999999949</v>
      </c>
      <c r="DY25" s="355">
        <f t="shared" si="311"/>
        <v>654</v>
      </c>
      <c r="DZ25" s="39">
        <f t="shared" si="312"/>
        <v>4.9541284403669646E-3</v>
      </c>
      <c r="EA25" s="62"/>
      <c r="EB25" s="212" t="s">
        <v>441</v>
      </c>
      <c r="EC25" s="380">
        <f t="shared" ca="1" si="83"/>
        <v>0</v>
      </c>
      <c r="ED25" s="73">
        <v>60</v>
      </c>
      <c r="EE25" s="38">
        <v>30</v>
      </c>
      <c r="EF25" s="54">
        <v>42370</v>
      </c>
      <c r="EG25" s="55">
        <f t="shared" si="393"/>
        <v>53327.5</v>
      </c>
      <c r="EH25" s="61" t="s">
        <v>122</v>
      </c>
      <c r="EI25" s="61">
        <f t="shared" ca="1" si="394"/>
        <v>13</v>
      </c>
      <c r="EJ25" s="747" t="s">
        <v>1534</v>
      </c>
      <c r="EK25" s="39">
        <v>60.05</v>
      </c>
      <c r="EL25" s="39">
        <f t="shared" si="480"/>
        <v>4.9999999999997158E-2</v>
      </c>
      <c r="EM25" s="40">
        <f t="shared" ref="EM25" si="589">EK25/ED25-1</f>
        <v>8.3333333333324155E-4</v>
      </c>
      <c r="EN25" s="39">
        <f t="shared" ca="1" si="465"/>
        <v>3.8461538461536274E-3</v>
      </c>
      <c r="EO25" s="43">
        <f t="shared" ca="1" si="397"/>
        <v>1</v>
      </c>
      <c r="EP25" s="39">
        <f t="shared" ca="1" si="398"/>
        <v>62.295552481331114</v>
      </c>
      <c r="EQ25" s="39">
        <f t="shared" ca="1" si="466"/>
        <v>2.2955524813311143</v>
      </c>
      <c r="ER25" s="153">
        <f t="shared" ca="1" si="467"/>
        <v>0.17658096010239341</v>
      </c>
      <c r="ET25" s="37"/>
      <c r="EU25" s="1360">
        <f t="shared" ca="1" si="90"/>
        <v>0</v>
      </c>
      <c r="EV25" s="173">
        <v>0</v>
      </c>
      <c r="EW25" s="747">
        <v>30</v>
      </c>
      <c r="EX25" s="55">
        <v>42917</v>
      </c>
      <c r="EY25" s="55">
        <f t="shared" ref="EY25" si="590">EX25+EW25*365.25</f>
        <v>53874.5</v>
      </c>
      <c r="EZ25" s="61">
        <f t="shared" ref="EZ25" ca="1" si="591">IF(EX25&gt;$G$1,0,DATEDIF(EX25,$G$1,"M"))</f>
        <v>0</v>
      </c>
      <c r="FA25" s="37" t="s">
        <v>2566</v>
      </c>
      <c r="FB25" s="39">
        <v>0</v>
      </c>
      <c r="FC25" s="39">
        <f t="shared" ref="FC25" si="592">FB25-EV25</f>
        <v>0</v>
      </c>
      <c r="FD25" s="40" t="e">
        <f t="shared" ref="FD25" si="593">FB25/EV25-1</f>
        <v>#DIV/0!</v>
      </c>
      <c r="FE25" s="39"/>
      <c r="FF25" s="43">
        <f t="shared" ref="FF25" ca="1" si="594">IF(EX25&lt;$G$1-365.25,1,0)</f>
        <v>0</v>
      </c>
      <c r="FH25" s="192">
        <v>8</v>
      </c>
      <c r="FI25" s="149">
        <f t="shared" si="516"/>
        <v>4200</v>
      </c>
      <c r="FJ25" s="82">
        <f t="shared" si="517"/>
        <v>5589.8775455995556</v>
      </c>
      <c r="FK25" s="375"/>
      <c r="FL25" s="73">
        <f t="shared" si="531"/>
        <v>33600</v>
      </c>
      <c r="FM25" s="39">
        <f t="shared" si="532"/>
        <v>49285.744767971584</v>
      </c>
      <c r="FN25" s="679">
        <f t="shared" si="518"/>
        <v>0.46683764190391619</v>
      </c>
      <c r="FO25" s="40"/>
      <c r="FR25" s="438"/>
      <c r="FS25" s="550">
        <v>2</v>
      </c>
      <c r="FT25" s="58">
        <v>2</v>
      </c>
      <c r="FU25" s="38">
        <v>5</v>
      </c>
      <c r="FV25" s="38">
        <f t="shared" si="451"/>
        <v>1.001249843841072</v>
      </c>
      <c r="FW25" s="39">
        <f t="shared" si="559"/>
        <v>25.144055748850526</v>
      </c>
      <c r="FX25" s="153"/>
      <c r="FY25" s="552">
        <v>13</v>
      </c>
      <c r="FZ25" s="39">
        <f>FW169</f>
        <v>25.993502529663179</v>
      </c>
      <c r="GA25" s="39">
        <f t="shared" si="379"/>
        <v>0.99350252966317854</v>
      </c>
      <c r="GB25" s="386">
        <f t="shared" si="380"/>
        <v>3.9740101186527044E-2</v>
      </c>
      <c r="GD25" s="105" t="s">
        <v>2147</v>
      </c>
      <c r="GE25" s="1108"/>
      <c r="GF25" s="111"/>
      <c r="GG25" s="112"/>
    </row>
    <row r="26" spans="2:191" ht="13.5" thickBot="1">
      <c r="M26" s="91"/>
      <c r="N26" s="172"/>
      <c r="P26" s="59"/>
      <c r="Q26" s="59"/>
      <c r="R26" s="60"/>
      <c r="S26" s="55"/>
      <c r="T26" s="380"/>
      <c r="U26" s="55"/>
      <c r="V26" s="61"/>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693" t="s">
        <v>1382</v>
      </c>
      <c r="BA26" s="172">
        <f t="shared" si="452"/>
        <v>0</v>
      </c>
      <c r="BB26" s="82">
        <f>SUMIF($BO:$BO,"=Dec",$BJ:$BJ)+SUMIF($BP:$BP,"=Dec",$BJ:$BJ)+SUMIF($BQ:$BQ,"=Dec",$BJ:$BJ)</f>
        <v>0</v>
      </c>
      <c r="BC26" s="62"/>
      <c r="BD26" s="62"/>
      <c r="BE26" s="62"/>
      <c r="BF26" s="62"/>
      <c r="BG26" s="62"/>
      <c r="BH26" s="62"/>
      <c r="BI26" s="62"/>
      <c r="BJ26" s="62"/>
      <c r="BK26" s="62"/>
      <c r="BL26" s="62"/>
      <c r="BM26" s="62"/>
      <c r="BN26" s="62"/>
      <c r="BO26" s="62"/>
      <c r="BP26" s="62"/>
      <c r="BQ26" s="62"/>
      <c r="BR26" s="38"/>
      <c r="BS26" s="38"/>
      <c r="BT26" s="693" t="s">
        <v>1382</v>
      </c>
      <c r="BU26" s="172">
        <f t="shared" si="427"/>
        <v>2</v>
      </c>
      <c r="BV26" s="82">
        <f>SUMIF($CI:$CI,"=Dec",$CD:$CD)+SUMIF($CJ:$CJ,"=Dec",$CD:$CD)</f>
        <v>1.9375</v>
      </c>
      <c r="BW26" s="59">
        <v>100</v>
      </c>
      <c r="BX26" s="3">
        <v>10</v>
      </c>
      <c r="BY26" s="55">
        <v>42233</v>
      </c>
      <c r="BZ26" s="55">
        <f t="shared" si="381"/>
        <v>45885.5</v>
      </c>
      <c r="CA26" s="55">
        <v>42231</v>
      </c>
      <c r="CB26" s="1" t="s">
        <v>1437</v>
      </c>
      <c r="CC26" s="160">
        <v>0.02</v>
      </c>
      <c r="CD26" s="165">
        <f t="shared" si="487"/>
        <v>1</v>
      </c>
      <c r="CE26" s="163">
        <f t="shared" si="407"/>
        <v>2</v>
      </c>
      <c r="CF26" s="39">
        <f t="shared" si="408"/>
        <v>20</v>
      </c>
      <c r="CG26" s="73">
        <f t="shared" si="409"/>
        <v>120</v>
      </c>
      <c r="CH26" s="73">
        <f t="shared" si="488"/>
        <v>0.16666666666666666</v>
      </c>
      <c r="CI26" s="54" t="str">
        <f t="shared" si="430"/>
        <v>Feb</v>
      </c>
      <c r="CJ26" s="54" t="str">
        <f t="shared" si="431"/>
        <v>Aug</v>
      </c>
      <c r="CK26" s="62"/>
      <c r="CL26" s="693" t="s">
        <v>1382</v>
      </c>
      <c r="CM26" s="172">
        <f t="shared" si="432"/>
        <v>0</v>
      </c>
      <c r="CN26" s="82">
        <f>SUMIF($DA:$DA,"=Dec",$CV:$CV)+SUMIF($DB:$DB,"=Dec",$CV:$CV)</f>
        <v>0</v>
      </c>
      <c r="CO26" s="59">
        <v>200</v>
      </c>
      <c r="CP26" s="3">
        <f>29+(11/12)</f>
        <v>29.916666666666668</v>
      </c>
      <c r="CQ26" s="55">
        <v>42079</v>
      </c>
      <c r="CR26" s="55">
        <f t="shared" si="329"/>
        <v>53006.0625</v>
      </c>
      <c r="CS26" s="55">
        <v>42050</v>
      </c>
      <c r="CT26" s="23" t="s">
        <v>1134</v>
      </c>
      <c r="CU26" s="160">
        <v>2.5000000000000001E-2</v>
      </c>
      <c r="CV26" s="165">
        <f t="shared" ref="CV26" si="595">CW26/2</f>
        <v>2.5</v>
      </c>
      <c r="CW26" s="163">
        <f t="shared" ref="CW26" si="596">CO26*CU26</f>
        <v>5</v>
      </c>
      <c r="CX26" s="73">
        <f t="shared" ref="CX26" si="597">CP26*CW26</f>
        <v>149.58333333333334</v>
      </c>
      <c r="CY26" s="203">
        <f t="shared" ref="CY26" si="598">CO26+CX26</f>
        <v>349.58333333333337</v>
      </c>
      <c r="CZ26" s="203">
        <f t="shared" si="575"/>
        <v>0.41666666666666669</v>
      </c>
      <c r="DA26" s="54" t="str">
        <f t="shared" si="361"/>
        <v>Aug</v>
      </c>
      <c r="DB26" s="54" t="str">
        <f t="shared" si="362"/>
        <v>Feb</v>
      </c>
      <c r="DC26" s="62"/>
      <c r="DD26" s="693" t="s">
        <v>1382</v>
      </c>
      <c r="DE26" s="172">
        <f t="shared" si="438"/>
        <v>2</v>
      </c>
      <c r="DF26" s="82">
        <f>SUMIF($DS:$DS,"=Dec",$DN:$DN)+SUMIF($DT:$DT,"=Dec",$DN:$DN)</f>
        <v>0.6875</v>
      </c>
      <c r="DG26" s="59">
        <v>100</v>
      </c>
      <c r="DH26" s="3">
        <f>9+(10/12)</f>
        <v>9.8333333333333339</v>
      </c>
      <c r="DI26" s="55">
        <v>41912</v>
      </c>
      <c r="DJ26" s="55">
        <f t="shared" si="306"/>
        <v>45503.625</v>
      </c>
      <c r="DK26" s="55">
        <v>41835</v>
      </c>
      <c r="DL26" s="1" t="s">
        <v>662</v>
      </c>
      <c r="DM26" s="160">
        <v>1.25E-3</v>
      </c>
      <c r="DN26" s="165">
        <f t="shared" si="588"/>
        <v>6.3575000000000007E-2</v>
      </c>
      <c r="DO26" s="163">
        <f t="shared" si="308"/>
        <v>0.12715000000000001</v>
      </c>
      <c r="DP26" s="73">
        <f t="shared" si="309"/>
        <v>1.2503083333333336</v>
      </c>
      <c r="DQ26" s="203">
        <f t="shared" si="336"/>
        <v>102.97030833333334</v>
      </c>
      <c r="DR26" s="203">
        <f>DO26/12</f>
        <v>1.0595833333333334E-2</v>
      </c>
      <c r="DS26" s="54" t="str">
        <f t="shared" si="337"/>
        <v>Jan</v>
      </c>
      <c r="DT26" s="54" t="str">
        <f t="shared" si="338"/>
        <v>Jul</v>
      </c>
      <c r="DU26" s="44">
        <v>101.72</v>
      </c>
      <c r="DV26" s="579">
        <v>42752</v>
      </c>
      <c r="DW26" s="40">
        <f t="shared" si="462"/>
        <v>1.7199999999999882E-2</v>
      </c>
      <c r="DX26" s="39">
        <f t="shared" si="339"/>
        <v>1.7199999999999989</v>
      </c>
      <c r="DY26" s="355">
        <f t="shared" si="311"/>
        <v>840</v>
      </c>
      <c r="DZ26" s="39">
        <f t="shared" si="312"/>
        <v>2.0476190476190464E-3</v>
      </c>
      <c r="EA26" s="62"/>
      <c r="EB26" s="37">
        <f ca="1">SUMPRODUCT(EK:EK,EO:EO)</f>
        <v>2380.3900000000008</v>
      </c>
      <c r="EC26" s="380">
        <f t="shared" ca="1" si="83"/>
        <v>0</v>
      </c>
      <c r="ED26" s="73">
        <v>40</v>
      </c>
      <c r="EE26" s="38">
        <v>30</v>
      </c>
      <c r="EF26" s="54">
        <v>42339</v>
      </c>
      <c r="EG26" s="55">
        <f t="shared" si="393"/>
        <v>53296.5</v>
      </c>
      <c r="EH26" s="61" t="s">
        <v>122</v>
      </c>
      <c r="EI26" s="61">
        <f t="shared" ca="1" si="394"/>
        <v>14</v>
      </c>
      <c r="EJ26" s="38" t="s">
        <v>801</v>
      </c>
      <c r="EK26" s="39">
        <v>40.06</v>
      </c>
      <c r="EL26" s="39">
        <f t="shared" si="480"/>
        <v>6.0000000000002274E-2</v>
      </c>
      <c r="EM26" s="40">
        <f t="shared" ref="EM26:EM41" si="599">EK26/ED26-1</f>
        <v>1.5000000000000568E-3</v>
      </c>
      <c r="EN26" s="39">
        <f t="shared" ca="1" si="465"/>
        <v>4.2857142857144481E-3</v>
      </c>
      <c r="EO26" s="43">
        <f t="shared" ca="1" si="397"/>
        <v>1</v>
      </c>
      <c r="EP26" s="39">
        <f t="shared" ca="1" si="398"/>
        <v>41.650486101392261</v>
      </c>
      <c r="EQ26" s="39">
        <f t="shared" ca="1" si="466"/>
        <v>1.6504861013922607</v>
      </c>
      <c r="ER26" s="153">
        <f t="shared" ca="1" si="467"/>
        <v>0.11789186438516149</v>
      </c>
      <c r="ET26" s="37"/>
      <c r="EU26" s="1360">
        <f t="shared" ca="1" si="90"/>
        <v>0</v>
      </c>
      <c r="EV26" s="173">
        <v>0</v>
      </c>
      <c r="EW26" s="747">
        <v>30</v>
      </c>
      <c r="EX26" s="55">
        <v>42917</v>
      </c>
      <c r="EY26" s="55">
        <f t="shared" ref="EY26" si="600">EX26+EW26*365.25</f>
        <v>53874.5</v>
      </c>
      <c r="EZ26" s="61">
        <f t="shared" ref="EZ26" ca="1" si="601">IF(EX26&gt;$G$1,0,DATEDIF(EX26,$G$1,"M"))</f>
        <v>0</v>
      </c>
      <c r="FA26" s="37" t="s">
        <v>2565</v>
      </c>
      <c r="FB26" s="39">
        <v>0</v>
      </c>
      <c r="FC26" s="39">
        <f t="shared" ref="FC26" si="602">FB26-EV26</f>
        <v>0</v>
      </c>
      <c r="FD26" s="40" t="e">
        <f t="shared" ref="FD26" si="603">FB26/EV26-1</f>
        <v>#DIV/0!</v>
      </c>
      <c r="FE26" s="39"/>
      <c r="FF26" s="43">
        <f t="shared" ref="FF26" ca="1" si="604">IF(EX26&lt;$G$1-365.25,1,0)</f>
        <v>0</v>
      </c>
      <c r="FH26" s="150">
        <v>9</v>
      </c>
      <c r="FI26" s="149">
        <f t="shared" si="516"/>
        <v>4200</v>
      </c>
      <c r="FJ26" s="82">
        <f t="shared" si="517"/>
        <v>5439.7407022183297</v>
      </c>
      <c r="FK26" s="375"/>
      <c r="FL26" s="73">
        <f t="shared" si="531"/>
        <v>37800</v>
      </c>
      <c r="FM26" s="39">
        <f t="shared" si="532"/>
        <v>54725.485470189917</v>
      </c>
      <c r="FN26" s="679">
        <f t="shared" si="518"/>
        <v>0.44776416587804002</v>
      </c>
      <c r="FO26" s="40"/>
      <c r="FR26" s="438"/>
      <c r="FS26" s="550">
        <v>2</v>
      </c>
      <c r="FT26" s="58">
        <v>2</v>
      </c>
      <c r="FU26" s="38">
        <v>6</v>
      </c>
      <c r="FV26" s="38">
        <f t="shared" si="451"/>
        <v>1.0015000000000001</v>
      </c>
      <c r="FW26" s="39">
        <f t="shared" si="559"/>
        <v>25.150337837626569</v>
      </c>
      <c r="FX26" s="153"/>
      <c r="FY26" s="552">
        <v>14</v>
      </c>
      <c r="FZ26" s="39">
        <f>FW182</f>
        <v>26.071541522632863</v>
      </c>
      <c r="GA26" s="39">
        <f t="shared" si="379"/>
        <v>1.0715415226328631</v>
      </c>
      <c r="GB26" s="386">
        <f t="shared" si="380"/>
        <v>4.2861660905314514E-2</v>
      </c>
      <c r="GD26" s="1112" t="s">
        <v>2415</v>
      </c>
      <c r="GE26" s="1109"/>
      <c r="GF26" s="114"/>
      <c r="GG26" s="115"/>
    </row>
    <row r="27" spans="2:191" ht="13.5" thickBot="1">
      <c r="B27" s="1347" t="s">
        <v>2631</v>
      </c>
      <c r="C27" s="112"/>
      <c r="D27" s="1334" t="s">
        <v>576</v>
      </c>
      <c r="E27" s="1281" t="s">
        <v>1533</v>
      </c>
      <c r="F27" s="1281"/>
      <c r="G27" s="106"/>
      <c r="H27" s="96"/>
      <c r="I27" s="96"/>
      <c r="J27" s="96"/>
      <c r="K27" s="96"/>
      <c r="O27" s="1027"/>
      <c r="P27" s="596"/>
      <c r="Q27" s="59"/>
      <c r="R27" s="60"/>
      <c r="S27" s="55"/>
      <c r="T27" s="380"/>
      <c r="U27" s="55"/>
      <c r="V27" s="61"/>
      <c r="W27" s="38"/>
      <c r="X27" s="38"/>
      <c r="Y27" s="38"/>
      <c r="Z27" s="38"/>
      <c r="AA27" s="38"/>
      <c r="AB27" s="38"/>
      <c r="AC27" s="38"/>
      <c r="AD27" s="38"/>
      <c r="AE27" s="38"/>
      <c r="AF27" s="38"/>
      <c r="AG27" s="62"/>
      <c r="AH27" s="62"/>
      <c r="AI27" s="62"/>
      <c r="AJ27" s="62"/>
      <c r="AK27" s="62"/>
      <c r="AL27" s="62"/>
      <c r="AM27" s="62"/>
      <c r="AN27" s="62"/>
      <c r="AO27" s="62"/>
      <c r="AP27" s="62"/>
      <c r="AQ27" s="62"/>
      <c r="AR27" s="62"/>
      <c r="AS27" s="62"/>
      <c r="AT27" s="62"/>
      <c r="AU27" s="62"/>
      <c r="AV27" s="62"/>
      <c r="AW27" s="62"/>
      <c r="AX27" s="62"/>
      <c r="AY27" s="62"/>
      <c r="AZ27" s="546" t="s">
        <v>8</v>
      </c>
      <c r="BA27" s="697">
        <f>SUM(BA15:BA26)</f>
        <v>9</v>
      </c>
      <c r="BB27" s="379">
        <f>SUM(BB15:BB26)</f>
        <v>0.22499999999999998</v>
      </c>
      <c r="BC27" s="62"/>
      <c r="BD27" s="62"/>
      <c r="BE27" s="62"/>
      <c r="BF27" s="62"/>
      <c r="BG27" s="62"/>
      <c r="BH27" s="62"/>
      <c r="BI27" s="62"/>
      <c r="BJ27" s="62"/>
      <c r="BK27" s="62"/>
      <c r="BL27" s="62"/>
      <c r="BM27" s="62"/>
      <c r="BN27" s="62"/>
      <c r="BO27" s="62"/>
      <c r="BP27" s="62"/>
      <c r="BQ27" s="62"/>
      <c r="BR27" s="62"/>
      <c r="BS27" s="62"/>
      <c r="BT27" s="546" t="s">
        <v>8</v>
      </c>
      <c r="BU27" s="697">
        <f>SUM(BU15:BU26)</f>
        <v>84</v>
      </c>
      <c r="BV27" s="379">
        <f>SUM(BV15:BV26)</f>
        <v>83</v>
      </c>
      <c r="BW27" s="59">
        <v>100</v>
      </c>
      <c r="BX27" s="3">
        <f>9+(10/12)</f>
        <v>9.8333333333333339</v>
      </c>
      <c r="BY27" s="55">
        <v>42200</v>
      </c>
      <c r="BZ27" s="55">
        <f t="shared" si="381"/>
        <v>45791.625</v>
      </c>
      <c r="CA27" s="55">
        <v>42139</v>
      </c>
      <c r="CB27" s="1" t="s">
        <v>1436</v>
      </c>
      <c r="CC27" s="160">
        <v>2.1250000000000002E-2</v>
      </c>
      <c r="CD27" s="165">
        <f t="shared" si="487"/>
        <v>1.0625</v>
      </c>
      <c r="CE27" s="163">
        <f t="shared" si="407"/>
        <v>2.125</v>
      </c>
      <c r="CF27" s="39">
        <f t="shared" si="408"/>
        <v>20.895833333333336</v>
      </c>
      <c r="CG27" s="73">
        <f t="shared" si="409"/>
        <v>120.89583333333334</v>
      </c>
      <c r="CH27" s="73">
        <f t="shared" si="488"/>
        <v>0.17708333333333334</v>
      </c>
      <c r="CI27" s="54" t="str">
        <f t="shared" si="430"/>
        <v>Nov</v>
      </c>
      <c r="CJ27" s="54" t="str">
        <f t="shared" si="431"/>
        <v>May</v>
      </c>
      <c r="CK27" s="62"/>
      <c r="CL27" s="546" t="s">
        <v>8</v>
      </c>
      <c r="CM27" s="698">
        <f>SUM(CM15:CM26)</f>
        <v>88</v>
      </c>
      <c r="CN27" s="88">
        <f>SUM(CN15:CN26)</f>
        <v>207.375</v>
      </c>
      <c r="CO27" s="59">
        <v>200</v>
      </c>
      <c r="CP27" s="3">
        <v>30</v>
      </c>
      <c r="CQ27" s="55">
        <v>42052</v>
      </c>
      <c r="CR27" s="55">
        <f t="shared" si="329"/>
        <v>53009.5</v>
      </c>
      <c r="CS27" s="55">
        <v>42050</v>
      </c>
      <c r="CT27" s="23" t="s">
        <v>873</v>
      </c>
      <c r="CU27" s="160">
        <v>2.5000000000000001E-2</v>
      </c>
      <c r="CV27" s="165">
        <f t="shared" ref="CV27" si="605">CW27/2</f>
        <v>2.5</v>
      </c>
      <c r="CW27" s="163">
        <f t="shared" ref="CW27" si="606">CO27*CU27</f>
        <v>5</v>
      </c>
      <c r="CX27" s="73">
        <f t="shared" ref="CX27" si="607">CP27*CW27</f>
        <v>150</v>
      </c>
      <c r="CY27" s="203">
        <f t="shared" ref="CY27" si="608">CO27+CX27</f>
        <v>350</v>
      </c>
      <c r="CZ27" s="203">
        <f t="shared" si="575"/>
        <v>0.41666666666666669</v>
      </c>
      <c r="DA27" s="54" t="str">
        <f t="shared" si="361"/>
        <v>Aug</v>
      </c>
      <c r="DB27" s="54" t="str">
        <f t="shared" si="362"/>
        <v>Feb</v>
      </c>
      <c r="DC27" s="62"/>
      <c r="DD27" s="546" t="s">
        <v>8</v>
      </c>
      <c r="DE27" s="698">
        <f>SUM(DE15:DE26)</f>
        <v>70</v>
      </c>
      <c r="DF27" s="88">
        <f>SUM(DF15:DF26)</f>
        <v>23.205150000000003</v>
      </c>
      <c r="DG27" s="59">
        <v>100</v>
      </c>
      <c r="DH27" s="3">
        <f>29+(8/12)</f>
        <v>29.666666666666668</v>
      </c>
      <c r="DI27" s="55">
        <v>41820</v>
      </c>
      <c r="DJ27" s="55">
        <f t="shared" si="306"/>
        <v>52655.75</v>
      </c>
      <c r="DK27" s="55">
        <v>41685</v>
      </c>
      <c r="DL27" s="1" t="s">
        <v>567</v>
      </c>
      <c r="DM27" s="160">
        <v>1.375E-2</v>
      </c>
      <c r="DN27" s="165">
        <f t="shared" si="588"/>
        <v>0.70977499999999993</v>
      </c>
      <c r="DO27" s="163">
        <f t="shared" si="308"/>
        <v>1.4195499999999999</v>
      </c>
      <c r="DP27" s="73">
        <f t="shared" si="309"/>
        <v>42.113316666666663</v>
      </c>
      <c r="DQ27" s="203">
        <f t="shared" si="336"/>
        <v>145.35331666666667</v>
      </c>
      <c r="DR27" s="203">
        <f>DO27/12</f>
        <v>0.11829583333333332</v>
      </c>
      <c r="DS27" s="54" t="str">
        <f t="shared" si="337"/>
        <v>Aug</v>
      </c>
      <c r="DT27" s="54" t="str">
        <f t="shared" si="338"/>
        <v>Feb</v>
      </c>
      <c r="DU27" s="44">
        <v>103.24</v>
      </c>
      <c r="DV27" s="579">
        <v>42597</v>
      </c>
      <c r="DW27" s="40">
        <f t="shared" si="462"/>
        <v>3.2399999999999984E-2</v>
      </c>
      <c r="DX27" s="39">
        <f t="shared" si="339"/>
        <v>3.2399999999999949</v>
      </c>
      <c r="DY27" s="355">
        <f t="shared" si="311"/>
        <v>777</v>
      </c>
      <c r="DZ27" s="39">
        <f t="shared" si="312"/>
        <v>4.1698841698841636E-3</v>
      </c>
      <c r="EA27" s="62"/>
      <c r="EB27" s="37">
        <f ca="1">SUMPRODUCT(ED:ED,EO:EO)</f>
        <v>2365</v>
      </c>
      <c r="EC27" s="380">
        <f t="shared" ca="1" si="83"/>
        <v>0</v>
      </c>
      <c r="ED27" s="73">
        <v>40</v>
      </c>
      <c r="EE27" s="38">
        <v>30</v>
      </c>
      <c r="EF27" s="54">
        <v>42309</v>
      </c>
      <c r="EG27" s="55">
        <f t="shared" si="393"/>
        <v>53266.5</v>
      </c>
      <c r="EH27" s="61" t="s">
        <v>122</v>
      </c>
      <c r="EI27" s="61">
        <f t="shared" ca="1" si="394"/>
        <v>15</v>
      </c>
      <c r="EJ27" s="38" t="s">
        <v>800</v>
      </c>
      <c r="EK27" s="39">
        <v>40.06</v>
      </c>
      <c r="EL27" s="39">
        <f t="shared" si="480"/>
        <v>6.0000000000002274E-2</v>
      </c>
      <c r="EM27" s="40">
        <f t="shared" si="599"/>
        <v>1.5000000000000568E-3</v>
      </c>
      <c r="EN27" s="39">
        <f t="shared" ca="1" si="465"/>
        <v>4.0000000000001519E-3</v>
      </c>
      <c r="EO27" s="43">
        <f t="shared" ca="1" si="397"/>
        <v>1</v>
      </c>
      <c r="EP27" s="39">
        <f t="shared" ca="1" si="398"/>
        <v>41.770951297096559</v>
      </c>
      <c r="EQ27" s="39">
        <f t="shared" ca="1" si="466"/>
        <v>1.7709512970965591</v>
      </c>
      <c r="ER27" s="153">
        <f t="shared" ca="1" si="467"/>
        <v>0.11806341980643727</v>
      </c>
      <c r="ET27" s="3"/>
      <c r="EU27" s="1360">
        <f t="shared" ca="1" si="90"/>
        <v>0</v>
      </c>
      <c r="EV27" s="173">
        <v>0</v>
      </c>
      <c r="EW27" s="747">
        <v>30</v>
      </c>
      <c r="EX27" s="55">
        <v>42917</v>
      </c>
      <c r="EY27" s="55">
        <f t="shared" ref="EY27" si="609">EX27+EW27*365.25</f>
        <v>53874.5</v>
      </c>
      <c r="EZ27" s="61">
        <f t="shared" ref="EZ27" ca="1" si="610">IF(EX27&gt;$G$1,0,DATEDIF(EX27,$G$1,"M"))</f>
        <v>0</v>
      </c>
      <c r="FA27" s="37" t="s">
        <v>2564</v>
      </c>
      <c r="FB27" s="39">
        <v>0</v>
      </c>
      <c r="FC27" s="39">
        <f t="shared" ref="FC27" si="611">FB27-EV27</f>
        <v>0</v>
      </c>
      <c r="FD27" s="40" t="e">
        <f t="shared" ref="FD27" si="612">FB27/EV27-1</f>
        <v>#DIV/0!</v>
      </c>
      <c r="FE27" s="39"/>
      <c r="FF27" s="43">
        <f t="shared" ref="FF27" ca="1" si="613">IF(EX27&lt;$G$1-365.25,1,0)</f>
        <v>0</v>
      </c>
      <c r="FH27" s="192">
        <v>10</v>
      </c>
      <c r="FI27" s="149">
        <f t="shared" si="516"/>
        <v>4200</v>
      </c>
      <c r="FJ27" s="82">
        <f t="shared" si="517"/>
        <v>5293.6363392548947</v>
      </c>
      <c r="FK27" s="375"/>
      <c r="FL27" s="73">
        <f t="shared" si="531"/>
        <v>42000</v>
      </c>
      <c r="FM27" s="39">
        <f t="shared" si="532"/>
        <v>60019.121809444812</v>
      </c>
      <c r="FN27" s="679">
        <f t="shared" si="518"/>
        <v>0.42902670974868595</v>
      </c>
      <c r="FO27" s="40"/>
      <c r="FR27" s="438"/>
      <c r="FS27" s="55"/>
      <c r="FT27" s="380"/>
      <c r="FU27" s="153"/>
      <c r="FV27" s="153"/>
      <c r="FW27" s="144"/>
      <c r="FX27" s="67"/>
      <c r="FY27" s="552">
        <v>15</v>
      </c>
      <c r="FZ27" s="39">
        <f>FW195</f>
        <v>26.149814808169189</v>
      </c>
      <c r="GA27" s="39">
        <f t="shared" si="379"/>
        <v>1.1498148081691895</v>
      </c>
      <c r="GB27" s="386">
        <f t="shared" si="380"/>
        <v>4.5992592326767667E-2</v>
      </c>
      <c r="GD27" s="133" t="s">
        <v>2143</v>
      </c>
      <c r="GE27" s="1113" t="s">
        <v>148</v>
      </c>
      <c r="GF27" s="193" t="s">
        <v>2144</v>
      </c>
      <c r="GG27" s="1015" t="s">
        <v>2146</v>
      </c>
    </row>
    <row r="28" spans="2:191" ht="13.5" thickBot="1">
      <c r="B28" s="113" t="s">
        <v>2629</v>
      </c>
      <c r="C28" s="536">
        <v>25</v>
      </c>
      <c r="D28" s="1344">
        <f>Stocks!BB115</f>
        <v>107435</v>
      </c>
      <c r="E28" s="786">
        <v>0.5</v>
      </c>
      <c r="F28" s="1282"/>
      <c r="G28" s="1283"/>
      <c r="H28" s="39"/>
      <c r="I28" s="39"/>
      <c r="J28" s="39"/>
      <c r="K28" s="39"/>
      <c r="O28" s="1027"/>
      <c r="P28" s="59"/>
      <c r="Q28" s="59"/>
      <c r="R28" s="60"/>
      <c r="S28" s="55"/>
      <c r="T28" s="380"/>
      <c r="U28" s="55"/>
      <c r="V28" s="61"/>
      <c r="W28" s="38"/>
      <c r="X28" s="38"/>
      <c r="Y28" s="38"/>
      <c r="Z28" s="38"/>
      <c r="AA28" s="38"/>
      <c r="AB28" s="38"/>
      <c r="AC28" s="38"/>
      <c r="AD28" s="38"/>
      <c r="AE28" s="38"/>
      <c r="AF28" s="38"/>
      <c r="AG28" s="62"/>
      <c r="AH28" s="62"/>
      <c r="AI28" s="62"/>
      <c r="AJ28" s="62"/>
      <c r="AK28" s="62"/>
      <c r="AL28" s="62"/>
      <c r="AM28" s="62"/>
      <c r="AN28" s="62"/>
      <c r="AO28" s="62"/>
      <c r="AP28" s="62"/>
      <c r="AQ28" s="62"/>
      <c r="AR28" s="62"/>
      <c r="AS28" s="62"/>
      <c r="AT28" s="62"/>
      <c r="AU28" s="62"/>
      <c r="AV28" s="62"/>
      <c r="AW28" s="62"/>
      <c r="AX28" s="62"/>
      <c r="AY28" s="62"/>
      <c r="AZ28" s="38"/>
      <c r="BA28" s="38"/>
      <c r="BB28" s="62"/>
      <c r="BC28" s="62"/>
      <c r="BD28" s="62"/>
      <c r="BE28" s="62"/>
      <c r="BF28" s="62"/>
      <c r="BG28" s="62"/>
      <c r="BH28" s="62"/>
      <c r="BI28" s="62"/>
      <c r="BJ28" s="62"/>
      <c r="BK28" s="62"/>
      <c r="BL28" s="62"/>
      <c r="BM28" s="62"/>
      <c r="BN28" s="62"/>
      <c r="BO28" s="62"/>
      <c r="BP28" s="62"/>
      <c r="BQ28" s="62"/>
      <c r="BR28" s="62"/>
      <c r="BS28" s="62"/>
      <c r="BT28" s="62"/>
      <c r="BU28" s="62"/>
      <c r="BV28" s="480"/>
      <c r="BW28" s="59">
        <v>100</v>
      </c>
      <c r="BX28" s="3">
        <v>10</v>
      </c>
      <c r="BY28" s="55">
        <v>42139</v>
      </c>
      <c r="BZ28" s="55">
        <f t="shared" si="381"/>
        <v>45791.5</v>
      </c>
      <c r="CA28" s="55">
        <v>42139</v>
      </c>
      <c r="CB28" s="1" t="s">
        <v>1276</v>
      </c>
      <c r="CC28" s="160">
        <v>2.1250000000000002E-2</v>
      </c>
      <c r="CD28" s="165">
        <f t="shared" si="487"/>
        <v>1.0625</v>
      </c>
      <c r="CE28" s="163">
        <f t="shared" si="407"/>
        <v>2.125</v>
      </c>
      <c r="CF28" s="39">
        <f t="shared" si="408"/>
        <v>21.25</v>
      </c>
      <c r="CG28" s="73">
        <f t="shared" si="409"/>
        <v>121.25</v>
      </c>
      <c r="CH28" s="73">
        <f t="shared" si="488"/>
        <v>0.17708333333333334</v>
      </c>
      <c r="CI28" s="54" t="str">
        <f t="shared" si="430"/>
        <v>Nov</v>
      </c>
      <c r="CJ28" s="54" t="str">
        <f t="shared" si="431"/>
        <v>May</v>
      </c>
      <c r="CK28" s="62"/>
      <c r="CL28" s="62"/>
      <c r="CM28" s="62"/>
      <c r="CN28" s="62"/>
      <c r="CO28" s="59">
        <v>100</v>
      </c>
      <c r="CP28" s="3">
        <f>29+(10/12)</f>
        <v>29.833333333333332</v>
      </c>
      <c r="CQ28" s="55">
        <v>42019</v>
      </c>
      <c r="CR28" s="55">
        <f t="shared" si="329"/>
        <v>52915.625</v>
      </c>
      <c r="CS28" s="55">
        <v>41958</v>
      </c>
      <c r="CT28" s="23" t="s">
        <v>827</v>
      </c>
      <c r="CU28" s="160">
        <v>0.03</v>
      </c>
      <c r="CV28" s="165">
        <f t="shared" ref="CV28" si="614">CW28/2</f>
        <v>1.5</v>
      </c>
      <c r="CW28" s="163">
        <f t="shared" ref="CW28" si="615">CO28*CU28</f>
        <v>3</v>
      </c>
      <c r="CX28" s="73">
        <f t="shared" ref="CX28" si="616">CP28*CW28</f>
        <v>89.5</v>
      </c>
      <c r="CY28" s="203">
        <f t="shared" ref="CY28" si="617">CO28+CX28</f>
        <v>189.5</v>
      </c>
      <c r="CZ28" s="203">
        <f t="shared" si="575"/>
        <v>0.25</v>
      </c>
      <c r="DA28" s="54" t="str">
        <f t="shared" si="361"/>
        <v>May</v>
      </c>
      <c r="DB28" s="54" t="str">
        <f t="shared" si="362"/>
        <v>Nov</v>
      </c>
      <c r="DC28" s="62"/>
      <c r="DD28" s="62"/>
      <c r="DE28" s="204"/>
      <c r="DF28" s="62"/>
      <c r="DG28" s="59">
        <v>100</v>
      </c>
      <c r="DH28" s="3">
        <f>9+(8/12)</f>
        <v>9.6666666666666661</v>
      </c>
      <c r="DI28" s="55">
        <v>41789</v>
      </c>
      <c r="DJ28" s="55">
        <f t="shared" si="306"/>
        <v>45319.75</v>
      </c>
      <c r="DK28" s="55">
        <v>41654</v>
      </c>
      <c r="DL28" s="1" t="s">
        <v>577</v>
      </c>
      <c r="DM28" s="160">
        <v>6.2500000000000003E-3</v>
      </c>
      <c r="DN28" s="165">
        <f t="shared" si="588"/>
        <v>0.32350000000000001</v>
      </c>
      <c r="DO28" s="163">
        <f t="shared" si="308"/>
        <v>0.64700000000000002</v>
      </c>
      <c r="DP28" s="73">
        <f t="shared" si="309"/>
        <v>6.2543333333333333</v>
      </c>
      <c r="DQ28" s="203">
        <f t="shared" si="336"/>
        <v>109.77433333333333</v>
      </c>
      <c r="DR28" s="203">
        <f t="shared" ref="DR28:DR36" si="618">DO28/12</f>
        <v>5.3916666666666668E-2</v>
      </c>
      <c r="DS28" s="54" t="str">
        <f t="shared" si="337"/>
        <v>Jul</v>
      </c>
      <c r="DT28" s="54" t="str">
        <f t="shared" si="338"/>
        <v>Jan</v>
      </c>
      <c r="DU28" s="44">
        <v>103.52</v>
      </c>
      <c r="DV28" s="579">
        <v>42752</v>
      </c>
      <c r="DW28" s="40">
        <f t="shared" si="462"/>
        <v>3.5199999999999898E-2</v>
      </c>
      <c r="DX28" s="39">
        <f t="shared" si="339"/>
        <v>3.519999999999996</v>
      </c>
      <c r="DY28" s="355">
        <f t="shared" si="311"/>
        <v>963</v>
      </c>
      <c r="DZ28" s="39">
        <f t="shared" si="312"/>
        <v>3.6552440290758006E-3</v>
      </c>
      <c r="EA28" s="62"/>
      <c r="EC28" s="380">
        <f t="shared" ca="1" si="83"/>
        <v>0</v>
      </c>
      <c r="ED28" s="73">
        <v>40</v>
      </c>
      <c r="EE28" s="38">
        <v>30</v>
      </c>
      <c r="EF28" s="54">
        <v>42278</v>
      </c>
      <c r="EG28" s="55">
        <f t="shared" si="393"/>
        <v>53235.5</v>
      </c>
      <c r="EH28" s="61" t="s">
        <v>122</v>
      </c>
      <c r="EI28" s="61">
        <f t="shared" ca="1" si="394"/>
        <v>16</v>
      </c>
      <c r="EJ28" s="38" t="s">
        <v>799</v>
      </c>
      <c r="EK28" s="39">
        <v>40.130000000000003</v>
      </c>
      <c r="EL28" s="39">
        <f t="shared" si="480"/>
        <v>0.13000000000000256</v>
      </c>
      <c r="EM28" s="40">
        <f t="shared" si="599"/>
        <v>3.2499999999999751E-3</v>
      </c>
      <c r="EN28" s="39">
        <f t="shared" ca="1" si="465"/>
        <v>8.1250000000001599E-3</v>
      </c>
      <c r="EO28" s="43">
        <f t="shared" ca="1" si="397"/>
        <v>1</v>
      </c>
      <c r="EP28" s="39">
        <f t="shared" ca="1" si="398"/>
        <v>41.891764912825067</v>
      </c>
      <c r="EQ28" s="39">
        <f t="shared" ca="1" si="466"/>
        <v>1.8917649128250673</v>
      </c>
      <c r="ER28" s="153">
        <f t="shared" ca="1" si="467"/>
        <v>0.11823530705156671</v>
      </c>
      <c r="ET28" s="37"/>
      <c r="EU28" s="1360">
        <f t="shared" ca="1" si="90"/>
        <v>0</v>
      </c>
      <c r="EV28" s="173">
        <v>0</v>
      </c>
      <c r="EW28" s="747">
        <v>30</v>
      </c>
      <c r="EX28" s="55">
        <v>42917</v>
      </c>
      <c r="EY28" s="55">
        <f t="shared" ref="EY28" si="619">EX28+EW28*365.25</f>
        <v>53874.5</v>
      </c>
      <c r="EZ28" s="61">
        <f t="shared" ref="EZ28" ca="1" si="620">IF(EX28&gt;$G$1,0,DATEDIF(EX28,$G$1,"M"))</f>
        <v>0</v>
      </c>
      <c r="FA28" s="37" t="s">
        <v>2563</v>
      </c>
      <c r="FB28" s="39">
        <v>0</v>
      </c>
      <c r="FC28" s="39">
        <f t="shared" ref="FC28" si="621">FB28-EV28</f>
        <v>0</v>
      </c>
      <c r="FD28" s="40" t="e">
        <f t="shared" ref="FD28" si="622">FB28/EV28-1</f>
        <v>#DIV/0!</v>
      </c>
      <c r="FE28" s="39"/>
      <c r="FF28" s="43">
        <f t="shared" ref="FF28" ca="1" si="623">IF(EX28&lt;$G$1-365.25,1,0)</f>
        <v>0</v>
      </c>
      <c r="FH28" s="150">
        <v>11</v>
      </c>
      <c r="FI28" s="149">
        <f t="shared" si="516"/>
        <v>4200</v>
      </c>
      <c r="FJ28" s="82">
        <f t="shared" si="517"/>
        <v>5151.4561495279231</v>
      </c>
      <c r="FK28" s="375"/>
      <c r="FL28" s="73">
        <f t="shared" si="531"/>
        <v>46200</v>
      </c>
      <c r="FM28" s="39">
        <f t="shared" si="532"/>
        <v>65170.577958972732</v>
      </c>
      <c r="FN28" s="679">
        <f t="shared" si="518"/>
        <v>0.41061857054053541</v>
      </c>
      <c r="FO28" s="40"/>
      <c r="FR28" s="438"/>
      <c r="FS28" s="550">
        <v>3</v>
      </c>
      <c r="FT28" s="58">
        <v>1</v>
      </c>
      <c r="FU28" s="38">
        <v>1</v>
      </c>
      <c r="FV28" s="38">
        <f t="shared" ref="FV28:FV39" si="624">(1+$FY$2/2)^(FU28/6)</f>
        <v>1.0002498438930771</v>
      </c>
      <c r="FW28" s="39">
        <f>$FW$26*FV28</f>
        <v>25.156621495944126</v>
      </c>
      <c r="FX28" s="153"/>
      <c r="FY28" s="552">
        <v>16</v>
      </c>
      <c r="FZ28" s="39">
        <f>FW208</f>
        <v>26.228323089677019</v>
      </c>
      <c r="GA28" s="39">
        <f t="shared" si="379"/>
        <v>1.2283230896770192</v>
      </c>
      <c r="GB28" s="386">
        <f t="shared" si="380"/>
        <v>4.9132923587080768E-2</v>
      </c>
      <c r="GD28" s="497">
        <v>1996</v>
      </c>
      <c r="GE28" s="1109">
        <v>1985175.1</v>
      </c>
      <c r="GF28" s="1109">
        <f>GE28</f>
        <v>1985175.1</v>
      </c>
      <c r="GG28" s="115"/>
    </row>
    <row r="29" spans="2:191">
      <c r="B29" s="113" t="s">
        <v>1328</v>
      </c>
      <c r="C29" s="119">
        <f>$FB$278</f>
        <v>26.16</v>
      </c>
      <c r="D29" s="1284" t="s">
        <v>525</v>
      </c>
      <c r="E29" s="89"/>
      <c r="F29" s="111"/>
      <c r="G29" s="111"/>
      <c r="H29" s="111"/>
      <c r="I29" s="111"/>
      <c r="J29" s="352" t="s">
        <v>522</v>
      </c>
      <c r="K29" s="356" t="s">
        <v>522</v>
      </c>
      <c r="M29" s="145"/>
      <c r="N29" s="1308"/>
      <c r="O29" s="1027"/>
      <c r="P29" s="59"/>
      <c r="Q29" s="59"/>
      <c r="R29" s="60"/>
      <c r="S29" s="55"/>
      <c r="T29" s="380"/>
      <c r="U29" s="55"/>
      <c r="V29" s="61"/>
      <c r="W29" s="38"/>
      <c r="X29" s="38"/>
      <c r="Y29" s="38"/>
      <c r="Z29" s="38"/>
      <c r="AA29" s="38"/>
      <c r="AB29" s="38"/>
      <c r="AC29" s="38"/>
      <c r="AD29" s="38"/>
      <c r="AE29" s="38"/>
      <c r="AF29" s="38"/>
      <c r="AG29" s="62"/>
      <c r="AH29" s="62"/>
      <c r="AI29" s="62"/>
      <c r="AJ29" s="62"/>
      <c r="AK29" s="62"/>
      <c r="AL29" s="62"/>
      <c r="AM29" s="62"/>
      <c r="AN29" s="62"/>
      <c r="AO29" s="62"/>
      <c r="AP29" s="62"/>
      <c r="AQ29" s="62"/>
      <c r="AR29" s="62"/>
      <c r="AS29" s="62"/>
      <c r="AT29" s="62"/>
      <c r="AU29" s="62"/>
      <c r="AV29" s="62"/>
      <c r="AW29" s="62"/>
      <c r="AX29" s="62"/>
      <c r="AY29" s="62"/>
      <c r="AZ29" s="38"/>
      <c r="BA29" s="38"/>
      <c r="BB29" s="480" t="s">
        <v>1527</v>
      </c>
      <c r="BC29" s="62"/>
      <c r="BD29" s="62"/>
      <c r="BE29" s="62"/>
      <c r="BF29" s="62"/>
      <c r="BG29" s="62"/>
      <c r="BH29" s="62"/>
      <c r="BI29" s="62"/>
      <c r="BJ29" s="62"/>
      <c r="BK29" s="62"/>
      <c r="BL29" s="62"/>
      <c r="BM29" s="62"/>
      <c r="BN29" s="62"/>
      <c r="BO29" s="62"/>
      <c r="BP29" s="62"/>
      <c r="BQ29" s="62"/>
      <c r="BR29" s="62"/>
      <c r="BS29" s="62"/>
      <c r="BT29" s="62"/>
      <c r="BU29" s="62"/>
      <c r="BV29" s="480" t="s">
        <v>1527</v>
      </c>
      <c r="BW29" s="59">
        <v>100</v>
      </c>
      <c r="BX29" s="3">
        <f>9+(11/12)</f>
        <v>9.9166666666666661</v>
      </c>
      <c r="BY29" s="55">
        <v>41988</v>
      </c>
      <c r="BZ29" s="55">
        <f t="shared" si="381"/>
        <v>45610.0625</v>
      </c>
      <c r="CA29" s="55">
        <v>41958</v>
      </c>
      <c r="CB29" s="1" t="s">
        <v>863</v>
      </c>
      <c r="CC29" s="160">
        <v>2.2499999999999999E-2</v>
      </c>
      <c r="CD29" s="165">
        <f t="shared" si="487"/>
        <v>1.125</v>
      </c>
      <c r="CE29" s="163">
        <f t="shared" si="407"/>
        <v>2.25</v>
      </c>
      <c r="CF29" s="39">
        <f t="shared" si="408"/>
        <v>22.3125</v>
      </c>
      <c r="CG29" s="73">
        <f t="shared" si="409"/>
        <v>122.3125</v>
      </c>
      <c r="CH29" s="73">
        <f t="shared" si="488"/>
        <v>0.1875</v>
      </c>
      <c r="CI29" s="54" t="str">
        <f t="shared" si="430"/>
        <v>May</v>
      </c>
      <c r="CJ29" s="54" t="str">
        <f t="shared" si="431"/>
        <v>Nov</v>
      </c>
      <c r="CK29" s="62"/>
      <c r="CL29" s="62"/>
      <c r="CM29" s="386"/>
      <c r="CN29" s="785" t="s">
        <v>1527</v>
      </c>
      <c r="CO29" s="59">
        <v>100</v>
      </c>
      <c r="CP29" s="3">
        <f>29+(11/12)</f>
        <v>29.916666666666668</v>
      </c>
      <c r="CQ29" s="55">
        <v>41988</v>
      </c>
      <c r="CR29" s="55">
        <f t="shared" si="329"/>
        <v>52915.0625</v>
      </c>
      <c r="CS29" s="55">
        <v>41958</v>
      </c>
      <c r="CT29" s="23" t="s">
        <v>804</v>
      </c>
      <c r="CU29" s="160">
        <v>0.03</v>
      </c>
      <c r="CV29" s="165">
        <f t="shared" ref="CV29:CV33" si="625">CW29/2</f>
        <v>1.5</v>
      </c>
      <c r="CW29" s="163">
        <f t="shared" ref="CW29:CW45" si="626">CO29*CU29</f>
        <v>3</v>
      </c>
      <c r="CX29" s="73">
        <f t="shared" ref="CX29:CX45" si="627">CP29*CW29</f>
        <v>89.75</v>
      </c>
      <c r="CY29" s="203">
        <f t="shared" ref="CY29:CY45" si="628">CO29+CX29</f>
        <v>189.75</v>
      </c>
      <c r="CZ29" s="203">
        <f t="shared" si="575"/>
        <v>0.25</v>
      </c>
      <c r="DA29" s="54" t="str">
        <f t="shared" si="361"/>
        <v>May</v>
      </c>
      <c r="DB29" s="54" t="str">
        <f t="shared" si="362"/>
        <v>Nov</v>
      </c>
      <c r="DC29" s="62"/>
      <c r="DD29" s="62"/>
      <c r="DE29" s="204"/>
      <c r="DF29" s="480" t="s">
        <v>1527</v>
      </c>
      <c r="DG29" s="59">
        <v>100</v>
      </c>
      <c r="DH29" s="3">
        <f>9+(10/12)</f>
        <v>9.8333333333333339</v>
      </c>
      <c r="DI29" s="55">
        <v>41729</v>
      </c>
      <c r="DJ29" s="55">
        <f t="shared" si="306"/>
        <v>45320.625</v>
      </c>
      <c r="DK29" s="55">
        <v>41654</v>
      </c>
      <c r="DL29" s="1" t="s">
        <v>515</v>
      </c>
      <c r="DM29" s="160">
        <v>6.2500000000000003E-3</v>
      </c>
      <c r="DN29" s="165">
        <f t="shared" si="588"/>
        <v>0.32350000000000001</v>
      </c>
      <c r="DO29" s="163">
        <f t="shared" si="308"/>
        <v>0.64700000000000002</v>
      </c>
      <c r="DP29" s="73">
        <f t="shared" si="309"/>
        <v>6.362166666666667</v>
      </c>
      <c r="DQ29" s="203">
        <f t="shared" si="336"/>
        <v>109.88216666666666</v>
      </c>
      <c r="DR29" s="203">
        <f t="shared" si="618"/>
        <v>5.3916666666666668E-2</v>
      </c>
      <c r="DS29" s="54" t="str">
        <f t="shared" si="337"/>
        <v>Jul</v>
      </c>
      <c r="DT29" s="54" t="str">
        <f t="shared" si="338"/>
        <v>Jan</v>
      </c>
      <c r="DU29" s="44">
        <v>103.52</v>
      </c>
      <c r="DV29" s="579">
        <v>42752</v>
      </c>
      <c r="DW29" s="40">
        <f t="shared" si="462"/>
        <v>3.5199999999999898E-2</v>
      </c>
      <c r="DX29" s="39">
        <f t="shared" si="339"/>
        <v>3.519999999999996</v>
      </c>
      <c r="DY29" s="355">
        <f t="shared" si="311"/>
        <v>1023</v>
      </c>
      <c r="DZ29" s="39">
        <f t="shared" si="312"/>
        <v>3.4408602150537595E-3</v>
      </c>
      <c r="EA29" s="62"/>
      <c r="EB29" s="1" t="s">
        <v>820</v>
      </c>
      <c r="EC29" s="380">
        <f t="shared" ca="1" si="83"/>
        <v>0</v>
      </c>
      <c r="ED29" s="73">
        <v>40</v>
      </c>
      <c r="EE29" s="38">
        <v>30</v>
      </c>
      <c r="EF29" s="54">
        <v>42248</v>
      </c>
      <c r="EG29" s="55">
        <f t="shared" si="393"/>
        <v>53205.5</v>
      </c>
      <c r="EH29" s="61" t="s">
        <v>122</v>
      </c>
      <c r="EI29" s="61">
        <f t="shared" ca="1" si="394"/>
        <v>17</v>
      </c>
      <c r="EJ29" s="38" t="s">
        <v>798</v>
      </c>
      <c r="EK29" s="39">
        <v>40.159999999999997</v>
      </c>
      <c r="EL29" s="39">
        <f t="shared" si="480"/>
        <v>0.15999999999999659</v>
      </c>
      <c r="EM29" s="40">
        <f t="shared" si="599"/>
        <v>4.0000000000000036E-3</v>
      </c>
      <c r="EN29" s="39">
        <f t="shared" ca="1" si="465"/>
        <v>9.4117647058821526E-3</v>
      </c>
      <c r="EO29" s="43">
        <f t="shared" ca="1" si="397"/>
        <v>1</v>
      </c>
      <c r="EP29" s="39">
        <f t="shared" ca="1" si="398"/>
        <v>42.012927956308815</v>
      </c>
      <c r="EQ29" s="39">
        <f t="shared" ca="1" si="466"/>
        <v>2.0129279563088147</v>
      </c>
      <c r="ER29" s="153">
        <f t="shared" ca="1" si="467"/>
        <v>0.11840752684169498</v>
      </c>
      <c r="ET29" s="827"/>
      <c r="EU29" s="1360">
        <f t="shared" ca="1" si="90"/>
        <v>0</v>
      </c>
      <c r="EV29" s="173">
        <v>0</v>
      </c>
      <c r="EW29" s="747">
        <v>30</v>
      </c>
      <c r="EX29" s="55">
        <v>42887</v>
      </c>
      <c r="EY29" s="55">
        <f t="shared" ref="EY29" si="629">EX29+EW29*365.25</f>
        <v>53844.5</v>
      </c>
      <c r="EZ29" s="61">
        <f t="shared" ref="EZ29" ca="1" si="630">IF(EX29&gt;$G$1,0,DATEDIF(EX29,$G$1,"M"))</f>
        <v>0</v>
      </c>
      <c r="FA29" s="37" t="s">
        <v>2562</v>
      </c>
      <c r="FB29" s="39">
        <v>0</v>
      </c>
      <c r="FC29" s="39">
        <f t="shared" ref="FC29" si="631">FB29-EV29</f>
        <v>0</v>
      </c>
      <c r="FD29" s="40" t="e">
        <f t="shared" ref="FD29" si="632">FB29/EV29-1</f>
        <v>#DIV/0!</v>
      </c>
      <c r="FE29" s="39"/>
      <c r="FF29" s="43">
        <f t="shared" ref="FF29" ca="1" si="633">IF(EX29&lt;$G$1-365.25,1,0)</f>
        <v>0</v>
      </c>
      <c r="FH29" s="192">
        <v>12</v>
      </c>
      <c r="FI29" s="149">
        <f t="shared" si="516"/>
        <v>4200</v>
      </c>
      <c r="FJ29" s="82">
        <f t="shared" si="517"/>
        <v>5013.0947348461686</v>
      </c>
      <c r="FK29" s="375"/>
      <c r="FL29" s="73">
        <f t="shared" si="531"/>
        <v>50400</v>
      </c>
      <c r="FM29" s="39">
        <f t="shared" si="532"/>
        <v>70183.672693818895</v>
      </c>
      <c r="FN29" s="679">
        <f t="shared" si="518"/>
        <v>0.39253318836942253</v>
      </c>
      <c r="FO29" s="40"/>
      <c r="FR29" s="438"/>
      <c r="FS29" s="550">
        <v>3</v>
      </c>
      <c r="FT29" s="58">
        <v>1</v>
      </c>
      <c r="FU29" s="38">
        <v>2</v>
      </c>
      <c r="FV29" s="38">
        <f t="shared" si="624"/>
        <v>1.0004997502081252</v>
      </c>
      <c r="FW29" s="39">
        <f t="shared" ref="FW29:FW33" si="634">$FW$26*FV29</f>
        <v>25.162906724195341</v>
      </c>
      <c r="FX29" s="153"/>
      <c r="FY29" s="552">
        <v>17</v>
      </c>
      <c r="FZ29" s="39">
        <f>FW221</f>
        <v>26.307067072673004</v>
      </c>
      <c r="GA29" s="39">
        <f t="shared" si="379"/>
        <v>1.3070670726730036</v>
      </c>
      <c r="GB29" s="386">
        <f t="shared" si="380"/>
        <v>5.2282682906920064E-2</v>
      </c>
      <c r="GD29" s="497">
        <v>1997</v>
      </c>
      <c r="GE29" s="1109">
        <v>955897.15</v>
      </c>
      <c r="GF29" s="1109">
        <f t="shared" ref="GF29:GF47" si="635">GE29</f>
        <v>955897.15</v>
      </c>
      <c r="GG29" s="1114">
        <f>GF29/GF28-1</f>
        <v>-0.51848219837131748</v>
      </c>
    </row>
    <row r="30" spans="2:191">
      <c r="B30" s="113" t="s">
        <v>1415</v>
      </c>
      <c r="C30" s="1348">
        <f>C29/C28-1</f>
        <v>4.6399999999999997E-2</v>
      </c>
      <c r="D30" s="91" t="s">
        <v>143</v>
      </c>
      <c r="E30" s="91" t="s">
        <v>526</v>
      </c>
      <c r="F30" s="172" t="s">
        <v>527</v>
      </c>
      <c r="G30" s="172" t="s">
        <v>528</v>
      </c>
      <c r="H30" s="172" t="s">
        <v>135</v>
      </c>
      <c r="I30" s="172" t="s">
        <v>521</v>
      </c>
      <c r="J30" s="149" t="s">
        <v>524</v>
      </c>
      <c r="K30" s="357" t="s">
        <v>523</v>
      </c>
      <c r="M30" s="1027"/>
      <c r="N30" s="1308"/>
      <c r="O30" s="1027"/>
      <c r="P30" s="59"/>
      <c r="Q30" s="59"/>
      <c r="R30" s="60"/>
      <c r="S30" s="55"/>
      <c r="T30" s="380"/>
      <c r="U30" s="55"/>
      <c r="V30" s="61"/>
      <c r="W30" s="38"/>
      <c r="X30" s="38"/>
      <c r="Y30" s="38"/>
      <c r="Z30" s="38"/>
      <c r="AA30" s="38"/>
      <c r="AB30" s="38"/>
      <c r="AC30" s="38"/>
      <c r="AD30" s="38"/>
      <c r="AE30" s="38"/>
      <c r="AF30" s="38"/>
      <c r="AG30" s="62"/>
      <c r="AH30" s="62"/>
      <c r="AI30" s="62"/>
      <c r="AJ30" s="62"/>
      <c r="AK30" s="62"/>
      <c r="AL30" s="62"/>
      <c r="AM30" s="62"/>
      <c r="AN30" s="62"/>
      <c r="AO30" s="62"/>
      <c r="AP30" s="62"/>
      <c r="AQ30" s="62"/>
      <c r="AR30" s="62"/>
      <c r="AS30" s="62"/>
      <c r="AT30" s="62"/>
      <c r="AU30" s="62"/>
      <c r="AV30" s="62"/>
      <c r="AW30" s="62"/>
      <c r="AX30" s="62"/>
      <c r="AY30" s="62"/>
      <c r="AZ30" s="38"/>
      <c r="BA30" s="38"/>
      <c r="BB30" s="39">
        <f>(BB6*4)/365.25</f>
        <v>8.2135523613963049E-4</v>
      </c>
      <c r="BC30" s="62"/>
      <c r="BD30" s="62"/>
      <c r="BE30" s="62"/>
      <c r="BF30" s="62"/>
      <c r="BG30" s="62"/>
      <c r="BH30" s="62"/>
      <c r="BI30" s="62"/>
      <c r="BJ30" s="62"/>
      <c r="BK30" s="62"/>
      <c r="BL30" s="62"/>
      <c r="BM30" s="62"/>
      <c r="BN30" s="62"/>
      <c r="BO30" s="62"/>
      <c r="BP30" s="62"/>
      <c r="BQ30" s="62"/>
      <c r="BR30" s="62"/>
      <c r="BS30" s="62"/>
      <c r="BT30" s="62"/>
      <c r="BU30" s="62"/>
      <c r="BV30" s="39">
        <f>(BV6*2)/365.25</f>
        <v>0.22724161533196441</v>
      </c>
      <c r="BW30" s="59">
        <v>100</v>
      </c>
      <c r="BX30" s="3">
        <v>7</v>
      </c>
      <c r="BY30" s="55">
        <v>41974</v>
      </c>
      <c r="BZ30" s="55">
        <f t="shared" si="381"/>
        <v>44530.75</v>
      </c>
      <c r="CA30" s="55">
        <v>41973</v>
      </c>
      <c r="CB30" s="1" t="s">
        <v>810</v>
      </c>
      <c r="CC30" s="160">
        <v>1.8749999999999999E-2</v>
      </c>
      <c r="CD30" s="165">
        <f t="shared" si="487"/>
        <v>0.9375</v>
      </c>
      <c r="CE30" s="163">
        <f t="shared" si="407"/>
        <v>1.875</v>
      </c>
      <c r="CF30" s="39">
        <f t="shared" si="408"/>
        <v>13.125</v>
      </c>
      <c r="CG30" s="73">
        <f t="shared" si="409"/>
        <v>113.125</v>
      </c>
      <c r="CH30" s="73">
        <f t="shared" si="488"/>
        <v>0.15625</v>
      </c>
      <c r="CI30" s="54" t="str">
        <f t="shared" si="430"/>
        <v>May</v>
      </c>
      <c r="CJ30" s="54" t="str">
        <f t="shared" si="431"/>
        <v>Nov</v>
      </c>
      <c r="CK30" s="62"/>
      <c r="CL30" s="62"/>
      <c r="CM30" s="62"/>
      <c r="CN30" s="39">
        <f>(CN6*2)/365.25</f>
        <v>0.56776180698151946</v>
      </c>
      <c r="CO30" s="59">
        <v>100</v>
      </c>
      <c r="CP30" s="3">
        <v>30</v>
      </c>
      <c r="CQ30" s="55">
        <v>41960</v>
      </c>
      <c r="CR30" s="55">
        <f t="shared" si="329"/>
        <v>52917.5</v>
      </c>
      <c r="CS30" s="55">
        <v>41958</v>
      </c>
      <c r="CT30" s="23" t="s">
        <v>706</v>
      </c>
      <c r="CU30" s="160">
        <v>0.03</v>
      </c>
      <c r="CV30" s="165">
        <f t="shared" si="625"/>
        <v>1.5</v>
      </c>
      <c r="CW30" s="163">
        <f t="shared" si="626"/>
        <v>3</v>
      </c>
      <c r="CX30" s="73">
        <f t="shared" si="627"/>
        <v>90</v>
      </c>
      <c r="CY30" s="203">
        <f t="shared" si="628"/>
        <v>190</v>
      </c>
      <c r="CZ30" s="203">
        <f t="shared" ref="CZ30:CZ45" si="636">CW30/12</f>
        <v>0.25</v>
      </c>
      <c r="DA30" s="54" t="str">
        <f t="shared" si="361"/>
        <v>May</v>
      </c>
      <c r="DB30" s="54" t="str">
        <f t="shared" si="362"/>
        <v>Nov</v>
      </c>
      <c r="DC30" s="62"/>
      <c r="DD30" s="62"/>
      <c r="DE30" s="204"/>
      <c r="DF30" s="39">
        <f>(DF6*2)/365.25</f>
        <v>6.3532238193018467E-2</v>
      </c>
      <c r="DG30" s="59">
        <v>200</v>
      </c>
      <c r="DH30" s="3">
        <v>30</v>
      </c>
      <c r="DI30" s="55">
        <v>41698</v>
      </c>
      <c r="DJ30" s="55">
        <f t="shared" si="306"/>
        <v>52655.5</v>
      </c>
      <c r="DK30" s="55">
        <v>41685</v>
      </c>
      <c r="DL30" s="1" t="s">
        <v>492</v>
      </c>
      <c r="DM30" s="160">
        <v>1.375E-2</v>
      </c>
      <c r="DN30" s="165">
        <f t="shared" si="588"/>
        <v>1.41948125</v>
      </c>
      <c r="DO30" s="163">
        <f t="shared" si="308"/>
        <v>2.8389625000000001</v>
      </c>
      <c r="DP30" s="73">
        <f t="shared" si="309"/>
        <v>85.168875</v>
      </c>
      <c r="DQ30" s="203">
        <f t="shared" si="336"/>
        <v>291.63887499999998</v>
      </c>
      <c r="DR30" s="203">
        <f t="shared" si="618"/>
        <v>0.23658020833333335</v>
      </c>
      <c r="DS30" s="54" t="str">
        <f t="shared" si="337"/>
        <v>Aug</v>
      </c>
      <c r="DT30" s="54" t="str">
        <f t="shared" si="338"/>
        <v>Feb</v>
      </c>
      <c r="DU30" s="44">
        <v>206.47</v>
      </c>
      <c r="DV30" s="579">
        <v>42597</v>
      </c>
      <c r="DW30" s="40">
        <f t="shared" si="462"/>
        <v>3.2350000000000101E-2</v>
      </c>
      <c r="DX30" s="39">
        <f t="shared" si="339"/>
        <v>6.4699999999999989</v>
      </c>
      <c r="DY30" s="355">
        <f t="shared" si="311"/>
        <v>899</v>
      </c>
      <c r="DZ30" s="39">
        <f t="shared" si="312"/>
        <v>7.1968854282536141E-3</v>
      </c>
      <c r="EA30" s="62"/>
      <c r="EB30" s="39">
        <f ca="1">EB26-EB27</f>
        <v>15.390000000000782</v>
      </c>
      <c r="EC30" s="380">
        <f t="shared" ca="1" si="83"/>
        <v>0</v>
      </c>
      <c r="ED30" s="73">
        <v>40</v>
      </c>
      <c r="EE30" s="38">
        <v>30</v>
      </c>
      <c r="EF30" s="54">
        <v>42217</v>
      </c>
      <c r="EG30" s="55">
        <f t="shared" si="393"/>
        <v>53174.5</v>
      </c>
      <c r="EH30" s="61" t="s">
        <v>122</v>
      </c>
      <c r="EI30" s="61">
        <f t="shared" ca="1" si="394"/>
        <v>18</v>
      </c>
      <c r="EJ30" s="38" t="s">
        <v>797</v>
      </c>
      <c r="EK30" s="39">
        <v>40.159999999999997</v>
      </c>
      <c r="EL30" s="39">
        <f t="shared" si="480"/>
        <v>0.15999999999999659</v>
      </c>
      <c r="EM30" s="40">
        <f t="shared" si="599"/>
        <v>4.0000000000000036E-3</v>
      </c>
      <c r="EN30" s="39">
        <f t="shared" ca="1" si="465"/>
        <v>8.8888888888886998E-3</v>
      </c>
      <c r="EO30" s="43">
        <f t="shared" ca="1" si="397"/>
        <v>1</v>
      </c>
      <c r="EP30" s="39">
        <f t="shared" ca="1" si="398"/>
        <v>42.134441438193441</v>
      </c>
      <c r="EQ30" s="39">
        <f t="shared" ca="1" si="466"/>
        <v>2.1344414381934413</v>
      </c>
      <c r="ER30" s="153">
        <f t="shared" ca="1" si="467"/>
        <v>0.11858007989963563</v>
      </c>
      <c r="ET30" s="37"/>
      <c r="EU30" s="1360">
        <f t="shared" ca="1" si="90"/>
        <v>0</v>
      </c>
      <c r="EV30" s="173">
        <v>0</v>
      </c>
      <c r="EW30" s="747">
        <v>30</v>
      </c>
      <c r="EX30" s="55">
        <v>42887</v>
      </c>
      <c r="EY30" s="55">
        <f t="shared" ref="EY30" si="637">EX30+EW30*365.25</f>
        <v>53844.5</v>
      </c>
      <c r="EZ30" s="61">
        <f t="shared" ref="EZ30" ca="1" si="638">IF(EX30&gt;$G$1,0,DATEDIF(EX30,$G$1,"M"))</f>
        <v>0</v>
      </c>
      <c r="FA30" s="37" t="s">
        <v>2561</v>
      </c>
      <c r="FB30" s="39">
        <v>0</v>
      </c>
      <c r="FC30" s="39">
        <f t="shared" ref="FC30" si="639">FB30-EV30</f>
        <v>0</v>
      </c>
      <c r="FD30" s="40" t="e">
        <f t="shared" ref="FD30" si="640">FB30/EV30-1</f>
        <v>#DIV/0!</v>
      </c>
      <c r="FE30" s="39"/>
      <c r="FF30" s="43">
        <f t="shared" ref="FF30" ca="1" si="641">IF(EX30&lt;$G$1-365.25,1,0)</f>
        <v>0</v>
      </c>
      <c r="FH30" s="150">
        <v>13</v>
      </c>
      <c r="FI30" s="149">
        <f t="shared" si="516"/>
        <v>4200</v>
      </c>
      <c r="FJ30" s="82">
        <f t="shared" si="517"/>
        <v>4878.449527876769</v>
      </c>
      <c r="FK30" s="375"/>
      <c r="FL30" s="73">
        <f t="shared" si="531"/>
        <v>54600</v>
      </c>
      <c r="FM30" s="39">
        <f t="shared" si="532"/>
        <v>75062.122221695667</v>
      </c>
      <c r="FN30" s="679">
        <f t="shared" si="518"/>
        <v>0.37476414325449947</v>
      </c>
      <c r="FO30" s="40"/>
      <c r="FR30" s="438"/>
      <c r="FS30" s="550">
        <v>3</v>
      </c>
      <c r="FT30" s="58">
        <v>1</v>
      </c>
      <c r="FU30" s="38">
        <v>3</v>
      </c>
      <c r="FV30" s="38">
        <f t="shared" si="624"/>
        <v>1.0007497189607399</v>
      </c>
      <c r="FW30" s="39">
        <f t="shared" si="634"/>
        <v>25.169193522772453</v>
      </c>
      <c r="FX30" s="153"/>
      <c r="FY30" s="552">
        <v>18</v>
      </c>
      <c r="FZ30" s="39">
        <f>FW234</f>
        <v>26.38604746479194</v>
      </c>
      <c r="GA30" s="39">
        <f t="shared" si="379"/>
        <v>1.3860474647919396</v>
      </c>
      <c r="GB30" s="386">
        <f t="shared" si="380"/>
        <v>5.5441898591677585E-2</v>
      </c>
      <c r="GD30" s="497">
        <v>1998</v>
      </c>
      <c r="GE30" s="1109">
        <v>1535541.02</v>
      </c>
      <c r="GF30" s="1109">
        <f t="shared" si="635"/>
        <v>1535541.02</v>
      </c>
      <c r="GG30" s="1114">
        <f t="shared" ref="GG30:GG49" si="642">GF30/GF29-1</f>
        <v>0.60638727712495011</v>
      </c>
    </row>
    <row r="31" spans="2:191" ht="13.5" thickBot="1">
      <c r="B31" s="497"/>
      <c r="C31" s="115"/>
      <c r="D31" s="1345">
        <f>D28*E28</f>
        <v>53717.5</v>
      </c>
      <c r="E31" s="351">
        <f>AVERAGE(CU:CU)</f>
        <v>2.9602272727272737E-2</v>
      </c>
      <c r="F31" s="102">
        <f>100*E31</f>
        <v>2.9602272727272738</v>
      </c>
      <c r="G31" s="698">
        <f>INT(D31/F31)+1</f>
        <v>18147</v>
      </c>
      <c r="H31" s="102">
        <f>(INT(D31/F31)+1)*100</f>
        <v>1814700</v>
      </c>
      <c r="I31" s="102">
        <f>F31*G31</f>
        <v>53719.244318181838</v>
      </c>
      <c r="J31" s="353">
        <f>SUM(CW:CW)/D31</f>
        <v>3.8604737748406011E-3</v>
      </c>
      <c r="K31" s="354">
        <f>E16/H31</f>
        <v>3.9124924229900259E-3</v>
      </c>
      <c r="L31" s="599" t="s">
        <v>2333</v>
      </c>
      <c r="M31" s="1027"/>
      <c r="N31" s="1027"/>
      <c r="O31" s="1027"/>
      <c r="P31" s="59"/>
      <c r="Q31" s="59"/>
      <c r="R31" s="60"/>
      <c r="S31" s="55"/>
      <c r="T31" s="380"/>
      <c r="U31" s="55"/>
      <c r="V31" s="61"/>
      <c r="AG31" s="62"/>
      <c r="AH31" s="62"/>
      <c r="AI31" s="62"/>
      <c r="AJ31" s="62"/>
      <c r="AK31" s="62"/>
      <c r="AL31" s="62"/>
      <c r="AM31" s="62"/>
      <c r="AN31" s="62"/>
      <c r="AO31" s="62"/>
      <c r="AP31" s="62"/>
      <c r="AQ31" s="62"/>
      <c r="AR31" s="62"/>
      <c r="AS31" s="62"/>
      <c r="AT31" s="62"/>
      <c r="AU31" s="62"/>
      <c r="AV31" s="62"/>
      <c r="AW31" s="62"/>
      <c r="AX31" s="62"/>
      <c r="AY31" s="62"/>
      <c r="AZ31" s="38"/>
      <c r="BB31" s="62"/>
      <c r="BC31" s="38"/>
      <c r="BD31" s="38"/>
      <c r="BE31" s="38"/>
      <c r="BF31" s="38"/>
      <c r="BG31" s="38"/>
      <c r="BH31" s="38"/>
      <c r="BI31" s="38"/>
      <c r="BJ31" s="38"/>
      <c r="BK31" s="38"/>
      <c r="BL31" s="62"/>
      <c r="BM31" s="62"/>
      <c r="BN31" s="62"/>
      <c r="BO31" s="62"/>
      <c r="BP31" s="62"/>
      <c r="BQ31" s="62"/>
      <c r="BR31" s="62"/>
      <c r="BS31" s="62"/>
      <c r="BT31" s="62"/>
      <c r="BU31" s="62"/>
      <c r="BV31" s="480"/>
      <c r="BW31" s="59">
        <v>100</v>
      </c>
      <c r="BX31" s="3">
        <v>10</v>
      </c>
      <c r="BY31" s="55">
        <v>41960</v>
      </c>
      <c r="BZ31" s="55">
        <f t="shared" si="381"/>
        <v>45612.5</v>
      </c>
      <c r="CA31" s="55">
        <v>41958</v>
      </c>
      <c r="CB31" s="1" t="s">
        <v>808</v>
      </c>
      <c r="CC31" s="160">
        <v>2.2499999999999999E-2</v>
      </c>
      <c r="CD31" s="165">
        <f t="shared" si="487"/>
        <v>1.125</v>
      </c>
      <c r="CE31" s="163">
        <f t="shared" si="407"/>
        <v>2.25</v>
      </c>
      <c r="CF31" s="39">
        <f t="shared" si="408"/>
        <v>22.5</v>
      </c>
      <c r="CG31" s="73">
        <f t="shared" si="409"/>
        <v>122.5</v>
      </c>
      <c r="CH31" s="73">
        <f t="shared" si="488"/>
        <v>0.1875</v>
      </c>
      <c r="CI31" s="54" t="str">
        <f t="shared" si="430"/>
        <v>May</v>
      </c>
      <c r="CJ31" s="54" t="str">
        <f t="shared" si="431"/>
        <v>Nov</v>
      </c>
      <c r="CK31" s="62"/>
      <c r="CL31" s="62"/>
      <c r="CM31" s="62"/>
      <c r="CN31" s="62"/>
      <c r="CO31" s="59">
        <v>100</v>
      </c>
      <c r="CP31" s="3">
        <f>29+(11/12)</f>
        <v>29.916666666666668</v>
      </c>
      <c r="CQ31" s="55">
        <v>41897</v>
      </c>
      <c r="CR31" s="55">
        <f t="shared" si="329"/>
        <v>52824.0625</v>
      </c>
      <c r="CS31" s="55">
        <v>41866</v>
      </c>
      <c r="CT31" s="23" t="s">
        <v>703</v>
      </c>
      <c r="CU31" s="160">
        <v>3.125E-2</v>
      </c>
      <c r="CV31" s="165">
        <f t="shared" si="625"/>
        <v>1.5625</v>
      </c>
      <c r="CW31" s="163">
        <f t="shared" si="626"/>
        <v>3.125</v>
      </c>
      <c r="CX31" s="73">
        <f t="shared" si="627"/>
        <v>93.489583333333343</v>
      </c>
      <c r="CY31" s="203">
        <f t="shared" si="628"/>
        <v>193.48958333333334</v>
      </c>
      <c r="CZ31" s="203">
        <f t="shared" si="636"/>
        <v>0.26041666666666669</v>
      </c>
      <c r="DA31" s="54" t="str">
        <f t="shared" si="361"/>
        <v>Feb</v>
      </c>
      <c r="DB31" s="54" t="str">
        <f t="shared" si="362"/>
        <v>Aug</v>
      </c>
      <c r="DC31" s="62"/>
      <c r="DD31" s="62"/>
      <c r="DE31" s="204"/>
      <c r="DF31" s="62"/>
      <c r="DG31" s="59">
        <v>100</v>
      </c>
      <c r="DH31" s="3">
        <f>4+(4/12)</f>
        <v>4.333333333333333</v>
      </c>
      <c r="DI31" s="55">
        <v>41639</v>
      </c>
      <c r="DJ31" s="55">
        <f t="shared" si="306"/>
        <v>43221.75</v>
      </c>
      <c r="DK31" s="55">
        <v>41562</v>
      </c>
      <c r="DL31" s="1" t="s">
        <v>482</v>
      </c>
      <c r="DM31" s="160">
        <v>1.25E-3</v>
      </c>
      <c r="DN31" s="165">
        <f t="shared" ref="DN31:DN36" si="643">DO31/2</f>
        <v>6.5093750000000006E-2</v>
      </c>
      <c r="DO31" s="163">
        <f t="shared" si="308"/>
        <v>0.13018750000000001</v>
      </c>
      <c r="DP31" s="73">
        <f t="shared" si="309"/>
        <v>0.56414583333333335</v>
      </c>
      <c r="DQ31" s="203">
        <f t="shared" si="336"/>
        <v>104.71414583333333</v>
      </c>
      <c r="DR31" s="203">
        <f t="shared" si="618"/>
        <v>1.0848958333333334E-2</v>
      </c>
      <c r="DS31" s="54" t="str">
        <f t="shared" si="337"/>
        <v>Apr</v>
      </c>
      <c r="DT31" s="54" t="str">
        <f t="shared" si="338"/>
        <v>Oct</v>
      </c>
      <c r="DU31" s="44">
        <v>104.15</v>
      </c>
      <c r="DV31" s="579">
        <v>42660</v>
      </c>
      <c r="DW31" s="40">
        <f t="shared" si="462"/>
        <v>4.1500000000000092E-2</v>
      </c>
      <c r="DX31" s="39">
        <f t="shared" si="339"/>
        <v>4.1500000000000057</v>
      </c>
      <c r="DY31" s="355">
        <f t="shared" si="311"/>
        <v>1021</v>
      </c>
      <c r="DZ31" s="39">
        <f t="shared" si="312"/>
        <v>4.0646425073457447E-3</v>
      </c>
      <c r="EA31" s="62"/>
      <c r="EB31" s="243">
        <f ca="1">(EB26/EB27)-1</f>
        <v>6.5073995771673943E-3</v>
      </c>
      <c r="EC31" s="380">
        <f t="shared" ca="1" si="83"/>
        <v>0</v>
      </c>
      <c r="ED31" s="73">
        <v>50</v>
      </c>
      <c r="EE31" s="38">
        <v>30</v>
      </c>
      <c r="EF31" s="54">
        <v>42217</v>
      </c>
      <c r="EG31" s="55">
        <f t="shared" si="393"/>
        <v>53174.5</v>
      </c>
      <c r="EH31" s="61" t="s">
        <v>122</v>
      </c>
      <c r="EI31" s="61">
        <f t="shared" ca="1" si="394"/>
        <v>18</v>
      </c>
      <c r="EJ31" s="38" t="s">
        <v>1493</v>
      </c>
      <c r="EK31" s="39">
        <v>50.2</v>
      </c>
      <c r="EL31" s="39">
        <f t="shared" si="480"/>
        <v>0.20000000000000284</v>
      </c>
      <c r="EM31" s="40">
        <f t="shared" ref="EM31" si="644">EK31/ED31-1</f>
        <v>4.0000000000000036E-3</v>
      </c>
      <c r="EN31" s="39">
        <f t="shared" ca="1" si="465"/>
        <v>1.1111111111111269E-2</v>
      </c>
      <c r="EO31" s="43">
        <f t="shared" ca="1" si="397"/>
        <v>1</v>
      </c>
      <c r="EP31" s="39">
        <f t="shared" ca="1" si="398"/>
        <v>52.668051797741796</v>
      </c>
      <c r="EQ31" s="39">
        <f t="shared" ca="1" si="466"/>
        <v>2.6680517977417963</v>
      </c>
      <c r="ER31" s="153">
        <f t="shared" ca="1" si="467"/>
        <v>0.14822509987454424</v>
      </c>
      <c r="ET31" s="37"/>
      <c r="EU31" s="1360">
        <f t="shared" ca="1" si="90"/>
        <v>0</v>
      </c>
      <c r="EV31" s="173">
        <v>0</v>
      </c>
      <c r="EW31" s="747">
        <v>30</v>
      </c>
      <c r="EX31" s="55">
        <v>42887</v>
      </c>
      <c r="EY31" s="55">
        <f t="shared" ref="EY31" si="645">EX31+EW31*365.25</f>
        <v>53844.5</v>
      </c>
      <c r="EZ31" s="61">
        <f t="shared" ref="EZ31" ca="1" si="646">IF(EX31&gt;$G$1,0,DATEDIF(EX31,$G$1,"M"))</f>
        <v>0</v>
      </c>
      <c r="FA31" s="37" t="s">
        <v>2560</v>
      </c>
      <c r="FB31" s="39">
        <v>0</v>
      </c>
      <c r="FC31" s="39">
        <f t="shared" ref="FC31" si="647">FB31-EV31</f>
        <v>0</v>
      </c>
      <c r="FD31" s="40" t="e">
        <f t="shared" ref="FD31" si="648">FB31/EV31-1</f>
        <v>#DIV/0!</v>
      </c>
      <c r="FE31" s="39"/>
      <c r="FF31" s="43">
        <f t="shared" ref="FF31" ca="1" si="649">IF(EX31&lt;$G$1-365.25,1,0)</f>
        <v>0</v>
      </c>
      <c r="FH31" s="192">
        <v>14</v>
      </c>
      <c r="FI31" s="149">
        <f t="shared" si="516"/>
        <v>4200</v>
      </c>
      <c r="FJ31" s="82">
        <f t="shared" si="517"/>
        <v>4747.4207161120758</v>
      </c>
      <c r="FK31" s="375"/>
      <c r="FL31" s="73">
        <f t="shared" si="531"/>
        <v>58800</v>
      </c>
      <c r="FM31" s="39">
        <f t="shared" si="532"/>
        <v>79809.542937807739</v>
      </c>
      <c r="FN31" s="679">
        <f t="shared" si="518"/>
        <v>0.35730515200353308</v>
      </c>
      <c r="FO31" s="40"/>
      <c r="FR31" s="438"/>
      <c r="FS31" s="550">
        <v>3</v>
      </c>
      <c r="FT31" s="58">
        <v>1</v>
      </c>
      <c r="FU31" s="38">
        <v>4</v>
      </c>
      <c r="FV31" s="38">
        <f t="shared" si="624"/>
        <v>1.0009997501665211</v>
      </c>
      <c r="FW31" s="39">
        <f t="shared" si="634"/>
        <v>25.175481892067797</v>
      </c>
      <c r="FX31" s="153"/>
      <c r="FY31" s="552">
        <v>19</v>
      </c>
      <c r="FZ31" s="39">
        <f>FW247</f>
        <v>26.465264975793112</v>
      </c>
      <c r="GA31" s="39">
        <f t="shared" si="379"/>
        <v>1.4652649757931115</v>
      </c>
      <c r="GB31" s="386">
        <f t="shared" si="380"/>
        <v>5.8610599031724497E-2</v>
      </c>
      <c r="GD31" s="497">
        <v>1999</v>
      </c>
      <c r="GE31" s="1109">
        <v>1457510.59</v>
      </c>
      <c r="GF31" s="1109">
        <f t="shared" si="635"/>
        <v>1457510.59</v>
      </c>
      <c r="GG31" s="1114">
        <f t="shared" si="642"/>
        <v>-5.0816245859716558E-2</v>
      </c>
    </row>
    <row r="32" spans="2:191" ht="13.5" thickBot="1">
      <c r="B32" s="133" t="s">
        <v>2630</v>
      </c>
      <c r="C32" s="115"/>
      <c r="D32" s="145"/>
      <c r="E32" s="146"/>
      <c r="F32" s="96"/>
      <c r="G32" s="91"/>
      <c r="H32" s="96"/>
      <c r="I32" s="96"/>
      <c r="J32" s="39">
        <f>SUM(CW:CW)</f>
        <v>207.375</v>
      </c>
      <c r="K32" s="39">
        <f>E16</f>
        <v>7100</v>
      </c>
      <c r="L32" s="387">
        <f>J32/K32</f>
        <v>2.9207746478873239E-2</v>
      </c>
      <c r="M32" s="1027"/>
      <c r="N32" s="1028"/>
      <c r="O32" s="1027"/>
      <c r="P32" s="59"/>
      <c r="Q32" s="59"/>
      <c r="R32" s="60"/>
      <c r="S32" s="55"/>
      <c r="T32" s="380"/>
      <c r="U32" s="55"/>
      <c r="V32" s="61"/>
      <c r="AG32" s="62"/>
      <c r="AH32" s="62"/>
      <c r="AI32" s="62"/>
      <c r="AJ32" s="62"/>
      <c r="AK32" s="62"/>
      <c r="AL32" s="62"/>
      <c r="AM32" s="62"/>
      <c r="AN32" s="62"/>
      <c r="AO32" s="62"/>
      <c r="AP32" s="62"/>
      <c r="AQ32" s="62"/>
      <c r="AR32" s="62"/>
      <c r="AS32" s="62"/>
      <c r="AT32" s="62"/>
      <c r="AU32" s="62"/>
      <c r="AV32" s="62"/>
      <c r="AW32" s="62"/>
      <c r="AX32" s="62"/>
      <c r="AY32" s="62"/>
      <c r="AZ32" s="38"/>
      <c r="BB32" s="62"/>
      <c r="BC32" s="62"/>
      <c r="BD32" s="62"/>
      <c r="BE32" s="62"/>
      <c r="BF32" s="62"/>
      <c r="BG32" s="62"/>
      <c r="BH32" s="62"/>
      <c r="BI32" s="62"/>
      <c r="BJ32" s="62"/>
      <c r="BK32" s="62"/>
      <c r="BL32" s="62"/>
      <c r="BM32" s="62"/>
      <c r="BN32" s="62"/>
      <c r="BO32" s="62"/>
      <c r="BP32" s="62"/>
      <c r="BQ32" s="62"/>
      <c r="BR32" s="62"/>
      <c r="BS32" s="62"/>
      <c r="BT32" s="62"/>
      <c r="BU32" s="62"/>
      <c r="BV32" s="62"/>
      <c r="BW32" s="59">
        <v>100</v>
      </c>
      <c r="BX32" s="3">
        <f>9+(11/12)</f>
        <v>9.9166666666666661</v>
      </c>
      <c r="BY32" s="55">
        <v>41897</v>
      </c>
      <c r="BZ32" s="55">
        <f t="shared" si="381"/>
        <v>45519.0625</v>
      </c>
      <c r="CA32" s="55">
        <v>41866</v>
      </c>
      <c r="CB32" s="1" t="s">
        <v>668</v>
      </c>
      <c r="CC32" s="160">
        <v>2.375E-2</v>
      </c>
      <c r="CD32" s="165">
        <f t="shared" si="487"/>
        <v>1.1875</v>
      </c>
      <c r="CE32" s="163">
        <f t="shared" si="407"/>
        <v>2.375</v>
      </c>
      <c r="CF32" s="39">
        <f t="shared" si="408"/>
        <v>23.552083333333332</v>
      </c>
      <c r="CG32" s="73">
        <f t="shared" si="409"/>
        <v>123.55208333333333</v>
      </c>
      <c r="CH32" s="73">
        <f t="shared" si="488"/>
        <v>0.19791666666666666</v>
      </c>
      <c r="CI32" s="54" t="str">
        <f t="shared" si="430"/>
        <v>Feb</v>
      </c>
      <c r="CJ32" s="54" t="str">
        <f t="shared" si="431"/>
        <v>Aug</v>
      </c>
      <c r="CK32" s="62"/>
      <c r="CL32" s="62"/>
      <c r="CM32" s="62"/>
      <c r="CN32" s="62"/>
      <c r="CO32" s="59">
        <v>100</v>
      </c>
      <c r="CP32" s="3">
        <v>30</v>
      </c>
      <c r="CQ32" s="55">
        <v>41866</v>
      </c>
      <c r="CR32" s="55">
        <f t="shared" si="329"/>
        <v>52823.5</v>
      </c>
      <c r="CS32" s="55">
        <v>41866</v>
      </c>
      <c r="CT32" s="23" t="s">
        <v>591</v>
      </c>
      <c r="CU32" s="160">
        <v>3.125E-2</v>
      </c>
      <c r="CV32" s="165">
        <f t="shared" si="625"/>
        <v>1.5625</v>
      </c>
      <c r="CW32" s="163">
        <f t="shared" si="626"/>
        <v>3.125</v>
      </c>
      <c r="CX32" s="73">
        <f t="shared" si="627"/>
        <v>93.75</v>
      </c>
      <c r="CY32" s="203">
        <f t="shared" si="628"/>
        <v>193.75</v>
      </c>
      <c r="CZ32" s="203">
        <f t="shared" si="636"/>
        <v>0.26041666666666669</v>
      </c>
      <c r="DA32" s="54" t="str">
        <f t="shared" si="361"/>
        <v>Feb</v>
      </c>
      <c r="DB32" s="54" t="str">
        <f t="shared" si="362"/>
        <v>Aug</v>
      </c>
      <c r="DC32" s="62"/>
      <c r="DD32" s="62"/>
      <c r="DE32" s="204"/>
      <c r="DF32" s="480" t="s">
        <v>1946</v>
      </c>
      <c r="DG32" s="59">
        <v>100</v>
      </c>
      <c r="DH32" s="3">
        <f>29+(4/12)</f>
        <v>29.333333333333332</v>
      </c>
      <c r="DI32" s="55">
        <v>41578</v>
      </c>
      <c r="DJ32" s="55">
        <f t="shared" si="306"/>
        <v>52292</v>
      </c>
      <c r="DK32" s="55">
        <v>41501</v>
      </c>
      <c r="DL32" s="1" t="s">
        <v>457</v>
      </c>
      <c r="DM32" s="160">
        <v>6.2500000000000003E-3</v>
      </c>
      <c r="DN32" s="165">
        <f t="shared" si="643"/>
        <v>0.32703125000000005</v>
      </c>
      <c r="DO32" s="163">
        <f t="shared" si="308"/>
        <v>0.6540625000000001</v>
      </c>
      <c r="DP32" s="73">
        <f t="shared" si="309"/>
        <v>19.185833333333335</v>
      </c>
      <c r="DQ32" s="203">
        <f t="shared" si="336"/>
        <v>123.83583333333334</v>
      </c>
      <c r="DR32" s="203">
        <f t="shared" si="618"/>
        <v>5.450520833333334E-2</v>
      </c>
      <c r="DS32" s="54" t="str">
        <f t="shared" si="337"/>
        <v>Feb</v>
      </c>
      <c r="DT32" s="54" t="str">
        <f t="shared" si="338"/>
        <v>Aug</v>
      </c>
      <c r="DU32" s="44">
        <v>104.65</v>
      </c>
      <c r="DV32" s="579">
        <v>42597</v>
      </c>
      <c r="DW32" s="40">
        <f t="shared" si="462"/>
        <v>4.6499999999999986E-2</v>
      </c>
      <c r="DX32" s="39">
        <f t="shared" si="339"/>
        <v>4.6500000000000057</v>
      </c>
      <c r="DY32" s="355">
        <f t="shared" si="311"/>
        <v>1019</v>
      </c>
      <c r="DZ32" s="39">
        <f t="shared" si="312"/>
        <v>4.5632973503434799E-3</v>
      </c>
      <c r="EA32" s="62"/>
      <c r="EB32" s="1"/>
      <c r="EC32" s="380">
        <f t="shared" ca="1" si="83"/>
        <v>0</v>
      </c>
      <c r="ED32" s="73">
        <v>40</v>
      </c>
      <c r="EE32" s="38">
        <v>30</v>
      </c>
      <c r="EF32" s="54">
        <v>42186</v>
      </c>
      <c r="EG32" s="55">
        <f t="shared" si="393"/>
        <v>53143.5</v>
      </c>
      <c r="EH32" s="61" t="s">
        <v>122</v>
      </c>
      <c r="EI32" s="61">
        <f t="shared" ca="1" si="394"/>
        <v>19</v>
      </c>
      <c r="EJ32" s="38" t="s">
        <v>796</v>
      </c>
      <c r="EK32" s="39">
        <v>40.159999999999997</v>
      </c>
      <c r="EL32" s="39">
        <f t="shared" si="480"/>
        <v>0.15999999999999659</v>
      </c>
      <c r="EM32" s="40">
        <f t="shared" si="599"/>
        <v>4.0000000000000036E-3</v>
      </c>
      <c r="EN32" s="39">
        <f t="shared" ca="1" si="465"/>
        <v>8.4210526315787685E-3</v>
      </c>
      <c r="EO32" s="43">
        <f t="shared" ca="1" si="397"/>
        <v>1</v>
      </c>
      <c r="EP32" s="39">
        <f t="shared" ca="1" si="398"/>
        <v>42.256306372047689</v>
      </c>
      <c r="EQ32" s="39">
        <f t="shared" ca="1" si="466"/>
        <v>2.256306372047689</v>
      </c>
      <c r="ER32" s="153">
        <f t="shared" ca="1" si="467"/>
        <v>0.11875296694987837</v>
      </c>
      <c r="ET32" s="37"/>
      <c r="EU32" s="1360">
        <f t="shared" ca="1" si="90"/>
        <v>0</v>
      </c>
      <c r="EV32" s="173">
        <v>0</v>
      </c>
      <c r="EW32" s="747">
        <v>30</v>
      </c>
      <c r="EX32" s="55">
        <v>42887</v>
      </c>
      <c r="EY32" s="55">
        <f t="shared" ref="EY32" si="650">EX32+EW32*365.25</f>
        <v>53844.5</v>
      </c>
      <c r="EZ32" s="61">
        <f t="shared" ref="EZ32" ca="1" si="651">IF(EX32&gt;$G$1,0,DATEDIF(EX32,$G$1,"M"))</f>
        <v>0</v>
      </c>
      <c r="FA32" s="37" t="s">
        <v>2559</v>
      </c>
      <c r="FB32" s="39">
        <v>0</v>
      </c>
      <c r="FC32" s="39">
        <f t="shared" ref="FC32" si="652">FB32-EV32</f>
        <v>0</v>
      </c>
      <c r="FD32" s="40" t="e">
        <f t="shared" ref="FD32" si="653">FB32/EV32-1</f>
        <v>#DIV/0!</v>
      </c>
      <c r="FE32" s="39"/>
      <c r="FF32" s="43">
        <f t="shared" ref="FF32" ca="1" si="654">IF(EX32&lt;$G$1-365.25,1,0)</f>
        <v>0</v>
      </c>
      <c r="FH32" s="150">
        <v>15</v>
      </c>
      <c r="FI32" s="149">
        <f t="shared" si="516"/>
        <v>4200</v>
      </c>
      <c r="FJ32" s="82">
        <f t="shared" si="517"/>
        <v>4619.9111678786248</v>
      </c>
      <c r="FK32" s="375"/>
      <c r="FL32" s="73">
        <f t="shared" si="531"/>
        <v>63000</v>
      </c>
      <c r="FM32" s="39">
        <f t="shared" si="532"/>
        <v>84429.454105686367</v>
      </c>
      <c r="FN32" s="679">
        <f t="shared" si="518"/>
        <v>0.34015006516962498</v>
      </c>
      <c r="FR32" s="438"/>
      <c r="FS32" s="550">
        <v>3</v>
      </c>
      <c r="FT32" s="58">
        <v>1</v>
      </c>
      <c r="FU32" s="38">
        <v>5</v>
      </c>
      <c r="FV32" s="38">
        <f t="shared" si="624"/>
        <v>1.001249843841072</v>
      </c>
      <c r="FW32" s="39">
        <f t="shared" si="634"/>
        <v>25.181771832473807</v>
      </c>
      <c r="FX32" s="153"/>
      <c r="FY32" s="552">
        <v>20</v>
      </c>
      <c r="FZ32" s="39">
        <f>FW260</f>
        <v>26.544720317566689</v>
      </c>
      <c r="GA32" s="39">
        <f t="shared" si="379"/>
        <v>1.5447203175666893</v>
      </c>
      <c r="GB32" s="386">
        <f t="shared" si="380"/>
        <v>6.1788812702667562E-2</v>
      </c>
      <c r="GD32" s="497">
        <v>2000</v>
      </c>
      <c r="GE32" s="1109">
        <v>1868891.93</v>
      </c>
      <c r="GF32" s="1109">
        <f t="shared" si="635"/>
        <v>1868891.93</v>
      </c>
      <c r="GG32" s="1114">
        <f t="shared" si="642"/>
        <v>0.28224929741333815</v>
      </c>
    </row>
    <row r="33" spans="2:189" ht="12.75" customHeight="1" thickBot="1">
      <c r="B33" s="113" t="s">
        <v>2632</v>
      </c>
      <c r="C33" s="536">
        <v>30.09</v>
      </c>
      <c r="D33" s="1288" t="s">
        <v>534</v>
      </c>
      <c r="E33" s="359" t="s">
        <v>533</v>
      </c>
      <c r="F33" s="360" t="s">
        <v>473</v>
      </c>
      <c r="G33" s="91"/>
      <c r="K33" s="39"/>
      <c r="L33" s="1"/>
      <c r="M33" s="1027"/>
      <c r="N33" s="1027"/>
      <c r="O33" s="1027"/>
      <c r="P33" s="59"/>
      <c r="Q33" s="59"/>
      <c r="R33" s="60"/>
      <c r="S33" s="55"/>
      <c r="T33" s="380"/>
      <c r="U33" s="55"/>
      <c r="V33" s="61"/>
      <c r="W33" s="144"/>
      <c r="X33" s="144"/>
      <c r="Y33" s="144"/>
      <c r="Z33" s="144"/>
      <c r="AA33" s="144"/>
      <c r="AB33" s="144"/>
      <c r="AC33" s="144"/>
      <c r="AD33" s="144"/>
      <c r="AE33" s="144"/>
      <c r="AF33" s="144"/>
      <c r="AG33" s="62"/>
      <c r="AH33" s="62"/>
      <c r="AI33" s="62"/>
      <c r="AJ33" s="62"/>
      <c r="AK33" s="62"/>
      <c r="AL33" s="62"/>
      <c r="AM33" s="62"/>
      <c r="AN33" s="62"/>
      <c r="AO33" s="62"/>
      <c r="AP33" s="62"/>
      <c r="AQ33" s="62"/>
      <c r="AR33" s="62"/>
      <c r="AS33" s="62"/>
      <c r="AT33" s="62"/>
      <c r="AU33" s="62"/>
      <c r="AV33" s="62"/>
      <c r="AW33" s="62"/>
      <c r="AX33" s="62"/>
      <c r="AY33" s="62"/>
      <c r="AZ33" s="38"/>
      <c r="BA33" s="144"/>
      <c r="BB33" s="62"/>
      <c r="BL33" s="62"/>
      <c r="BM33" s="62"/>
      <c r="BN33" s="62"/>
      <c r="BO33" s="62"/>
      <c r="BP33" s="62"/>
      <c r="BQ33" s="62"/>
      <c r="BR33" s="62"/>
      <c r="BS33" s="62"/>
      <c r="BT33" s="62"/>
      <c r="BU33" s="62"/>
      <c r="BV33" s="62"/>
      <c r="BW33" s="59">
        <v>100</v>
      </c>
      <c r="BX33" s="3">
        <v>10</v>
      </c>
      <c r="BY33" s="55">
        <v>41866</v>
      </c>
      <c r="BZ33" s="55">
        <f t="shared" si="381"/>
        <v>45518.5</v>
      </c>
      <c r="CA33" s="55">
        <v>41866</v>
      </c>
      <c r="CB33" s="1" t="s">
        <v>667</v>
      </c>
      <c r="CC33" s="160">
        <v>2.375E-2</v>
      </c>
      <c r="CD33" s="165">
        <f t="shared" si="487"/>
        <v>1.1875</v>
      </c>
      <c r="CE33" s="163">
        <f t="shared" si="407"/>
        <v>2.375</v>
      </c>
      <c r="CF33" s="39">
        <f t="shared" si="408"/>
        <v>23.75</v>
      </c>
      <c r="CG33" s="73">
        <f t="shared" si="409"/>
        <v>123.75</v>
      </c>
      <c r="CH33" s="73">
        <f t="shared" si="488"/>
        <v>0.19791666666666666</v>
      </c>
      <c r="CI33" s="54" t="str">
        <f t="shared" si="430"/>
        <v>Feb</v>
      </c>
      <c r="CJ33" s="54" t="str">
        <f t="shared" si="431"/>
        <v>Aug</v>
      </c>
      <c r="CK33" s="62"/>
      <c r="CL33" s="62"/>
      <c r="CM33" s="62"/>
      <c r="CN33" s="62"/>
      <c r="CO33" s="59">
        <v>100</v>
      </c>
      <c r="CP33" s="3">
        <f>29+(10/12)</f>
        <v>29.833333333333332</v>
      </c>
      <c r="CQ33" s="55">
        <v>41835</v>
      </c>
      <c r="CR33" s="55">
        <f t="shared" si="329"/>
        <v>52731.625</v>
      </c>
      <c r="CS33" s="55">
        <v>41774</v>
      </c>
      <c r="CT33" s="23" t="s">
        <v>590</v>
      </c>
      <c r="CU33" s="160">
        <v>3.3750000000000002E-2</v>
      </c>
      <c r="CV33" s="165">
        <f t="shared" si="625"/>
        <v>1.6875</v>
      </c>
      <c r="CW33" s="163">
        <f t="shared" si="626"/>
        <v>3.375</v>
      </c>
      <c r="CX33" s="73">
        <f t="shared" si="627"/>
        <v>100.6875</v>
      </c>
      <c r="CY33" s="203">
        <f t="shared" si="628"/>
        <v>200.6875</v>
      </c>
      <c r="CZ33" s="203">
        <f t="shared" si="636"/>
        <v>0.28125</v>
      </c>
      <c r="DA33" s="54" t="str">
        <f t="shared" si="361"/>
        <v>Nov</v>
      </c>
      <c r="DB33" s="54" t="str">
        <f t="shared" si="362"/>
        <v>May</v>
      </c>
      <c r="DC33" s="62"/>
      <c r="DD33" s="62"/>
      <c r="DE33" s="204"/>
      <c r="DF33" s="39">
        <f>SUM(DU:DU)</f>
        <v>3982.349999999999</v>
      </c>
      <c r="DG33" s="59">
        <v>100</v>
      </c>
      <c r="DH33" s="3">
        <f>4+(8/12)</f>
        <v>4.666666666666667</v>
      </c>
      <c r="DI33" s="55">
        <v>41516</v>
      </c>
      <c r="DJ33" s="55">
        <f t="shared" si="306"/>
        <v>43220.5</v>
      </c>
      <c r="DK33" s="55">
        <v>41379</v>
      </c>
      <c r="DL33" s="1" t="s">
        <v>398</v>
      </c>
      <c r="DM33" s="160">
        <v>1.25E-3</v>
      </c>
      <c r="DN33" s="165">
        <f t="shared" si="643"/>
        <v>6.5093750000000006E-2</v>
      </c>
      <c r="DO33" s="163">
        <f t="shared" si="308"/>
        <v>0.13018750000000001</v>
      </c>
      <c r="DP33" s="73">
        <f t="shared" si="309"/>
        <v>0.60754166666666676</v>
      </c>
      <c r="DQ33" s="203">
        <f t="shared" si="336"/>
        <v>104.75754166666667</v>
      </c>
      <c r="DR33" s="203">
        <f t="shared" si="618"/>
        <v>1.0848958333333334E-2</v>
      </c>
      <c r="DS33" s="54" t="str">
        <f t="shared" si="337"/>
        <v>Oct</v>
      </c>
      <c r="DT33" s="54" t="str">
        <f t="shared" si="338"/>
        <v>Apr</v>
      </c>
      <c r="DU33" s="44">
        <v>104.15</v>
      </c>
      <c r="DV33" s="579">
        <v>42660</v>
      </c>
      <c r="DW33" s="40">
        <f t="shared" si="462"/>
        <v>4.1500000000000092E-2</v>
      </c>
      <c r="DX33" s="39">
        <f t="shared" si="339"/>
        <v>4.1500000000000057</v>
      </c>
      <c r="DY33" s="355">
        <f t="shared" si="311"/>
        <v>1144</v>
      </c>
      <c r="DZ33" s="39">
        <f t="shared" si="312"/>
        <v>3.6276223776223826E-3</v>
      </c>
      <c r="EA33" s="62"/>
      <c r="EB33" s="203" t="s">
        <v>1494</v>
      </c>
      <c r="EC33" s="380">
        <f t="shared" ca="1" si="83"/>
        <v>0</v>
      </c>
      <c r="ED33" s="73">
        <v>40</v>
      </c>
      <c r="EE33" s="38">
        <v>30</v>
      </c>
      <c r="EF33" s="54">
        <v>42156</v>
      </c>
      <c r="EG33" s="55">
        <f t="shared" si="393"/>
        <v>53113.5</v>
      </c>
      <c r="EH33" s="61" t="s">
        <v>122</v>
      </c>
      <c r="EI33" s="61">
        <f t="shared" ca="1" si="394"/>
        <v>20</v>
      </c>
      <c r="EJ33" s="38" t="s">
        <v>795</v>
      </c>
      <c r="EK33" s="39">
        <v>40.19</v>
      </c>
      <c r="EL33" s="39">
        <f t="shared" si="480"/>
        <v>0.18999999999999773</v>
      </c>
      <c r="EM33" s="40">
        <f t="shared" si="599"/>
        <v>4.750000000000032E-3</v>
      </c>
      <c r="EN33" s="39">
        <f t="shared" ca="1" si="465"/>
        <v>9.499999999999887E-3</v>
      </c>
      <c r="EO33" s="43">
        <f t="shared" ca="1" si="397"/>
        <v>1</v>
      </c>
      <c r="EP33" s="39">
        <f t="shared" ca="1" si="398"/>
        <v>42.378523774371814</v>
      </c>
      <c r="EQ33" s="39">
        <f t="shared" ca="1" si="466"/>
        <v>2.3785237743718142</v>
      </c>
      <c r="ER33" s="153">
        <f t="shared" ca="1" si="467"/>
        <v>0.1189261887185907</v>
      </c>
      <c r="ET33" s="37"/>
      <c r="EU33" s="1360">
        <f t="shared" ca="1" si="90"/>
        <v>0</v>
      </c>
      <c r="EV33" s="173">
        <v>0</v>
      </c>
      <c r="EW33" s="747">
        <v>30</v>
      </c>
      <c r="EX33" s="55">
        <v>42856</v>
      </c>
      <c r="EY33" s="55">
        <f t="shared" ref="EY33" si="655">EX33+EW33*365.25</f>
        <v>53813.5</v>
      </c>
      <c r="EZ33" s="61">
        <f t="shared" ref="EZ33" ca="1" si="656">IF(EX33&gt;$G$1,0,DATEDIF(EX33,$G$1,"M"))</f>
        <v>0</v>
      </c>
      <c r="FA33" s="37" t="s">
        <v>2558</v>
      </c>
      <c r="FB33" s="39">
        <v>0</v>
      </c>
      <c r="FC33" s="39">
        <f t="shared" ref="FC33" si="657">FB33-EV33</f>
        <v>0</v>
      </c>
      <c r="FD33" s="40" t="e">
        <f t="shared" ref="FD33" si="658">FB33/EV33-1</f>
        <v>#DIV/0!</v>
      </c>
      <c r="FE33" s="39"/>
      <c r="FF33" s="43">
        <f t="shared" ref="FF33" ca="1" si="659">IF(EX33&lt;$G$1-365.25,1,0)</f>
        <v>0</v>
      </c>
      <c r="FH33" s="192">
        <v>16</v>
      </c>
      <c r="FI33" s="149">
        <f t="shared" si="516"/>
        <v>4200</v>
      </c>
      <c r="FJ33" s="82">
        <f t="shared" si="517"/>
        <v>4495.8263603334226</v>
      </c>
      <c r="FK33" s="375"/>
      <c r="FL33" s="73">
        <f t="shared" si="531"/>
        <v>67200</v>
      </c>
      <c r="FM33" s="39">
        <f t="shared" si="532"/>
        <v>88925.280466019787</v>
      </c>
      <c r="FN33" s="679">
        <f t="shared" si="518"/>
        <v>0.32329286407767532</v>
      </c>
      <c r="FR33" s="438"/>
      <c r="FS33" s="550">
        <v>3</v>
      </c>
      <c r="FT33" s="58">
        <v>1</v>
      </c>
      <c r="FU33" s="38">
        <v>6</v>
      </c>
      <c r="FV33" s="38">
        <f t="shared" si="624"/>
        <v>1.0015000000000001</v>
      </c>
      <c r="FW33" s="39">
        <f t="shared" si="634"/>
        <v>25.188063344383011</v>
      </c>
      <c r="FX33" s="153"/>
      <c r="FY33" s="552">
        <v>21</v>
      </c>
      <c r="FZ33" s="39">
        <f>FW273</f>
        <v>50.325813448390683</v>
      </c>
      <c r="GA33" s="39">
        <f t="shared" si="379"/>
        <v>25.325813448390683</v>
      </c>
      <c r="GB33" s="386">
        <f t="shared" si="380"/>
        <v>1.0130325379356275</v>
      </c>
      <c r="GD33" s="497">
        <v>2001</v>
      </c>
      <c r="GE33" s="1109">
        <v>1645082.28</v>
      </c>
      <c r="GF33" s="1109">
        <f t="shared" si="635"/>
        <v>1645082.28</v>
      </c>
      <c r="GG33" s="1114">
        <f t="shared" si="642"/>
        <v>-0.11975526589169871</v>
      </c>
    </row>
    <row r="34" spans="2:189">
      <c r="B34" s="113" t="s">
        <v>1989</v>
      </c>
      <c r="C34" s="536">
        <f>Metals!C3</f>
        <v>17.64</v>
      </c>
      <c r="D34" s="391">
        <f>INT(100/F31)+1</f>
        <v>34</v>
      </c>
      <c r="E34" s="197">
        <f>D34*100</f>
        <v>3400</v>
      </c>
      <c r="F34" s="82">
        <f>D34*F31</f>
        <v>100.64772727272731</v>
      </c>
      <c r="G34" s="91"/>
      <c r="H34" s="783" t="s">
        <v>680</v>
      </c>
      <c r="I34" s="389" t="s">
        <v>276</v>
      </c>
      <c r="J34" s="352" t="s">
        <v>681</v>
      </c>
      <c r="K34" s="455" t="s">
        <v>682</v>
      </c>
      <c r="L34" s="355"/>
      <c r="M34" s="1028"/>
      <c r="N34" s="1027"/>
      <c r="O34" s="1027"/>
      <c r="P34" s="59"/>
      <c r="Q34" s="59"/>
      <c r="R34" s="60"/>
      <c r="S34" s="55"/>
      <c r="T34" s="380"/>
      <c r="U34" s="55"/>
      <c r="V34" s="61"/>
      <c r="W34" s="144"/>
      <c r="X34" s="144"/>
      <c r="Y34" s="144"/>
      <c r="Z34" s="144"/>
      <c r="AA34" s="144"/>
      <c r="AB34" s="144"/>
      <c r="AC34" s="144"/>
      <c r="AD34" s="144"/>
      <c r="AE34" s="144"/>
      <c r="AF34" s="144"/>
      <c r="AG34" s="62"/>
      <c r="AH34" s="62"/>
      <c r="AI34" s="62"/>
      <c r="AJ34" s="62"/>
      <c r="AK34" s="62"/>
      <c r="AL34" s="62"/>
      <c r="AM34" s="62"/>
      <c r="AN34" s="62"/>
      <c r="AO34" s="62"/>
      <c r="AP34" s="62"/>
      <c r="AQ34" s="62"/>
      <c r="AR34" s="62"/>
      <c r="AS34" s="62"/>
      <c r="AT34" s="62"/>
      <c r="AU34" s="62"/>
      <c r="AV34" s="62"/>
      <c r="AW34" s="62"/>
      <c r="AX34" s="62"/>
      <c r="AY34" s="62"/>
      <c r="AZ34" s="38"/>
      <c r="BA34" s="144"/>
      <c r="BB34" s="62"/>
      <c r="BL34" s="62"/>
      <c r="BM34" s="62"/>
      <c r="BN34" s="62"/>
      <c r="BO34" s="62"/>
      <c r="BP34" s="62"/>
      <c r="BQ34" s="62"/>
      <c r="BR34" s="62"/>
      <c r="BS34" s="62"/>
      <c r="BT34" s="62"/>
      <c r="BU34" s="62"/>
      <c r="BV34" s="480"/>
      <c r="BW34" s="59">
        <v>100</v>
      </c>
      <c r="BX34" s="3">
        <f>9+(10/12)</f>
        <v>9.8333333333333339</v>
      </c>
      <c r="BY34" s="55">
        <v>41835</v>
      </c>
      <c r="BZ34" s="55">
        <f t="shared" si="381"/>
        <v>45426.625</v>
      </c>
      <c r="CA34" s="55">
        <v>41774</v>
      </c>
      <c r="CB34" s="1" t="s">
        <v>580</v>
      </c>
      <c r="CC34" s="160">
        <v>2.5000000000000001E-2</v>
      </c>
      <c r="CD34" s="165">
        <f t="shared" si="487"/>
        <v>1.25</v>
      </c>
      <c r="CE34" s="163">
        <f t="shared" si="407"/>
        <v>2.5</v>
      </c>
      <c r="CF34" s="39">
        <f t="shared" si="408"/>
        <v>24.583333333333336</v>
      </c>
      <c r="CG34" s="73">
        <f t="shared" si="409"/>
        <v>124.58333333333334</v>
      </c>
      <c r="CH34" s="73">
        <f t="shared" si="488"/>
        <v>0.20833333333333334</v>
      </c>
      <c r="CI34" s="54" t="str">
        <f t="shared" si="430"/>
        <v>Nov</v>
      </c>
      <c r="CJ34" s="54" t="str">
        <f t="shared" si="431"/>
        <v>May</v>
      </c>
      <c r="CK34" s="62"/>
      <c r="CL34" s="62"/>
      <c r="CM34" s="62"/>
      <c r="CN34" s="62"/>
      <c r="CO34" s="59">
        <v>300</v>
      </c>
      <c r="CP34" s="3">
        <f>29+(11/12)</f>
        <v>29.916666666666668</v>
      </c>
      <c r="CQ34" s="55">
        <v>41806</v>
      </c>
      <c r="CR34" s="55">
        <f t="shared" si="329"/>
        <v>52733.0625</v>
      </c>
      <c r="CS34" s="55">
        <v>41774</v>
      </c>
      <c r="CT34" s="23" t="s">
        <v>566</v>
      </c>
      <c r="CU34" s="160">
        <v>3.3750000000000002E-2</v>
      </c>
      <c r="CV34" s="165">
        <f t="shared" ref="CV34:CV39" si="660">CW34/2</f>
        <v>5.0625</v>
      </c>
      <c r="CW34" s="163">
        <f t="shared" si="626"/>
        <v>10.125</v>
      </c>
      <c r="CX34" s="73">
        <f t="shared" si="627"/>
        <v>302.90625</v>
      </c>
      <c r="CY34" s="203">
        <f t="shared" si="628"/>
        <v>602.90625</v>
      </c>
      <c r="CZ34" s="203">
        <f t="shared" si="636"/>
        <v>0.84375</v>
      </c>
      <c r="DA34" s="54" t="str">
        <f t="shared" si="361"/>
        <v>Nov</v>
      </c>
      <c r="DB34" s="54" t="str">
        <f t="shared" si="362"/>
        <v>May</v>
      </c>
      <c r="DC34" s="62"/>
      <c r="DD34" s="62"/>
      <c r="DE34" s="204"/>
      <c r="DF34" s="62"/>
      <c r="DG34" s="59">
        <v>100</v>
      </c>
      <c r="DH34" s="3">
        <v>10</v>
      </c>
      <c r="DI34" s="55">
        <v>41486</v>
      </c>
      <c r="DJ34" s="55">
        <f t="shared" si="306"/>
        <v>45138.5</v>
      </c>
      <c r="DK34" s="55">
        <v>41470</v>
      </c>
      <c r="DL34" s="1" t="s">
        <v>386</v>
      </c>
      <c r="DM34" s="160">
        <v>3.7499999999999999E-3</v>
      </c>
      <c r="DN34" s="165">
        <f t="shared" si="643"/>
        <v>0.19460625000000001</v>
      </c>
      <c r="DO34" s="163">
        <f t="shared" si="308"/>
        <v>0.38921250000000002</v>
      </c>
      <c r="DP34" s="73">
        <f t="shared" si="309"/>
        <v>3.8921250000000001</v>
      </c>
      <c r="DQ34" s="203">
        <f t="shared" si="336"/>
        <v>107.68212500000001</v>
      </c>
      <c r="DR34" s="203">
        <f t="shared" si="618"/>
        <v>3.2434375000000001E-2</v>
      </c>
      <c r="DS34" s="54" t="str">
        <f t="shared" si="337"/>
        <v>Jan</v>
      </c>
      <c r="DT34" s="54" t="str">
        <f t="shared" si="338"/>
        <v>Jul</v>
      </c>
      <c r="DU34" s="44">
        <v>103.79</v>
      </c>
      <c r="DV34" s="579">
        <v>42752</v>
      </c>
      <c r="DW34" s="40">
        <f t="shared" si="462"/>
        <v>3.7900000000000045E-2</v>
      </c>
      <c r="DX34" s="39">
        <f t="shared" si="339"/>
        <v>3.7900000000000063</v>
      </c>
      <c r="DY34" s="355">
        <f t="shared" si="311"/>
        <v>1266</v>
      </c>
      <c r="DZ34" s="39">
        <f t="shared" si="312"/>
        <v>2.9936808846761503E-3</v>
      </c>
      <c r="EA34" s="62"/>
      <c r="EB34" s="39">
        <f ca="1">SUM(EP:EP)</f>
        <v>3422.6739953547894</v>
      </c>
      <c r="EC34" s="380">
        <f t="shared" ca="1" si="83"/>
        <v>0</v>
      </c>
      <c r="ED34" s="73">
        <v>40</v>
      </c>
      <c r="EE34" s="38">
        <v>30</v>
      </c>
      <c r="EF34" s="54">
        <v>42125</v>
      </c>
      <c r="EG34" s="55">
        <f t="shared" si="393"/>
        <v>53082.5</v>
      </c>
      <c r="EH34" s="61" t="s">
        <v>122</v>
      </c>
      <c r="EI34" s="61">
        <f t="shared" ca="1" si="394"/>
        <v>21</v>
      </c>
      <c r="EJ34" s="38" t="s">
        <v>794</v>
      </c>
      <c r="EK34" s="39">
        <v>40.19</v>
      </c>
      <c r="EL34" s="39">
        <f t="shared" si="480"/>
        <v>0.18999999999999773</v>
      </c>
      <c r="EM34" s="40">
        <f t="shared" si="599"/>
        <v>4.750000000000032E-3</v>
      </c>
      <c r="EN34" s="39">
        <f t="shared" ca="1" si="465"/>
        <v>9.0476190476189398E-3</v>
      </c>
      <c r="EO34" s="43">
        <f t="shared" ca="1" si="397"/>
        <v>1</v>
      </c>
      <c r="EP34" s="39">
        <f t="shared" ca="1" si="398"/>
        <v>42.501094664606114</v>
      </c>
      <c r="EQ34" s="39">
        <f t="shared" ca="1" si="466"/>
        <v>2.5010946646061143</v>
      </c>
      <c r="ER34" s="153">
        <f t="shared" ca="1" si="467"/>
        <v>0.11909974593362449</v>
      </c>
      <c r="ET34" s="37"/>
      <c r="EU34" s="1360">
        <f t="shared" ca="1" si="90"/>
        <v>0</v>
      </c>
      <c r="EV34" s="173">
        <v>0</v>
      </c>
      <c r="EW34" s="747">
        <v>30</v>
      </c>
      <c r="EX34" s="55">
        <v>42856</v>
      </c>
      <c r="EY34" s="55">
        <f t="shared" ref="EY34" si="661">EX34+EW34*365.25</f>
        <v>53813.5</v>
      </c>
      <c r="EZ34" s="61">
        <f t="shared" ref="EZ34" ca="1" si="662">IF(EX34&gt;$G$1,0,DATEDIF(EX34,$G$1,"M"))</f>
        <v>0</v>
      </c>
      <c r="FA34" s="37" t="s">
        <v>2557</v>
      </c>
      <c r="FB34" s="39">
        <v>0</v>
      </c>
      <c r="FC34" s="39">
        <f t="shared" ref="FC34" si="663">FB34-EV34</f>
        <v>0</v>
      </c>
      <c r="FD34" s="40" t="e">
        <f t="shared" ref="FD34" si="664">FB34/EV34-1</f>
        <v>#DIV/0!</v>
      </c>
      <c r="FE34" s="39"/>
      <c r="FF34" s="43">
        <f t="shared" ref="FF34" ca="1" si="665">IF(EX34&lt;$G$1-365.25,1,0)</f>
        <v>0</v>
      </c>
      <c r="FH34" s="150">
        <v>17</v>
      </c>
      <c r="FI34" s="149">
        <f t="shared" si="516"/>
        <v>4200</v>
      </c>
      <c r="FJ34" s="82">
        <f t="shared" si="517"/>
        <v>4375.0743093941437</v>
      </c>
      <c r="FK34" s="375"/>
      <c r="FL34" s="73">
        <f t="shared" si="531"/>
        <v>71400</v>
      </c>
      <c r="FM34" s="39">
        <f t="shared" si="532"/>
        <v>93300.354775413929</v>
      </c>
      <c r="FN34" s="679">
        <f t="shared" si="518"/>
        <v>0.30672765791896262</v>
      </c>
      <c r="FR34" s="438"/>
      <c r="FS34" s="550">
        <v>3</v>
      </c>
      <c r="FT34" s="58">
        <v>2</v>
      </c>
      <c r="FU34" s="38">
        <v>1</v>
      </c>
      <c r="FV34" s="38">
        <f t="shared" si="624"/>
        <v>1.0002498438930771</v>
      </c>
      <c r="FW34" s="39">
        <f>$FW$33*FV34</f>
        <v>25.194356428188044</v>
      </c>
      <c r="FX34" s="153"/>
      <c r="FY34" s="552">
        <v>22</v>
      </c>
      <c r="FZ34" s="39">
        <f>FW286</f>
        <v>50.476904121816119</v>
      </c>
      <c r="GA34" s="39">
        <f t="shared" si="379"/>
        <v>25.476904121816119</v>
      </c>
      <c r="GB34" s="386">
        <f t="shared" si="380"/>
        <v>1.019076164872645</v>
      </c>
      <c r="GD34" s="497">
        <v>2002</v>
      </c>
      <c r="GE34" s="1109">
        <v>744675.06</v>
      </c>
      <c r="GF34" s="1109">
        <f t="shared" si="635"/>
        <v>744675.06</v>
      </c>
      <c r="GG34" s="1114">
        <f t="shared" si="642"/>
        <v>-0.54733263554452727</v>
      </c>
    </row>
    <row r="35" spans="2:189" ht="13.5" thickBot="1">
      <c r="B35" s="113" t="s">
        <v>1415</v>
      </c>
      <c r="C35" s="1348">
        <f>C34/C33-1</f>
        <v>-0.41375872382851442</v>
      </c>
      <c r="D35" s="91"/>
      <c r="E35" s="362"/>
      <c r="F35" s="363"/>
      <c r="G35" s="91"/>
      <c r="H35" s="454">
        <v>1</v>
      </c>
      <c r="I35" s="786">
        <f>E31</f>
        <v>2.9602272727272737E-2</v>
      </c>
      <c r="J35" s="102">
        <f>(12*H35)/I35</f>
        <v>405.37428023032618</v>
      </c>
      <c r="K35" s="456">
        <f>CEILING(J35,100)</f>
        <v>500</v>
      </c>
      <c r="L35" s="355"/>
      <c r="M35" s="1027"/>
      <c r="N35" s="1027"/>
      <c r="O35" s="1027"/>
      <c r="P35" s="59"/>
      <c r="Q35" s="59"/>
      <c r="R35" s="60"/>
      <c r="S35" s="55"/>
      <c r="T35" s="380"/>
      <c r="U35" s="55"/>
      <c r="V35" s="61"/>
      <c r="AG35" s="62"/>
      <c r="AH35" s="62"/>
      <c r="AI35" s="62"/>
      <c r="AJ35" s="62"/>
      <c r="AK35" s="62"/>
      <c r="AL35" s="62"/>
      <c r="AM35" s="62"/>
      <c r="AN35" s="62"/>
      <c r="AO35" s="62"/>
      <c r="AP35" s="62"/>
      <c r="AQ35" s="62"/>
      <c r="AR35" s="62"/>
      <c r="AS35" s="62"/>
      <c r="AT35" s="62"/>
      <c r="AU35" s="62"/>
      <c r="AV35" s="62"/>
      <c r="AW35" s="62"/>
      <c r="AX35" s="62"/>
      <c r="AY35" s="62"/>
      <c r="AZ35" s="38"/>
      <c r="BB35" s="62"/>
      <c r="BL35" s="62"/>
      <c r="BM35" s="62"/>
      <c r="BN35" s="62"/>
      <c r="BO35" s="62"/>
      <c r="BP35" s="62"/>
      <c r="BQ35" s="62"/>
      <c r="BR35" s="62"/>
      <c r="BS35" s="62"/>
      <c r="BT35" s="38"/>
      <c r="BU35" s="38"/>
      <c r="BW35" s="59">
        <v>100</v>
      </c>
      <c r="BX35" s="3">
        <f>9+(11/12)</f>
        <v>9.9166666666666661</v>
      </c>
      <c r="BY35" s="55">
        <v>41806</v>
      </c>
      <c r="BZ35" s="55">
        <f t="shared" si="381"/>
        <v>45428.0625</v>
      </c>
      <c r="CA35" s="55">
        <v>41774</v>
      </c>
      <c r="CB35" s="1" t="s">
        <v>579</v>
      </c>
      <c r="CC35" s="160">
        <v>2.5000000000000001E-2</v>
      </c>
      <c r="CD35" s="165">
        <f t="shared" si="487"/>
        <v>1.25</v>
      </c>
      <c r="CE35" s="163">
        <f t="shared" si="407"/>
        <v>2.5</v>
      </c>
      <c r="CF35" s="39">
        <f t="shared" si="408"/>
        <v>24.791666666666664</v>
      </c>
      <c r="CG35" s="73">
        <f t="shared" si="409"/>
        <v>124.79166666666666</v>
      </c>
      <c r="CH35" s="73">
        <f t="shared" si="488"/>
        <v>0.20833333333333334</v>
      </c>
      <c r="CI35" s="54" t="str">
        <f t="shared" si="430"/>
        <v>Nov</v>
      </c>
      <c r="CJ35" s="54" t="str">
        <f t="shared" si="431"/>
        <v>May</v>
      </c>
      <c r="CK35" s="62"/>
      <c r="CL35" s="38"/>
      <c r="CM35" s="38"/>
      <c r="CN35" s="38"/>
      <c r="CO35" s="59">
        <v>300</v>
      </c>
      <c r="CP35" s="3">
        <v>30</v>
      </c>
      <c r="CQ35" s="55">
        <v>41774</v>
      </c>
      <c r="CR35" s="55">
        <f t="shared" si="329"/>
        <v>52731.5</v>
      </c>
      <c r="CS35" s="55">
        <v>41774</v>
      </c>
      <c r="CT35" s="23" t="s">
        <v>552</v>
      </c>
      <c r="CU35" s="160">
        <v>3.3750000000000002E-2</v>
      </c>
      <c r="CV35" s="165">
        <f t="shared" si="660"/>
        <v>5.0625</v>
      </c>
      <c r="CW35" s="163">
        <f t="shared" si="626"/>
        <v>10.125</v>
      </c>
      <c r="CX35" s="73">
        <f t="shared" si="627"/>
        <v>303.75</v>
      </c>
      <c r="CY35" s="203">
        <f t="shared" si="628"/>
        <v>603.75</v>
      </c>
      <c r="CZ35" s="203">
        <f t="shared" si="636"/>
        <v>0.84375</v>
      </c>
      <c r="DA35" s="54" t="str">
        <f t="shared" si="361"/>
        <v>Nov</v>
      </c>
      <c r="DB35" s="54" t="str">
        <f t="shared" si="362"/>
        <v>May</v>
      </c>
      <c r="DC35" s="62"/>
      <c r="DD35" s="62"/>
      <c r="DE35" s="204"/>
      <c r="DF35" s="52" t="s">
        <v>1947</v>
      </c>
      <c r="DG35" s="59">
        <v>100</v>
      </c>
      <c r="DH35" s="3">
        <f>29+(8/12)</f>
        <v>29.666666666666668</v>
      </c>
      <c r="DI35" s="55">
        <v>41453</v>
      </c>
      <c r="DJ35" s="55">
        <f t="shared" si="306"/>
        <v>52288.75</v>
      </c>
      <c r="DK35" s="55">
        <v>41320</v>
      </c>
      <c r="DL35" s="1" t="s">
        <v>316</v>
      </c>
      <c r="DM35" s="160">
        <v>6.2500000000000003E-3</v>
      </c>
      <c r="DN35" s="165">
        <f t="shared" si="643"/>
        <v>0.32703125000000005</v>
      </c>
      <c r="DO35" s="163">
        <f t="shared" si="308"/>
        <v>0.6540625000000001</v>
      </c>
      <c r="DP35" s="73">
        <f t="shared" si="309"/>
        <v>19.403854166666669</v>
      </c>
      <c r="DQ35" s="203">
        <f t="shared" si="336"/>
        <v>124.05385416666667</v>
      </c>
      <c r="DR35" s="203">
        <f t="shared" si="618"/>
        <v>5.450520833333334E-2</v>
      </c>
      <c r="DS35" s="54" t="str">
        <f t="shared" si="337"/>
        <v>Aug</v>
      </c>
      <c r="DT35" s="54" t="str">
        <f t="shared" si="338"/>
        <v>Feb</v>
      </c>
      <c r="DU35" s="44">
        <v>104.65</v>
      </c>
      <c r="DV35" s="579">
        <v>42597</v>
      </c>
      <c r="DW35" s="40">
        <f>DU35/DG35-1</f>
        <v>4.6499999999999986E-2</v>
      </c>
      <c r="DX35" s="39">
        <f t="shared" si="339"/>
        <v>4.6500000000000057</v>
      </c>
      <c r="DY35" s="355">
        <f t="shared" si="311"/>
        <v>1144</v>
      </c>
      <c r="DZ35" s="39">
        <f t="shared" si="312"/>
        <v>4.0646853146853196E-3</v>
      </c>
      <c r="EA35" s="62"/>
      <c r="EB35" s="1"/>
      <c r="EC35" s="380">
        <f t="shared" ca="1" si="83"/>
        <v>0</v>
      </c>
      <c r="ED35" s="73">
        <v>40</v>
      </c>
      <c r="EE35" s="38">
        <v>30</v>
      </c>
      <c r="EF35" s="54">
        <v>42095</v>
      </c>
      <c r="EG35" s="55">
        <f t="shared" si="393"/>
        <v>53052.5</v>
      </c>
      <c r="EH35" s="61" t="s">
        <v>122</v>
      </c>
      <c r="EI35" s="61">
        <f t="shared" ca="1" si="394"/>
        <v>22</v>
      </c>
      <c r="EJ35" s="38" t="s">
        <v>793</v>
      </c>
      <c r="EK35" s="39">
        <v>40.1</v>
      </c>
      <c r="EL35" s="39">
        <f t="shared" si="480"/>
        <v>0.10000000000000142</v>
      </c>
      <c r="EM35" s="40">
        <f t="shared" si="599"/>
        <v>2.4999999999999467E-3</v>
      </c>
      <c r="EN35" s="39">
        <f t="shared" ca="1" si="465"/>
        <v>4.5454545454546103E-3</v>
      </c>
      <c r="EO35" s="43">
        <f t="shared" ca="1" si="397"/>
        <v>1</v>
      </c>
      <c r="EP35" s="39">
        <f t="shared" ca="1" si="398"/>
        <v>42.624020065139376</v>
      </c>
      <c r="EQ35" s="39">
        <f t="shared" ca="1" si="466"/>
        <v>2.6240200651393764</v>
      </c>
      <c r="ER35" s="153">
        <f t="shared" ca="1" si="467"/>
        <v>0.11927363932451711</v>
      </c>
      <c r="ET35" s="37"/>
      <c r="EU35" s="1360">
        <f t="shared" ca="1" si="90"/>
        <v>0</v>
      </c>
      <c r="EV35" s="173">
        <v>0</v>
      </c>
      <c r="EW35" s="747">
        <v>30</v>
      </c>
      <c r="EX35" s="55">
        <v>42856</v>
      </c>
      <c r="EY35" s="55">
        <f t="shared" ref="EY35" si="666">EX35+EW35*365.25</f>
        <v>53813.5</v>
      </c>
      <c r="EZ35" s="61">
        <f t="shared" ref="EZ35" ca="1" si="667">IF(EX35&gt;$G$1,0,DATEDIF(EX35,$G$1,"M"))</f>
        <v>0</v>
      </c>
      <c r="FA35" s="37" t="s">
        <v>2556</v>
      </c>
      <c r="FB35" s="39">
        <v>0</v>
      </c>
      <c r="FC35" s="39">
        <f t="shared" ref="FC35" si="668">FB35-EV35</f>
        <v>0</v>
      </c>
      <c r="FD35" s="40" t="e">
        <f t="shared" ref="FD35" si="669">FB35/EV35-1</f>
        <v>#DIV/0!</v>
      </c>
      <c r="FE35" s="39"/>
      <c r="FF35" s="43">
        <f t="shared" ref="FF35" ca="1" si="670">IF(EX35&lt;$G$1-365.25,1,0)</f>
        <v>0</v>
      </c>
      <c r="FH35" s="192">
        <v>18</v>
      </c>
      <c r="FI35" s="149">
        <f t="shared" si="516"/>
        <v>4200</v>
      </c>
      <c r="FJ35" s="82">
        <f t="shared" si="517"/>
        <v>4257.5655015513266</v>
      </c>
      <c r="FK35" s="375"/>
      <c r="FL35" s="73">
        <f t="shared" si="531"/>
        <v>75600</v>
      </c>
      <c r="FM35" s="39">
        <f t="shared" si="532"/>
        <v>97557.920276965262</v>
      </c>
      <c r="FN35" s="679">
        <f t="shared" si="518"/>
        <v>0.29044868091223885</v>
      </c>
      <c r="FR35" s="438"/>
      <c r="FS35" s="550">
        <v>3</v>
      </c>
      <c r="FT35" s="58">
        <v>2</v>
      </c>
      <c r="FU35" s="38">
        <v>2</v>
      </c>
      <c r="FV35" s="38">
        <f t="shared" si="624"/>
        <v>1.0004997502081252</v>
      </c>
      <c r="FW35" s="39">
        <f t="shared" ref="FW35:FW39" si="671">$FW$33*FV35</f>
        <v>25.200651084281638</v>
      </c>
      <c r="FX35" s="153"/>
      <c r="FY35" s="552">
        <v>23</v>
      </c>
      <c r="FZ35" s="39">
        <f>FW299</f>
        <v>50.628448407215849</v>
      </c>
      <c r="GA35" s="39">
        <f t="shared" si="379"/>
        <v>25.628448407215849</v>
      </c>
      <c r="GB35" s="386">
        <f t="shared" si="380"/>
        <v>1.0251379362886341</v>
      </c>
      <c r="GD35" s="497">
        <v>2003</v>
      </c>
      <c r="GE35" s="1109">
        <v>1277423.3999999999</v>
      </c>
      <c r="GF35" s="1109">
        <f t="shared" si="635"/>
        <v>1277423.3999999999</v>
      </c>
      <c r="GG35" s="1114">
        <f t="shared" si="642"/>
        <v>0.71541047715496187</v>
      </c>
    </row>
    <row r="36" spans="2:189">
      <c r="B36" s="497"/>
      <c r="C36" s="115"/>
      <c r="D36" s="172" t="s">
        <v>535</v>
      </c>
      <c r="E36" s="364" t="s">
        <v>533</v>
      </c>
      <c r="F36" s="365" t="s">
        <v>473</v>
      </c>
      <c r="G36" s="91"/>
      <c r="H36" s="96"/>
      <c r="I36" s="96"/>
      <c r="J36" s="28"/>
      <c r="M36" s="1027"/>
      <c r="N36" s="1027"/>
      <c r="O36" s="1027"/>
      <c r="P36" s="59"/>
      <c r="Q36" s="59"/>
      <c r="R36" s="60"/>
      <c r="S36" s="55"/>
      <c r="T36" s="380"/>
      <c r="U36" s="55"/>
      <c r="V36" s="61"/>
      <c r="AG36" s="62"/>
      <c r="AH36" s="62"/>
      <c r="AI36" s="62"/>
      <c r="AJ36" s="62"/>
      <c r="AK36" s="62"/>
      <c r="AL36" s="62"/>
      <c r="AM36" s="62"/>
      <c r="AN36" s="62"/>
      <c r="AO36" s="62"/>
      <c r="AP36" s="62"/>
      <c r="AQ36" s="62"/>
      <c r="AR36" s="62"/>
      <c r="AS36" s="62"/>
      <c r="AT36" s="62"/>
      <c r="AU36" s="62"/>
      <c r="AV36" s="62"/>
      <c r="AW36" s="62"/>
      <c r="AX36" s="62"/>
      <c r="AY36" s="62"/>
      <c r="BB36" s="38"/>
      <c r="BL36" s="62"/>
      <c r="BM36" s="62"/>
      <c r="BN36" s="62"/>
      <c r="BO36" s="62"/>
      <c r="BP36" s="62"/>
      <c r="BQ36" s="62"/>
      <c r="BR36" s="62"/>
      <c r="BS36" s="62"/>
      <c r="BT36" s="62"/>
      <c r="BU36" s="62"/>
      <c r="BV36" s="62"/>
      <c r="BW36" s="59">
        <v>100</v>
      </c>
      <c r="BX36" s="3">
        <f>9+(10/12)</f>
        <v>9.8333333333333339</v>
      </c>
      <c r="BY36" s="55">
        <v>41744</v>
      </c>
      <c r="BZ36" s="55">
        <f t="shared" si="381"/>
        <v>45335.625</v>
      </c>
      <c r="CA36" s="55">
        <v>41685</v>
      </c>
      <c r="CB36" s="1" t="s">
        <v>537</v>
      </c>
      <c r="CC36" s="160">
        <v>2.75E-2</v>
      </c>
      <c r="CD36" s="165">
        <f t="shared" si="487"/>
        <v>1.375</v>
      </c>
      <c r="CE36" s="163">
        <f t="shared" si="407"/>
        <v>2.75</v>
      </c>
      <c r="CF36" s="39">
        <f t="shared" si="408"/>
        <v>27.041666666666668</v>
      </c>
      <c r="CG36" s="73">
        <f t="shared" si="409"/>
        <v>127.04166666666667</v>
      </c>
      <c r="CH36" s="73">
        <f t="shared" si="488"/>
        <v>0.22916666666666666</v>
      </c>
      <c r="CI36" s="54" t="str">
        <f t="shared" si="430"/>
        <v>Aug</v>
      </c>
      <c r="CJ36" s="54" t="str">
        <f t="shared" si="431"/>
        <v>Feb</v>
      </c>
      <c r="CK36" s="38"/>
      <c r="CL36" s="62"/>
      <c r="CM36" s="62"/>
      <c r="CN36" s="62"/>
      <c r="CO36" s="59">
        <v>200</v>
      </c>
      <c r="CP36" s="3">
        <f>29+(10/12)</f>
        <v>29.833333333333332</v>
      </c>
      <c r="CQ36" s="55">
        <v>41744</v>
      </c>
      <c r="CR36" s="55">
        <f t="shared" si="329"/>
        <v>52640.625</v>
      </c>
      <c r="CS36" s="55">
        <v>41685</v>
      </c>
      <c r="CT36" s="23" t="s">
        <v>536</v>
      </c>
      <c r="CU36" s="160">
        <v>3.6249999999999998E-2</v>
      </c>
      <c r="CV36" s="165">
        <f t="shared" si="660"/>
        <v>3.6249999999999996</v>
      </c>
      <c r="CW36" s="163">
        <f t="shared" si="626"/>
        <v>7.2499999999999991</v>
      </c>
      <c r="CX36" s="73">
        <f t="shared" si="627"/>
        <v>216.29166666666663</v>
      </c>
      <c r="CY36" s="203">
        <f t="shared" si="628"/>
        <v>416.29166666666663</v>
      </c>
      <c r="CZ36" s="203">
        <f t="shared" si="636"/>
        <v>0.60416666666666663</v>
      </c>
      <c r="DA36" s="54" t="str">
        <f t="shared" si="361"/>
        <v>Aug</v>
      </c>
      <c r="DB36" s="54" t="str">
        <f t="shared" si="362"/>
        <v>Feb</v>
      </c>
      <c r="DC36" s="38"/>
      <c r="DD36" s="38"/>
      <c r="DE36" s="62"/>
      <c r="DF36" s="39">
        <f>DF33-DF3</f>
        <v>82.349999999999</v>
      </c>
      <c r="DG36" s="59">
        <v>100</v>
      </c>
      <c r="DH36" s="3">
        <f>9+(8/12)</f>
        <v>9.6666666666666661</v>
      </c>
      <c r="DI36" s="55">
        <v>41425</v>
      </c>
      <c r="DJ36" s="55">
        <f t="shared" si="306"/>
        <v>44955.75</v>
      </c>
      <c r="DK36" s="55">
        <v>41289</v>
      </c>
      <c r="DL36" s="1" t="s">
        <v>301</v>
      </c>
      <c r="DM36" s="160">
        <v>1.25E-3</v>
      </c>
      <c r="DN36" s="165">
        <f t="shared" si="643"/>
        <v>6.54E-2</v>
      </c>
      <c r="DO36" s="163">
        <f t="shared" si="308"/>
        <v>0.1308</v>
      </c>
      <c r="DP36" s="73">
        <f t="shared" si="309"/>
        <v>1.2644</v>
      </c>
      <c r="DQ36" s="203">
        <f t="shared" si="336"/>
        <v>105.9044</v>
      </c>
      <c r="DR36" s="203">
        <f t="shared" si="618"/>
        <v>1.09E-2</v>
      </c>
      <c r="DS36" s="54" t="str">
        <f t="shared" si="337"/>
        <v>Jul</v>
      </c>
      <c r="DT36" s="54" t="str">
        <f t="shared" si="338"/>
        <v>Jan</v>
      </c>
      <c r="DU36" s="44">
        <v>104.64</v>
      </c>
      <c r="DV36" s="579">
        <v>42752</v>
      </c>
      <c r="DW36" s="40">
        <f t="shared" si="462"/>
        <v>4.6399999999999997E-2</v>
      </c>
      <c r="DX36" s="39">
        <f t="shared" si="339"/>
        <v>4.6400000000000006</v>
      </c>
      <c r="DY36" s="355">
        <f t="shared" si="311"/>
        <v>1327</v>
      </c>
      <c r="DZ36" s="39">
        <f t="shared" si="312"/>
        <v>3.4966088922381315E-3</v>
      </c>
      <c r="EA36" s="38"/>
      <c r="EB36" s="39" t="s">
        <v>1495</v>
      </c>
      <c r="EC36" s="380">
        <f t="shared" ca="1" si="83"/>
        <v>0</v>
      </c>
      <c r="ED36" s="73">
        <v>40</v>
      </c>
      <c r="EE36" s="38">
        <v>30</v>
      </c>
      <c r="EF36" s="54">
        <v>42064</v>
      </c>
      <c r="EG36" s="55">
        <f t="shared" si="393"/>
        <v>53021.5</v>
      </c>
      <c r="EH36" s="61" t="s">
        <v>122</v>
      </c>
      <c r="EI36" s="61">
        <f t="shared" ca="1" si="394"/>
        <v>23</v>
      </c>
      <c r="EJ36" s="38" t="s">
        <v>792</v>
      </c>
      <c r="EK36" s="39">
        <v>40.1</v>
      </c>
      <c r="EL36" s="39">
        <f t="shared" si="480"/>
        <v>0.10000000000000142</v>
      </c>
      <c r="EM36" s="40">
        <f t="shared" si="599"/>
        <v>2.4999999999999467E-3</v>
      </c>
      <c r="EN36" s="39">
        <f t="shared" ca="1" si="465"/>
        <v>4.3478260869565834E-3</v>
      </c>
      <c r="EO36" s="43">
        <f t="shared" ca="1" si="397"/>
        <v>1</v>
      </c>
      <c r="EP36" s="39">
        <f t="shared" ca="1" si="398"/>
        <v>42.747301001317439</v>
      </c>
      <c r="EQ36" s="39">
        <f t="shared" ca="1" si="466"/>
        <v>2.7473010013174388</v>
      </c>
      <c r="ER36" s="153">
        <f t="shared" ca="1" si="467"/>
        <v>0.11944786962249734</v>
      </c>
      <c r="ET36" s="37"/>
      <c r="EU36" s="1360">
        <f t="shared" ca="1" si="90"/>
        <v>0</v>
      </c>
      <c r="EV36" s="173">
        <v>0</v>
      </c>
      <c r="EW36" s="747">
        <v>30</v>
      </c>
      <c r="EX36" s="55">
        <v>42856</v>
      </c>
      <c r="EY36" s="55">
        <f t="shared" ref="EY36" si="672">EX36+EW36*365.25</f>
        <v>53813.5</v>
      </c>
      <c r="EZ36" s="61">
        <f t="shared" ref="EZ36" ca="1" si="673">IF(EX36&gt;$G$1,0,DATEDIF(EX36,$G$1,"M"))</f>
        <v>0</v>
      </c>
      <c r="FA36" s="37" t="s">
        <v>2555</v>
      </c>
      <c r="FB36" s="39">
        <v>0</v>
      </c>
      <c r="FC36" s="39">
        <f t="shared" ref="FC36" si="674">FB36-EV36</f>
        <v>0</v>
      </c>
      <c r="FD36" s="40" t="e">
        <f t="shared" ref="FD36" si="675">FB36/EV36-1</f>
        <v>#DIV/0!</v>
      </c>
      <c r="FE36" s="39"/>
      <c r="FF36" s="43">
        <f t="shared" ref="FF36" ca="1" si="676">IF(EX36&lt;$G$1-365.25,1,0)</f>
        <v>0</v>
      </c>
      <c r="FH36" s="192"/>
      <c r="FI36" s="149"/>
      <c r="FJ36" s="82"/>
      <c r="FK36" s="549" t="s">
        <v>1101</v>
      </c>
      <c r="FL36" s="73"/>
      <c r="FR36" s="438"/>
      <c r="FS36" s="550">
        <v>3</v>
      </c>
      <c r="FT36" s="58">
        <v>2</v>
      </c>
      <c r="FU36" s="38">
        <v>3</v>
      </c>
      <c r="FV36" s="38">
        <f t="shared" si="624"/>
        <v>1.0007497189607399</v>
      </c>
      <c r="FW36" s="39">
        <f t="shared" si="671"/>
        <v>25.206947313056613</v>
      </c>
      <c r="FX36" s="153"/>
      <c r="FY36" s="552">
        <v>24</v>
      </c>
      <c r="FZ36" s="39">
        <f>FW312</f>
        <v>50.78044766644642</v>
      </c>
      <c r="GA36" s="39">
        <f t="shared" si="379"/>
        <v>25.78044766644642</v>
      </c>
      <c r="GB36" s="386">
        <f t="shared" si="380"/>
        <v>1.0312179066578566</v>
      </c>
      <c r="GD36" s="497">
        <v>2004</v>
      </c>
      <c r="GE36" s="1109">
        <v>664911.25</v>
      </c>
      <c r="GF36" s="1109">
        <f t="shared" si="635"/>
        <v>664911.25</v>
      </c>
      <c r="GG36" s="1114">
        <f t="shared" si="642"/>
        <v>-0.47949031620995819</v>
      </c>
    </row>
    <row r="37" spans="2:189" ht="13.5" thickBot="1">
      <c r="B37" s="1119" t="s">
        <v>2633</v>
      </c>
      <c r="C37" s="1346">
        <f>C29/C34-1</f>
        <v>0.48299319727891143</v>
      </c>
      <c r="D37" s="697">
        <f>INT(1200/F31)+1</f>
        <v>406</v>
      </c>
      <c r="E37" s="358">
        <f>D37*100</f>
        <v>40600</v>
      </c>
      <c r="F37" s="88">
        <f>(D37*F31)/12</f>
        <v>100.1543560606061</v>
      </c>
      <c r="G37" s="91"/>
      <c r="H37" s="96"/>
      <c r="I37" s="96"/>
      <c r="J37" s="28"/>
      <c r="M37" s="1027"/>
      <c r="N37" s="1027"/>
      <c r="O37" s="1027"/>
      <c r="P37" s="59"/>
      <c r="Q37" s="59"/>
      <c r="R37" s="60"/>
      <c r="S37" s="55"/>
      <c r="T37" s="380"/>
      <c r="U37" s="55"/>
      <c r="V37" s="61"/>
      <c r="AG37" s="62"/>
      <c r="AH37" s="62"/>
      <c r="AI37" s="62"/>
      <c r="AJ37" s="62"/>
      <c r="AK37" s="62"/>
      <c r="AL37" s="62"/>
      <c r="AM37" s="62"/>
      <c r="AN37" s="62"/>
      <c r="AO37" s="62"/>
      <c r="AP37" s="62"/>
      <c r="AQ37" s="62"/>
      <c r="AR37" s="62"/>
      <c r="AS37" s="62"/>
      <c r="AT37" s="62"/>
      <c r="AU37" s="62"/>
      <c r="AV37" s="62"/>
      <c r="AW37" s="62"/>
      <c r="AX37" s="62"/>
      <c r="AY37" s="62"/>
      <c r="BB37" s="62"/>
      <c r="BL37" s="62"/>
      <c r="BM37" s="62"/>
      <c r="BN37" s="62"/>
      <c r="BO37" s="62"/>
      <c r="BP37" s="62"/>
      <c r="BQ37" s="62"/>
      <c r="BR37" s="62"/>
      <c r="BS37" s="62"/>
      <c r="BV37" s="1"/>
      <c r="BW37" s="59">
        <v>100</v>
      </c>
      <c r="BX37" s="3">
        <f>9+(11/12)</f>
        <v>9.9166666666666661</v>
      </c>
      <c r="BY37" s="55">
        <v>41715</v>
      </c>
      <c r="BZ37" s="55">
        <f t="shared" si="381"/>
        <v>45337.0625</v>
      </c>
      <c r="CA37" s="55">
        <v>41685</v>
      </c>
      <c r="CB37" s="1" t="s">
        <v>517</v>
      </c>
      <c r="CC37" s="160">
        <v>2.75E-2</v>
      </c>
      <c r="CD37" s="165">
        <f t="shared" si="487"/>
        <v>1.375</v>
      </c>
      <c r="CE37" s="163">
        <f t="shared" si="407"/>
        <v>2.75</v>
      </c>
      <c r="CF37" s="39">
        <f t="shared" si="408"/>
        <v>27.270833333333332</v>
      </c>
      <c r="CG37" s="73">
        <f t="shared" si="409"/>
        <v>127.27083333333333</v>
      </c>
      <c r="CH37" s="73">
        <f t="shared" si="488"/>
        <v>0.22916666666666666</v>
      </c>
      <c r="CI37" s="54" t="str">
        <f t="shared" si="430"/>
        <v>Aug</v>
      </c>
      <c r="CJ37" s="54" t="str">
        <f t="shared" si="431"/>
        <v>Feb</v>
      </c>
      <c r="CK37" s="62"/>
      <c r="CO37" s="59">
        <v>100</v>
      </c>
      <c r="CP37" s="3">
        <f>29+(11/12)</f>
        <v>29.916666666666668</v>
      </c>
      <c r="CQ37" s="55">
        <v>41715</v>
      </c>
      <c r="CR37" s="55">
        <f t="shared" si="329"/>
        <v>52642.0625</v>
      </c>
      <c r="CS37" s="55">
        <v>41685</v>
      </c>
      <c r="CT37" s="23" t="s">
        <v>516</v>
      </c>
      <c r="CU37" s="160">
        <v>3.6249999999999998E-2</v>
      </c>
      <c r="CV37" s="165">
        <f t="shared" si="660"/>
        <v>1.8124999999999998</v>
      </c>
      <c r="CW37" s="163">
        <f t="shared" si="626"/>
        <v>3.6249999999999996</v>
      </c>
      <c r="CX37" s="73">
        <f t="shared" si="627"/>
        <v>108.44791666666666</v>
      </c>
      <c r="CY37" s="203">
        <f t="shared" si="628"/>
        <v>208.44791666666666</v>
      </c>
      <c r="CZ37" s="203">
        <f t="shared" si="636"/>
        <v>0.30208333333333331</v>
      </c>
      <c r="DA37" s="54" t="str">
        <f t="shared" si="361"/>
        <v>Aug</v>
      </c>
      <c r="DB37" s="54" t="str">
        <f t="shared" si="362"/>
        <v>Feb</v>
      </c>
      <c r="DC37" s="62"/>
      <c r="DD37" s="62"/>
      <c r="DE37" s="62"/>
      <c r="DF37" s="154"/>
      <c r="DG37" s="59"/>
      <c r="DH37" s="3"/>
      <c r="DI37" s="55"/>
      <c r="DJ37" s="55"/>
      <c r="DK37" s="55"/>
      <c r="DL37" s="1"/>
      <c r="DM37" s="160"/>
      <c r="DN37" s="165"/>
      <c r="DO37" s="163"/>
      <c r="DP37" s="73"/>
      <c r="DQ37" s="39"/>
      <c r="DR37" s="39"/>
      <c r="DS37" s="62"/>
      <c r="DT37" s="62"/>
      <c r="DU37" s="39"/>
      <c r="DV37" s="62"/>
      <c r="DW37" s="40"/>
      <c r="DX37" s="40"/>
      <c r="DY37" s="355"/>
      <c r="DZ37" s="40"/>
      <c r="EA37" s="62"/>
      <c r="EB37" s="386">
        <f ca="1">EB34/EB6-1</f>
        <v>7.9506967269433293E-2</v>
      </c>
      <c r="EC37" s="380">
        <f t="shared" ca="1" si="83"/>
        <v>0</v>
      </c>
      <c r="ED37" s="73">
        <v>40</v>
      </c>
      <c r="EE37" s="38">
        <v>30</v>
      </c>
      <c r="EF37" s="54">
        <v>42036</v>
      </c>
      <c r="EG37" s="55">
        <f t="shared" si="393"/>
        <v>52993.5</v>
      </c>
      <c r="EH37" s="61" t="s">
        <v>122</v>
      </c>
      <c r="EI37" s="61">
        <f t="shared" ca="1" si="394"/>
        <v>24</v>
      </c>
      <c r="EJ37" s="38" t="s">
        <v>791</v>
      </c>
      <c r="EK37" s="39">
        <v>40.1</v>
      </c>
      <c r="EL37" s="39">
        <f t="shared" si="480"/>
        <v>0.10000000000000142</v>
      </c>
      <c r="EM37" s="40">
        <f t="shared" si="599"/>
        <v>2.4999999999999467E-3</v>
      </c>
      <c r="EN37" s="39">
        <f t="shared" ca="1" si="465"/>
        <v>4.1666666666667256E-3</v>
      </c>
      <c r="EO37" s="43">
        <f t="shared" ca="1" si="397"/>
        <v>1</v>
      </c>
      <c r="EP37" s="39">
        <f t="shared" ca="1" si="398"/>
        <v>42.870938501451732</v>
      </c>
      <c r="EQ37" s="39">
        <f t="shared" ca="1" si="466"/>
        <v>2.8709385014517323</v>
      </c>
      <c r="ER37" s="153">
        <f t="shared" ca="1" si="467"/>
        <v>0.11962243756048885</v>
      </c>
      <c r="ET37" s="37"/>
      <c r="EU37" s="1360">
        <f t="shared" ca="1" si="90"/>
        <v>0</v>
      </c>
      <c r="EV37" s="173">
        <v>0</v>
      </c>
      <c r="EW37" s="747">
        <v>30</v>
      </c>
      <c r="EX37" s="55">
        <v>42856</v>
      </c>
      <c r="EY37" s="55">
        <f t="shared" ref="EY37" si="677">EX37+EW37*365.25</f>
        <v>53813.5</v>
      </c>
      <c r="EZ37" s="61">
        <f t="shared" ref="EZ37" ca="1" si="678">IF(EX37&gt;$G$1,0,DATEDIF(EX37,$G$1,"M"))</f>
        <v>0</v>
      </c>
      <c r="FA37" s="37" t="s">
        <v>2554</v>
      </c>
      <c r="FB37" s="39">
        <v>0</v>
      </c>
      <c r="FC37" s="39">
        <f t="shared" ref="FC37" si="679">FB37-EV37</f>
        <v>0</v>
      </c>
      <c r="FD37" s="40" t="e">
        <f t="shared" ref="FD37" si="680">FB37/EV37-1</f>
        <v>#DIV/0!</v>
      </c>
      <c r="FE37" s="39"/>
      <c r="FF37" s="43">
        <f t="shared" ref="FF37" ca="1" si="681">IF(EX37&lt;$G$1-365.25,1,0)</f>
        <v>0</v>
      </c>
      <c r="FH37" s="51"/>
      <c r="FI37" s="378">
        <f>SUM(FI18:FI36)</f>
        <v>75600</v>
      </c>
      <c r="FJ37" s="379">
        <f>SUM(FJ18:FJ36)</f>
        <v>97557.920276965262</v>
      </c>
      <c r="FK37" s="386">
        <f>FJ37/FI37-1</f>
        <v>0.29044868091223885</v>
      </c>
      <c r="FL37" s="73"/>
      <c r="FM37" s="153"/>
      <c r="FR37" s="438"/>
      <c r="FS37" s="550">
        <v>3</v>
      </c>
      <c r="FT37" s="58">
        <v>2</v>
      </c>
      <c r="FU37" s="38">
        <v>4</v>
      </c>
      <c r="FV37" s="38">
        <f t="shared" si="624"/>
        <v>1.0009997501665211</v>
      </c>
      <c r="FW37" s="39">
        <f t="shared" si="671"/>
        <v>25.213245114905902</v>
      </c>
      <c r="FX37" s="153"/>
      <c r="FY37" s="552">
        <v>25</v>
      </c>
      <c r="FZ37" s="39">
        <f>FW325</f>
        <v>50.932903265453014</v>
      </c>
      <c r="GA37" s="39">
        <f t="shared" si="379"/>
        <v>25.932903265453014</v>
      </c>
      <c r="GB37" s="386">
        <f t="shared" si="380"/>
        <v>1.0373161306181204</v>
      </c>
      <c r="GD37" s="497">
        <v>2005</v>
      </c>
      <c r="GE37" s="1109">
        <v>1455541.65</v>
      </c>
      <c r="GF37" s="1109">
        <f t="shared" si="635"/>
        <v>1455541.65</v>
      </c>
      <c r="GG37" s="1114">
        <f t="shared" si="642"/>
        <v>1.1890765872889051</v>
      </c>
    </row>
    <row r="38" spans="2:189" ht="13.5" thickBot="1">
      <c r="D38" s="391"/>
      <c r="E38" s="197"/>
      <c r="F38" s="96"/>
      <c r="G38" s="91"/>
      <c r="H38" s="96"/>
      <c r="I38" s="96"/>
      <c r="J38" s="28"/>
      <c r="M38" s="1027"/>
      <c r="N38" s="1027"/>
      <c r="O38" s="1027"/>
      <c r="P38" s="59"/>
      <c r="Q38" s="59"/>
      <c r="R38" s="60"/>
      <c r="S38" s="55"/>
      <c r="T38" s="380"/>
      <c r="U38" s="55"/>
      <c r="V38" s="61"/>
      <c r="AG38" s="62"/>
      <c r="AH38" s="62"/>
      <c r="AI38" s="62"/>
      <c r="AJ38" s="62"/>
      <c r="AK38" s="62"/>
      <c r="AL38" s="62"/>
      <c r="AM38" s="62"/>
      <c r="AN38" s="62"/>
      <c r="AO38" s="62"/>
      <c r="AP38" s="62"/>
      <c r="AQ38" s="62"/>
      <c r="AR38" s="62"/>
      <c r="AS38" s="62"/>
      <c r="AT38" s="62"/>
      <c r="AU38" s="62"/>
      <c r="AV38" s="62"/>
      <c r="AW38" s="62"/>
      <c r="AX38" s="62"/>
      <c r="AY38" s="62"/>
      <c r="AZ38" s="144"/>
      <c r="BL38" s="62"/>
      <c r="BM38" s="62"/>
      <c r="BN38" s="62"/>
      <c r="BO38" s="62"/>
      <c r="BP38" s="62"/>
      <c r="BQ38" s="62"/>
      <c r="BR38" s="62"/>
      <c r="BS38" s="62"/>
      <c r="BW38" s="59">
        <v>100</v>
      </c>
      <c r="BX38" s="3">
        <f>9+(11/12)</f>
        <v>9.9166666666666661</v>
      </c>
      <c r="BY38" s="55">
        <v>41624</v>
      </c>
      <c r="BZ38" s="55">
        <f t="shared" si="381"/>
        <v>45246.0625</v>
      </c>
      <c r="CA38" s="55">
        <v>41593</v>
      </c>
      <c r="CB38" s="1" t="s">
        <v>481</v>
      </c>
      <c r="CC38" s="160">
        <v>2.75E-2</v>
      </c>
      <c r="CD38" s="165">
        <f t="shared" si="487"/>
        <v>1.375</v>
      </c>
      <c r="CE38" s="163">
        <f t="shared" si="407"/>
        <v>2.75</v>
      </c>
      <c r="CF38" s="39">
        <f t="shared" si="408"/>
        <v>27.270833333333332</v>
      </c>
      <c r="CG38" s="73">
        <f t="shared" si="409"/>
        <v>127.27083333333333</v>
      </c>
      <c r="CH38" s="73">
        <f t="shared" si="488"/>
        <v>0.22916666666666666</v>
      </c>
      <c r="CI38" s="54" t="str">
        <f t="shared" si="430"/>
        <v>May</v>
      </c>
      <c r="CJ38" s="54" t="str">
        <f t="shared" si="431"/>
        <v>Nov</v>
      </c>
      <c r="CO38" s="59">
        <v>200</v>
      </c>
      <c r="CP38" s="3">
        <v>30</v>
      </c>
      <c r="CQ38" s="55">
        <v>41688</v>
      </c>
      <c r="CR38" s="55">
        <f t="shared" si="329"/>
        <v>52645.5</v>
      </c>
      <c r="CS38" s="55">
        <v>41685</v>
      </c>
      <c r="CT38" s="23" t="s">
        <v>489</v>
      </c>
      <c r="CU38" s="160">
        <v>3.6249999999999998E-2</v>
      </c>
      <c r="CV38" s="165">
        <f t="shared" si="660"/>
        <v>3.6249999999999996</v>
      </c>
      <c r="CW38" s="163">
        <f t="shared" si="626"/>
        <v>7.2499999999999991</v>
      </c>
      <c r="CX38" s="73">
        <f t="shared" si="627"/>
        <v>217.49999999999997</v>
      </c>
      <c r="CY38" s="203">
        <f t="shared" si="628"/>
        <v>417.5</v>
      </c>
      <c r="CZ38" s="203">
        <f t="shared" si="636"/>
        <v>0.60416666666666663</v>
      </c>
      <c r="DA38" s="54" t="str">
        <f t="shared" si="361"/>
        <v>Aug</v>
      </c>
      <c r="DB38" s="54" t="str">
        <f t="shared" si="362"/>
        <v>Feb</v>
      </c>
      <c r="DD38" s="1399" t="s">
        <v>2767</v>
      </c>
      <c r="DE38" s="62"/>
      <c r="DF38" s="480" t="s">
        <v>1945</v>
      </c>
      <c r="DG38" s="59"/>
      <c r="DH38" s="3"/>
      <c r="DI38" s="55"/>
      <c r="DJ38" s="55"/>
      <c r="DK38" s="55"/>
      <c r="DL38" s="1"/>
      <c r="DM38" s="160"/>
      <c r="DN38" s="165"/>
      <c r="DO38" s="163"/>
      <c r="DP38" s="73"/>
      <c r="DQ38" s="39"/>
      <c r="DR38" s="39"/>
      <c r="DS38" s="62"/>
      <c r="DT38" s="62"/>
      <c r="DU38" s="39"/>
      <c r="DV38" s="62"/>
      <c r="DW38" s="40"/>
      <c r="DX38" s="40"/>
      <c r="DY38" s="355"/>
      <c r="DZ38" s="40"/>
      <c r="EB38" s="1"/>
      <c r="EC38" s="380">
        <f t="shared" ca="1" si="83"/>
        <v>0</v>
      </c>
      <c r="ED38" s="73">
        <v>40</v>
      </c>
      <c r="EE38" s="38">
        <v>30</v>
      </c>
      <c r="EF38" s="54">
        <v>42005</v>
      </c>
      <c r="EG38" s="55">
        <f t="shared" si="393"/>
        <v>52962.5</v>
      </c>
      <c r="EH38" s="61" t="s">
        <v>122</v>
      </c>
      <c r="EI38" s="61">
        <f t="shared" ca="1" si="394"/>
        <v>25</v>
      </c>
      <c r="EJ38" s="38" t="s">
        <v>790</v>
      </c>
      <c r="EK38" s="39">
        <v>40.1</v>
      </c>
      <c r="EL38" s="39">
        <f t="shared" si="480"/>
        <v>0.10000000000000142</v>
      </c>
      <c r="EM38" s="40">
        <f t="shared" si="599"/>
        <v>2.4999999999999467E-3</v>
      </c>
      <c r="EN38" s="39">
        <f t="shared" ca="1" si="465"/>
        <v>4.0000000000000565E-3</v>
      </c>
      <c r="EO38" s="43">
        <f t="shared" ca="1" si="397"/>
        <v>1</v>
      </c>
      <c r="EP38" s="39">
        <f t="shared" ca="1" si="398"/>
        <v>42.994933596827863</v>
      </c>
      <c r="EQ38" s="39">
        <f t="shared" ca="1" si="466"/>
        <v>2.9949335968278632</v>
      </c>
      <c r="ER38" s="153">
        <f t="shared" ca="1" si="467"/>
        <v>0.11979734387311453</v>
      </c>
      <c r="ET38" s="37"/>
      <c r="EU38" s="1360">
        <f t="shared" ca="1" si="90"/>
        <v>0</v>
      </c>
      <c r="EV38" s="173">
        <v>0</v>
      </c>
      <c r="EW38" s="747">
        <v>30</v>
      </c>
      <c r="EX38" s="55">
        <v>42826</v>
      </c>
      <c r="EY38" s="55">
        <f t="shared" ref="EY38" si="682">EX38+EW38*365.25</f>
        <v>53783.5</v>
      </c>
      <c r="EZ38" s="61">
        <f t="shared" ref="EZ38" ca="1" si="683">IF(EX38&gt;$G$1,0,DATEDIF(EX38,$G$1,"M"))</f>
        <v>0</v>
      </c>
      <c r="FA38" s="37" t="s">
        <v>2553</v>
      </c>
      <c r="FB38" s="39">
        <v>0</v>
      </c>
      <c r="FC38" s="39">
        <f t="shared" ref="FC38" si="684">FB38-EV38</f>
        <v>0</v>
      </c>
      <c r="FD38" s="40" t="e">
        <f t="shared" ref="FD38" si="685">FB38/EV38-1</f>
        <v>#DIV/0!</v>
      </c>
      <c r="FE38" s="39"/>
      <c r="FF38" s="43">
        <f t="shared" ref="FF38" ca="1" si="686">IF(EX38&lt;$G$1-365.25,1,0)</f>
        <v>0</v>
      </c>
      <c r="FH38" s="172"/>
      <c r="FI38" s="149"/>
      <c r="FJ38" s="96"/>
      <c r="FK38" s="375"/>
      <c r="FR38" s="438"/>
      <c r="FS38" s="550">
        <v>3</v>
      </c>
      <c r="FT38" s="58">
        <v>2</v>
      </c>
      <c r="FU38" s="38">
        <v>5</v>
      </c>
      <c r="FV38" s="38">
        <f t="shared" si="624"/>
        <v>1.001249843841072</v>
      </c>
      <c r="FW38" s="39">
        <f t="shared" si="671"/>
        <v>25.219544490222518</v>
      </c>
      <c r="FX38" s="153"/>
      <c r="FY38" s="552">
        <v>26</v>
      </c>
      <c r="FZ38" s="39">
        <f>FW338</f>
        <v>51.085816574281729</v>
      </c>
      <c r="GA38" s="39">
        <f t="shared" si="379"/>
        <v>26.085816574281729</v>
      </c>
      <c r="GB38" s="386">
        <f t="shared" si="380"/>
        <v>1.0434326629712691</v>
      </c>
      <c r="GD38" s="497">
        <v>2006</v>
      </c>
      <c r="GE38" s="1109">
        <v>1646209.41</v>
      </c>
      <c r="GF38" s="1109">
        <f t="shared" si="635"/>
        <v>1646209.41</v>
      </c>
      <c r="GG38" s="1114">
        <f t="shared" si="642"/>
        <v>0.13099436900345651</v>
      </c>
    </row>
    <row r="39" spans="2:189">
      <c r="C39" s="747" t="s">
        <v>2012</v>
      </c>
      <c r="D39" s="787" t="s">
        <v>1532</v>
      </c>
      <c r="E39" s="788" t="s">
        <v>1491</v>
      </c>
      <c r="F39" s="788" t="s">
        <v>1670</v>
      </c>
      <c r="G39" s="816" t="s">
        <v>445</v>
      </c>
      <c r="H39" s="1285" t="s">
        <v>46</v>
      </c>
      <c r="I39" s="788"/>
      <c r="J39" s="105" t="s">
        <v>1384</v>
      </c>
      <c r="K39" s="788"/>
      <c r="L39" s="699"/>
      <c r="M39" s="1027"/>
      <c r="N39" s="848"/>
      <c r="O39" s="1027"/>
      <c r="P39" s="59"/>
      <c r="Q39" s="59"/>
      <c r="R39" s="60"/>
      <c r="S39" s="55"/>
      <c r="T39" s="380"/>
      <c r="U39" s="55"/>
      <c r="V39" s="61"/>
      <c r="AG39" s="62"/>
      <c r="AH39" s="62"/>
      <c r="AI39" s="62"/>
      <c r="AJ39" s="62"/>
      <c r="AK39" s="62"/>
      <c r="AL39" s="62"/>
      <c r="AM39" s="62"/>
      <c r="AN39" s="62"/>
      <c r="AO39" s="62"/>
      <c r="AP39" s="62"/>
      <c r="AQ39" s="62"/>
      <c r="AR39" s="62"/>
      <c r="AS39" s="62"/>
      <c r="AT39" s="62"/>
      <c r="AU39" s="62"/>
      <c r="AV39" s="62"/>
      <c r="AW39" s="62"/>
      <c r="AX39" s="62"/>
      <c r="AY39" s="62"/>
      <c r="AZ39" s="144"/>
      <c r="BL39" s="62"/>
      <c r="BM39" s="62"/>
      <c r="BN39" s="62"/>
      <c r="BO39" s="62"/>
      <c r="BP39" s="62"/>
      <c r="BQ39" s="62"/>
      <c r="BR39" s="62"/>
      <c r="BS39" s="62"/>
      <c r="BW39" s="59">
        <v>100</v>
      </c>
      <c r="BX39" s="3">
        <v>10</v>
      </c>
      <c r="BY39" s="55">
        <v>41593</v>
      </c>
      <c r="BZ39" s="55">
        <f t="shared" si="381"/>
        <v>45245.5</v>
      </c>
      <c r="CA39" s="55">
        <v>41593</v>
      </c>
      <c r="CB39" s="1" t="s">
        <v>448</v>
      </c>
      <c r="CC39" s="160">
        <v>2.75E-2</v>
      </c>
      <c r="CD39" s="165">
        <f t="shared" si="487"/>
        <v>1.375</v>
      </c>
      <c r="CE39" s="163">
        <f t="shared" si="407"/>
        <v>2.75</v>
      </c>
      <c r="CF39" s="39">
        <f t="shared" si="408"/>
        <v>27.5</v>
      </c>
      <c r="CG39" s="73">
        <f t="shared" si="409"/>
        <v>127.5</v>
      </c>
      <c r="CH39" s="73">
        <f t="shared" si="488"/>
        <v>0.22916666666666666</v>
      </c>
      <c r="CI39" s="54" t="str">
        <f t="shared" si="430"/>
        <v>May</v>
      </c>
      <c r="CJ39" s="54" t="str">
        <f t="shared" si="431"/>
        <v>Nov</v>
      </c>
      <c r="CO39" s="59">
        <v>100</v>
      </c>
      <c r="CP39" s="3">
        <f>29+(10/12)</f>
        <v>29.833333333333332</v>
      </c>
      <c r="CQ39" s="55">
        <v>41654</v>
      </c>
      <c r="CR39" s="55">
        <f t="shared" si="329"/>
        <v>52550.625</v>
      </c>
      <c r="CS39" s="55">
        <v>41593</v>
      </c>
      <c r="CT39" s="23" t="s">
        <v>476</v>
      </c>
      <c r="CU39" s="160">
        <v>3.7499999999999999E-2</v>
      </c>
      <c r="CV39" s="165">
        <f t="shared" si="660"/>
        <v>1.875</v>
      </c>
      <c r="CW39" s="163">
        <f t="shared" si="626"/>
        <v>3.75</v>
      </c>
      <c r="CX39" s="73">
        <f t="shared" si="627"/>
        <v>111.875</v>
      </c>
      <c r="CY39" s="203">
        <f t="shared" si="628"/>
        <v>211.875</v>
      </c>
      <c r="CZ39" s="203">
        <f t="shared" si="636"/>
        <v>0.3125</v>
      </c>
      <c r="DA39" s="54" t="str">
        <f t="shared" si="361"/>
        <v>May</v>
      </c>
      <c r="DB39" s="54" t="str">
        <f t="shared" si="362"/>
        <v>Nov</v>
      </c>
      <c r="DD39" s="1400" t="str">
        <f ca="1">CHOOSE(MONTH(TODAY()),"Jan","Feb","Mar","Apr","May","Jun","Jul","Aug","Sep","Oct","Nov","Dec")</f>
        <v>Feb</v>
      </c>
      <c r="DE39" s="62"/>
      <c r="DF39" s="40">
        <f>DF33/DF3-1</f>
        <v>2.1115384615384425E-2</v>
      </c>
      <c r="DG39" s="59"/>
      <c r="DH39" s="3"/>
      <c r="DI39" s="55"/>
      <c r="DJ39" s="55"/>
      <c r="DK39" s="55"/>
      <c r="DL39" s="1"/>
      <c r="DM39" s="160"/>
      <c r="DN39" s="165"/>
      <c r="DO39" s="163"/>
      <c r="DP39" s="73"/>
      <c r="DQ39" s="39"/>
      <c r="DR39" s="39"/>
      <c r="DS39" s="62"/>
      <c r="DT39" s="62"/>
      <c r="DU39" s="39"/>
      <c r="DV39" s="62"/>
      <c r="DW39" s="40"/>
      <c r="DX39" s="40"/>
      <c r="DY39" s="355"/>
      <c r="DZ39" s="40"/>
      <c r="EB39" s="148" t="s">
        <v>1527</v>
      </c>
      <c r="EC39" s="380">
        <f t="shared" ca="1" si="83"/>
        <v>0</v>
      </c>
      <c r="ED39" s="73">
        <v>35</v>
      </c>
      <c r="EE39" s="38">
        <v>30</v>
      </c>
      <c r="EF39" s="54">
        <v>41974</v>
      </c>
      <c r="EG39" s="55">
        <f t="shared" si="393"/>
        <v>52931.5</v>
      </c>
      <c r="EH39" s="61" t="s">
        <v>122</v>
      </c>
      <c r="EI39" s="61">
        <f t="shared" ca="1" si="394"/>
        <v>26</v>
      </c>
      <c r="EJ39" s="61" t="s">
        <v>785</v>
      </c>
      <c r="EK39" s="39">
        <v>35.11</v>
      </c>
      <c r="EL39" s="39">
        <f t="shared" ref="EL39:EL54" si="687">EK39-ED39</f>
        <v>0.10999999999999943</v>
      </c>
      <c r="EM39" s="40">
        <f t="shared" si="599"/>
        <v>3.1428571428571139E-3</v>
      </c>
      <c r="EN39" s="39">
        <f t="shared" ca="1" si="465"/>
        <v>4.230769230769209E-3</v>
      </c>
      <c r="EO39" s="43">
        <f t="shared" ca="1" si="397"/>
        <v>1</v>
      </c>
      <c r="EP39" s="39">
        <f t="shared" ca="1" si="398"/>
        <v>37.729376406499938</v>
      </c>
      <c r="EQ39" s="39">
        <f t="shared" ca="1" si="466"/>
        <v>2.729376406499938</v>
      </c>
      <c r="ER39" s="153">
        <f t="shared" ca="1" si="467"/>
        <v>0.10497601563461299</v>
      </c>
      <c r="ET39" s="37"/>
      <c r="EU39" s="1360">
        <f t="shared" ca="1" si="90"/>
        <v>0</v>
      </c>
      <c r="EV39" s="173">
        <v>0</v>
      </c>
      <c r="EW39" s="747">
        <v>30</v>
      </c>
      <c r="EX39" s="55">
        <v>42826</v>
      </c>
      <c r="EY39" s="55">
        <f t="shared" ref="EY39" si="688">EX39+EW39*365.25</f>
        <v>53783.5</v>
      </c>
      <c r="EZ39" s="61">
        <f t="shared" ref="EZ39" ca="1" si="689">IF(EX39&gt;$G$1,0,DATEDIF(EX39,$G$1,"M"))</f>
        <v>0</v>
      </c>
      <c r="FA39" s="37" t="s">
        <v>2552</v>
      </c>
      <c r="FB39" s="39">
        <v>0</v>
      </c>
      <c r="FC39" s="39">
        <f t="shared" ref="FC39" si="690">FB39-EV39</f>
        <v>0</v>
      </c>
      <c r="FD39" s="40" t="e">
        <f t="shared" ref="FD39" si="691">FB39/EV39-1</f>
        <v>#DIV/0!</v>
      </c>
      <c r="FE39" s="39"/>
      <c r="FF39" s="43">
        <f t="shared" ref="FF39" ca="1" si="692">IF(EX39&lt;$G$1-365.25,1,0)</f>
        <v>0</v>
      </c>
      <c r="FH39" s="394" t="s">
        <v>272</v>
      </c>
      <c r="FI39" s="522" t="s">
        <v>558</v>
      </c>
      <c r="FJ39" s="523" t="s">
        <v>559</v>
      </c>
      <c r="FK39" s="524" t="s">
        <v>273</v>
      </c>
      <c r="FL39" s="525" t="s">
        <v>848</v>
      </c>
      <c r="FM39" s="526" t="s">
        <v>849</v>
      </c>
      <c r="FN39" s="526" t="s">
        <v>850</v>
      </c>
      <c r="FO39" s="525" t="s">
        <v>851</v>
      </c>
      <c r="FP39" s="526" t="s">
        <v>852</v>
      </c>
      <c r="FQ39" s="527" t="s">
        <v>853</v>
      </c>
      <c r="FR39" s="438"/>
      <c r="FS39" s="550">
        <v>3</v>
      </c>
      <c r="FT39" s="58">
        <v>2</v>
      </c>
      <c r="FU39" s="38">
        <v>6</v>
      </c>
      <c r="FV39" s="38">
        <f t="shared" si="624"/>
        <v>1.0015000000000001</v>
      </c>
      <c r="FW39" s="39">
        <f t="shared" si="671"/>
        <v>25.225845439399588</v>
      </c>
      <c r="FX39" s="67"/>
      <c r="FY39" s="552">
        <v>27</v>
      </c>
      <c r="FZ39" s="39">
        <f>FW351</f>
        <v>51.239188967091877</v>
      </c>
      <c r="GA39" s="39">
        <f t="shared" si="379"/>
        <v>26.239188967091877</v>
      </c>
      <c r="GB39" s="386">
        <f t="shared" si="380"/>
        <v>1.049567558683675</v>
      </c>
      <c r="GD39" s="497">
        <v>2007</v>
      </c>
      <c r="GE39" s="1109">
        <v>2624862.42</v>
      </c>
      <c r="GF39" s="1109">
        <f t="shared" si="635"/>
        <v>2624862.42</v>
      </c>
      <c r="GG39" s="1114">
        <f t="shared" si="642"/>
        <v>0.59448877163203684</v>
      </c>
    </row>
    <row r="40" spans="2:189">
      <c r="C40" s="679">
        <f>COUNTIF(Stocks!V2:V146,"&gt;.15%")/COUNTA(Stocks!V2:V146)</f>
        <v>0.90344827586206899</v>
      </c>
      <c r="D40" s="95" t="s">
        <v>1528</v>
      </c>
      <c r="E40" s="817">
        <f>O12</f>
        <v>2.3790028747433686E-2</v>
      </c>
      <c r="F40" s="96">
        <f t="shared" ref="F40:F47" si="693">G40/12</f>
        <v>0.72410900000001277</v>
      </c>
      <c r="G40" s="96">
        <f t="shared" ref="G40:G47" si="694">E40*365.25</f>
        <v>8.6893080000001532</v>
      </c>
      <c r="H40" s="1013">
        <f>G40/O3</f>
        <v>4.5733200000000803E-3</v>
      </c>
      <c r="I40" s="96"/>
      <c r="J40" s="150"/>
      <c r="K40" s="799" t="s">
        <v>1383</v>
      </c>
      <c r="L40" s="398" t="s">
        <v>8</v>
      </c>
      <c r="M40" s="1027"/>
      <c r="N40" s="848" t="s">
        <v>1304</v>
      </c>
      <c r="O40" s="67"/>
      <c r="P40" s="59"/>
      <c r="Q40" s="59"/>
      <c r="R40" s="374"/>
      <c r="S40" s="55"/>
      <c r="T40" s="380"/>
      <c r="U40" s="55"/>
      <c r="V40" s="61"/>
      <c r="AG40" s="62"/>
      <c r="AH40" s="62"/>
      <c r="AI40" s="62"/>
      <c r="AJ40" s="62"/>
      <c r="AK40" s="62"/>
      <c r="AL40" s="62"/>
      <c r="AM40" s="62"/>
      <c r="AN40" s="62"/>
      <c r="AO40" s="62"/>
      <c r="AP40" s="62"/>
      <c r="AQ40" s="62"/>
      <c r="AR40" s="62"/>
      <c r="AS40" s="62"/>
      <c r="AT40" s="62"/>
      <c r="AU40" s="62"/>
      <c r="AV40" s="62"/>
      <c r="AW40" s="62"/>
      <c r="AX40" s="62"/>
      <c r="AY40" s="62"/>
      <c r="BL40" s="62"/>
      <c r="BM40" s="62"/>
      <c r="BN40" s="62"/>
      <c r="BO40" s="62"/>
      <c r="BP40" s="62"/>
      <c r="BQ40" s="62"/>
      <c r="BR40" s="62"/>
      <c r="BS40" s="62"/>
      <c r="BV40" s="1"/>
      <c r="BW40" s="59">
        <v>100</v>
      </c>
      <c r="BX40" s="3">
        <v>10</v>
      </c>
      <c r="BY40" s="55">
        <v>41501</v>
      </c>
      <c r="BZ40" s="55">
        <f t="shared" si="381"/>
        <v>45153.5</v>
      </c>
      <c r="CA40" s="55">
        <v>41501</v>
      </c>
      <c r="CB40" s="1" t="s">
        <v>391</v>
      </c>
      <c r="CC40" s="160">
        <v>2.5000000000000001E-2</v>
      </c>
      <c r="CD40" s="165">
        <f t="shared" si="487"/>
        <v>1.25</v>
      </c>
      <c r="CE40" s="163">
        <f t="shared" si="407"/>
        <v>2.5</v>
      </c>
      <c r="CF40" s="39">
        <f t="shared" si="408"/>
        <v>25</v>
      </c>
      <c r="CG40" s="73">
        <f t="shared" si="409"/>
        <v>125</v>
      </c>
      <c r="CH40" s="73">
        <f t="shared" si="488"/>
        <v>0.20833333333333334</v>
      </c>
      <c r="CI40" s="54" t="str">
        <f t="shared" si="430"/>
        <v>Feb</v>
      </c>
      <c r="CJ40" s="54" t="str">
        <f t="shared" si="431"/>
        <v>Aug</v>
      </c>
      <c r="CO40" s="59">
        <v>100</v>
      </c>
      <c r="CP40" s="3">
        <f>29+(11/12)</f>
        <v>29.916666666666668</v>
      </c>
      <c r="CQ40" s="55">
        <v>41624</v>
      </c>
      <c r="CR40" s="55">
        <f t="shared" si="329"/>
        <v>52551.0625</v>
      </c>
      <c r="CS40" s="55">
        <v>41593</v>
      </c>
      <c r="CT40" s="23" t="s">
        <v>477</v>
      </c>
      <c r="CU40" s="160">
        <v>3.7499999999999999E-2</v>
      </c>
      <c r="CV40" s="165">
        <f t="shared" ref="CV40:CV45" si="695">CW40/2</f>
        <v>1.875</v>
      </c>
      <c r="CW40" s="163">
        <f t="shared" si="626"/>
        <v>3.75</v>
      </c>
      <c r="CX40" s="73">
        <f t="shared" si="627"/>
        <v>112.1875</v>
      </c>
      <c r="CY40" s="203">
        <f t="shared" si="628"/>
        <v>212.1875</v>
      </c>
      <c r="CZ40" s="203">
        <f t="shared" si="636"/>
        <v>0.3125</v>
      </c>
      <c r="DA40" s="54" t="str">
        <f t="shared" si="361"/>
        <v>May</v>
      </c>
      <c r="DB40" s="54" t="str">
        <f t="shared" si="362"/>
        <v>Nov</v>
      </c>
      <c r="DD40" s="1401"/>
      <c r="DE40" s="62"/>
      <c r="DF40" s="154"/>
      <c r="DQ40" s="39"/>
      <c r="DR40" s="39"/>
      <c r="DS40" s="62"/>
      <c r="DT40" s="62"/>
      <c r="DU40" s="39"/>
      <c r="DV40" s="62"/>
      <c r="DW40" s="40"/>
      <c r="DX40" s="40"/>
      <c r="DY40" s="355"/>
      <c r="DZ40" s="40"/>
      <c r="EB40" s="39">
        <f ca="1">(EB9*12)/365.25</f>
        <v>1.4785361821173905E-2</v>
      </c>
      <c r="EC40" s="380">
        <f t="shared" ca="1" si="83"/>
        <v>0</v>
      </c>
      <c r="ED40" s="73">
        <v>35</v>
      </c>
      <c r="EE40" s="38">
        <v>30</v>
      </c>
      <c r="EF40" s="54">
        <v>41944</v>
      </c>
      <c r="EG40" s="55">
        <f t="shared" si="393"/>
        <v>52901.5</v>
      </c>
      <c r="EH40" s="61" t="s">
        <v>122</v>
      </c>
      <c r="EI40" s="61">
        <f t="shared" ca="1" si="394"/>
        <v>27</v>
      </c>
      <c r="EJ40" s="61" t="s">
        <v>780</v>
      </c>
      <c r="EK40" s="39">
        <v>35.11</v>
      </c>
      <c r="EL40" s="39">
        <f t="shared" si="687"/>
        <v>0.10999999999999943</v>
      </c>
      <c r="EM40" s="40">
        <f t="shared" si="599"/>
        <v>3.1428571428571139E-3</v>
      </c>
      <c r="EN40" s="39">
        <f t="shared" ca="1" si="465"/>
        <v>4.0740740740740529E-3</v>
      </c>
      <c r="EO40" s="43">
        <f t="shared" ca="1" si="397"/>
        <v>1</v>
      </c>
      <c r="EP40" s="39">
        <f t="shared" ca="1" si="398"/>
        <v>37.838500624199241</v>
      </c>
      <c r="EQ40" s="39">
        <f t="shared" ca="1" si="466"/>
        <v>2.8385006241992414</v>
      </c>
      <c r="ER40" s="153">
        <f t="shared" ca="1" si="467"/>
        <v>0.10512965274812006</v>
      </c>
      <c r="ET40" s="37"/>
      <c r="EU40" s="1360">
        <f t="shared" ca="1" si="90"/>
        <v>0</v>
      </c>
      <c r="EV40" s="173">
        <v>0</v>
      </c>
      <c r="EW40" s="747">
        <v>30</v>
      </c>
      <c r="EX40" s="55">
        <v>42826</v>
      </c>
      <c r="EY40" s="55">
        <f t="shared" ref="EY40" si="696">EX40+EW40*365.25</f>
        <v>53783.5</v>
      </c>
      <c r="EZ40" s="61">
        <f t="shared" ref="EZ40" ca="1" si="697">IF(EX40&gt;$G$1,0,DATEDIF(EX40,$G$1,"M"))</f>
        <v>0</v>
      </c>
      <c r="FA40" s="37" t="s">
        <v>2551</v>
      </c>
      <c r="FB40" s="39">
        <v>0</v>
      </c>
      <c r="FC40" s="39">
        <f t="shared" ref="FC40" si="698">FB40-EV40</f>
        <v>0</v>
      </c>
      <c r="FD40" s="40" t="e">
        <f t="shared" ref="FD40" si="699">FB40/EV40-1</f>
        <v>#DIV/0!</v>
      </c>
      <c r="FE40" s="39"/>
      <c r="FF40" s="43">
        <f t="shared" ref="FF40" ca="1" si="700">IF(EX40&lt;$G$1-365.25,1,0)</f>
        <v>0</v>
      </c>
      <c r="FH40" s="528">
        <v>2013</v>
      </c>
      <c r="FI40" s="520">
        <v>25</v>
      </c>
      <c r="FJ40" s="521">
        <f t="shared" ref="FJ40:FJ45" si="701">FI40*5</f>
        <v>125</v>
      </c>
      <c r="FK40" s="520">
        <f t="shared" ref="FK40:FK45" si="702">FJ40*12</f>
        <v>1500</v>
      </c>
      <c r="FL40" s="519" t="s">
        <v>236</v>
      </c>
      <c r="FM40" s="519" t="s">
        <v>236</v>
      </c>
      <c r="FN40" s="519" t="s">
        <v>236</v>
      </c>
      <c r="FO40" s="519" t="s">
        <v>236</v>
      </c>
      <c r="FP40" s="519" t="s">
        <v>236</v>
      </c>
      <c r="FQ40" s="529" t="s">
        <v>236</v>
      </c>
      <c r="FR40" s="438"/>
      <c r="FS40" s="55"/>
      <c r="FT40" s="380"/>
      <c r="FV40" s="144"/>
      <c r="FW40" s="144"/>
      <c r="FX40" s="153"/>
      <c r="FY40" s="552">
        <v>28</v>
      </c>
      <c r="FZ40" s="39">
        <f>FW364</f>
        <v>51.393021822168336</v>
      </c>
      <c r="GA40" s="39">
        <f t="shared" si="379"/>
        <v>26.393021822168336</v>
      </c>
      <c r="GB40" s="386">
        <f t="shared" si="380"/>
        <v>1.0557208728867336</v>
      </c>
      <c r="GD40" s="497">
        <v>2008</v>
      </c>
      <c r="GE40" s="1109">
        <v>2189358.89</v>
      </c>
      <c r="GF40" s="1109">
        <f t="shared" si="635"/>
        <v>2189358.89</v>
      </c>
      <c r="GG40" s="1114">
        <f t="shared" si="642"/>
        <v>-0.16591480249848667</v>
      </c>
    </row>
    <row r="41" spans="2:189">
      <c r="C41" s="679">
        <f>COUNTIF(Stocks!V2:V146,"&gt;.25%")/COUNTA(Stocks!V2:V146)</f>
        <v>0.89655172413793105</v>
      </c>
      <c r="D41" s="95" t="s">
        <v>1529</v>
      </c>
      <c r="E41" s="817">
        <f>X12</f>
        <v>1.4256646132785021E-3</v>
      </c>
      <c r="F41" s="96">
        <f t="shared" si="693"/>
        <v>4.3393666666664409E-2</v>
      </c>
      <c r="G41" s="96">
        <f t="shared" si="694"/>
        <v>0.52072399999997288</v>
      </c>
      <c r="H41" s="1013">
        <f>G41/X3</f>
        <v>5.2072399999997286E-3</v>
      </c>
      <c r="I41" s="96"/>
      <c r="J41" s="192" t="s">
        <v>1371</v>
      </c>
      <c r="K41" s="172">
        <f t="shared" ref="K41:K52" si="703">SUM(BU15,CM15,DE15)</f>
        <v>23</v>
      </c>
      <c r="L41" s="82">
        <f t="shared" ref="L41:L52" si="704">SUM(BV15,CN15,DF15)</f>
        <v>6.3183499999999997</v>
      </c>
      <c r="M41" s="848">
        <f t="shared" ref="M41:M52" si="705">L41/$L$53</f>
        <v>2.0149075124812586E-2</v>
      </c>
      <c r="N41" s="1027">
        <f>L41</f>
        <v>6.3183499999999997</v>
      </c>
      <c r="O41" s="67"/>
      <c r="P41" s="59"/>
      <c r="Q41" s="59"/>
      <c r="R41" s="60"/>
      <c r="S41" s="55"/>
      <c r="T41" s="380"/>
      <c r="U41" s="55"/>
      <c r="V41" s="61"/>
      <c r="AG41" s="62"/>
      <c r="AH41" s="62"/>
      <c r="AI41" s="62"/>
      <c r="AJ41" s="62"/>
      <c r="AK41" s="62"/>
      <c r="AL41" s="62"/>
      <c r="AM41" s="62"/>
      <c r="AN41" s="62"/>
      <c r="AO41" s="62"/>
      <c r="AP41" s="62"/>
      <c r="AQ41" s="62"/>
      <c r="AR41" s="62"/>
      <c r="AS41" s="62"/>
      <c r="AT41" s="62"/>
      <c r="AU41" s="62"/>
      <c r="AV41" s="62"/>
      <c r="AW41" s="62"/>
      <c r="AX41" s="62"/>
      <c r="AY41" s="62"/>
      <c r="BL41" s="62"/>
      <c r="BM41" s="62"/>
      <c r="BN41" s="62"/>
      <c r="BO41" s="62"/>
      <c r="BP41" s="62"/>
      <c r="BQ41" s="62"/>
      <c r="BR41" s="62"/>
      <c r="BS41" s="62"/>
      <c r="BW41" s="59">
        <v>100</v>
      </c>
      <c r="BX41" s="3">
        <v>5</v>
      </c>
      <c r="BY41" s="55">
        <v>41394</v>
      </c>
      <c r="BZ41" s="55">
        <f t="shared" si="381"/>
        <v>43220.25</v>
      </c>
      <c r="CA41" s="55">
        <v>41394</v>
      </c>
      <c r="CB41" s="1" t="s">
        <v>289</v>
      </c>
      <c r="CC41" s="160">
        <v>6.2500000000000003E-3</v>
      </c>
      <c r="CD41" s="165">
        <f t="shared" si="487"/>
        <v>0.3125</v>
      </c>
      <c r="CE41" s="163">
        <f t="shared" si="407"/>
        <v>0.625</v>
      </c>
      <c r="CF41" s="39">
        <f t="shared" si="408"/>
        <v>3.125</v>
      </c>
      <c r="CG41" s="73">
        <f t="shared" si="409"/>
        <v>103.125</v>
      </c>
      <c r="CH41" s="73">
        <f t="shared" si="488"/>
        <v>5.2083333333333336E-2</v>
      </c>
      <c r="CI41" s="54" t="str">
        <f t="shared" si="430"/>
        <v>Oct</v>
      </c>
      <c r="CJ41" s="54" t="str">
        <f t="shared" si="431"/>
        <v>Apr</v>
      </c>
      <c r="CO41" s="59">
        <v>100</v>
      </c>
      <c r="CP41" s="3">
        <v>30</v>
      </c>
      <c r="CQ41" s="55">
        <v>41593</v>
      </c>
      <c r="CR41" s="55">
        <f t="shared" si="329"/>
        <v>52550.5</v>
      </c>
      <c r="CS41" s="55">
        <v>41593</v>
      </c>
      <c r="CT41" s="23" t="s">
        <v>475</v>
      </c>
      <c r="CU41" s="160">
        <v>3.7499999999999999E-2</v>
      </c>
      <c r="CV41" s="165">
        <f t="shared" si="695"/>
        <v>1.875</v>
      </c>
      <c r="CW41" s="163">
        <f t="shared" si="626"/>
        <v>3.75</v>
      </c>
      <c r="CX41" s="73">
        <f t="shared" si="627"/>
        <v>112.5</v>
      </c>
      <c r="CY41" s="203">
        <f t="shared" si="628"/>
        <v>212.5</v>
      </c>
      <c r="CZ41" s="203">
        <f t="shared" si="636"/>
        <v>0.3125</v>
      </c>
      <c r="DA41" s="54" t="str">
        <f t="shared" si="361"/>
        <v>May</v>
      </c>
      <c r="DB41" s="54" t="str">
        <f t="shared" si="362"/>
        <v>Nov</v>
      </c>
      <c r="DD41" s="1402" t="s">
        <v>2768</v>
      </c>
      <c r="DE41" s="62"/>
      <c r="DF41" s="3" t="s">
        <v>1949</v>
      </c>
      <c r="DG41" s="38"/>
      <c r="DH41" s="154"/>
      <c r="DI41" s="38"/>
      <c r="DJ41" s="38"/>
      <c r="DK41" s="38"/>
      <c r="DL41" s="38"/>
      <c r="DM41" s="38"/>
      <c r="DN41" s="38"/>
      <c r="DO41" s="38"/>
      <c r="DP41" s="38"/>
      <c r="DQ41" s="39"/>
      <c r="DR41" s="39"/>
      <c r="DS41" s="62"/>
      <c r="DT41" s="62"/>
      <c r="DU41" s="39"/>
      <c r="DV41" s="62"/>
      <c r="DW41" s="40"/>
      <c r="DX41" s="40"/>
      <c r="DY41" s="355"/>
      <c r="DZ41" s="40"/>
      <c r="EC41" s="380">
        <f t="shared" ca="1" si="83"/>
        <v>0</v>
      </c>
      <c r="ED41" s="73">
        <v>35</v>
      </c>
      <c r="EE41" s="38">
        <v>30</v>
      </c>
      <c r="EF41" s="54">
        <v>41913</v>
      </c>
      <c r="EG41" s="55">
        <f t="shared" si="393"/>
        <v>52870.5</v>
      </c>
      <c r="EH41" s="61" t="s">
        <v>122</v>
      </c>
      <c r="EI41" s="61">
        <f t="shared" ca="1" si="394"/>
        <v>28</v>
      </c>
      <c r="EJ41" s="61" t="s">
        <v>775</v>
      </c>
      <c r="EK41" s="39">
        <v>35.36</v>
      </c>
      <c r="EL41" s="39">
        <f t="shared" si="687"/>
        <v>0.35999999999999943</v>
      </c>
      <c r="EM41" s="40">
        <f t="shared" si="599"/>
        <v>1.0285714285714231E-2</v>
      </c>
      <c r="EN41" s="39">
        <f t="shared" ca="1" si="465"/>
        <v>1.2857142857142836E-2</v>
      </c>
      <c r="EO41" s="43">
        <f t="shared" ca="1" si="397"/>
        <v>1</v>
      </c>
      <c r="EP41" s="39">
        <f t="shared" ca="1" si="398"/>
        <v>37.947940460549653</v>
      </c>
      <c r="EQ41" s="39">
        <f t="shared" ca="1" si="466"/>
        <v>2.9479404605496526</v>
      </c>
      <c r="ER41" s="153">
        <f t="shared" ca="1" si="467"/>
        <v>0.1052835878767733</v>
      </c>
      <c r="ET41" s="37"/>
      <c r="EU41" s="1360">
        <f t="shared" ca="1" si="90"/>
        <v>0</v>
      </c>
      <c r="EV41" s="173">
        <v>0</v>
      </c>
      <c r="EW41" s="747">
        <v>30</v>
      </c>
      <c r="EX41" s="55">
        <v>42826</v>
      </c>
      <c r="EY41" s="55">
        <f t="shared" ref="EY41" si="706">EX41+EW41*365.25</f>
        <v>53783.5</v>
      </c>
      <c r="EZ41" s="61">
        <f t="shared" ref="EZ41" ca="1" si="707">IF(EX41&gt;$G$1,0,DATEDIF(EX41,$G$1,"M"))</f>
        <v>0</v>
      </c>
      <c r="FA41" s="37" t="s">
        <v>2550</v>
      </c>
      <c r="FB41" s="39">
        <v>0</v>
      </c>
      <c r="FC41" s="39">
        <f t="shared" ref="FC41" si="708">FB41-EV41</f>
        <v>0</v>
      </c>
      <c r="FD41" s="40" t="e">
        <f t="shared" ref="FD41" si="709">FB41/EV41-1</f>
        <v>#DIV/0!</v>
      </c>
      <c r="FE41" s="39"/>
      <c r="FF41" s="43">
        <f t="shared" ref="FF41" ca="1" si="710">IF(EX41&lt;$G$1-365.25,1,0)</f>
        <v>0</v>
      </c>
      <c r="FH41" s="528">
        <v>2014</v>
      </c>
      <c r="FI41" s="520">
        <v>35</v>
      </c>
      <c r="FJ41" s="521">
        <f t="shared" si="701"/>
        <v>175</v>
      </c>
      <c r="FK41" s="520">
        <f t="shared" si="702"/>
        <v>2100</v>
      </c>
      <c r="FL41" s="520">
        <f t="shared" ref="FL41:FN42" si="711">FI41-FI40</f>
        <v>10</v>
      </c>
      <c r="FM41" s="520">
        <f t="shared" si="711"/>
        <v>50</v>
      </c>
      <c r="FN41" s="520">
        <f t="shared" si="711"/>
        <v>600</v>
      </c>
      <c r="FO41" s="520">
        <f>FI41-$FI$40</f>
        <v>10</v>
      </c>
      <c r="FP41" s="520">
        <f>FJ41-$FJ$40</f>
        <v>50</v>
      </c>
      <c r="FQ41" s="530">
        <f>FK41-$FK$40</f>
        <v>600</v>
      </c>
      <c r="FR41" s="438"/>
      <c r="FS41" s="550">
        <v>4</v>
      </c>
      <c r="FT41" s="58">
        <v>1</v>
      </c>
      <c r="FU41" s="38">
        <v>1</v>
      </c>
      <c r="FV41" s="38">
        <f t="shared" ref="FV41:FV52" si="712">(1+$FY$2/2)^(FU41/6)</f>
        <v>1.0002498438930771</v>
      </c>
      <c r="FW41" s="39">
        <f>$FW$39*FV41</f>
        <v>25.232147962830329</v>
      </c>
      <c r="FX41" s="153"/>
      <c r="FY41" s="552">
        <v>29</v>
      </c>
      <c r="FZ41" s="39">
        <f>FW377</f>
        <v>51.547316521933944</v>
      </c>
      <c r="GA41" s="39">
        <f t="shared" si="379"/>
        <v>26.547316521933944</v>
      </c>
      <c r="GB41" s="386">
        <f t="shared" si="380"/>
        <v>1.0618926608773576</v>
      </c>
      <c r="GD41" s="497">
        <v>2009</v>
      </c>
      <c r="GE41" s="1109">
        <v>3063057.05</v>
      </c>
      <c r="GF41" s="1109">
        <f t="shared" si="635"/>
        <v>3063057.05</v>
      </c>
      <c r="GG41" s="1114">
        <f t="shared" si="642"/>
        <v>0.39906575572906622</v>
      </c>
    </row>
    <row r="42" spans="2:189" ht="13.5" thickBot="1">
      <c r="C42" s="679">
        <f>COUNTIF(Stocks!V2:V146,"&gt;.42%")/COUNTA(Stocks!V2:V146)</f>
        <v>0.88275862068965516</v>
      </c>
      <c r="D42" s="95" t="s">
        <v>1530</v>
      </c>
      <c r="E42" s="817">
        <f>AH12</f>
        <v>1.7301683778234204E-3</v>
      </c>
      <c r="F42" s="96">
        <f t="shared" si="693"/>
        <v>5.2662000000000354E-2</v>
      </c>
      <c r="G42" s="96">
        <f t="shared" si="694"/>
        <v>0.63194400000000428</v>
      </c>
      <c r="H42" s="1013">
        <f>G42/AH3</f>
        <v>6.3194400000000425E-3</v>
      </c>
      <c r="I42" s="96"/>
      <c r="J42" s="693" t="s">
        <v>1372</v>
      </c>
      <c r="K42" s="172">
        <f t="shared" si="703"/>
        <v>45</v>
      </c>
      <c r="L42" s="82">
        <f t="shared" si="704"/>
        <v>66.214781250000001</v>
      </c>
      <c r="M42" s="848">
        <f t="shared" si="705"/>
        <v>0.21115743853684615</v>
      </c>
      <c r="N42" s="1027">
        <f>N41+L42</f>
        <v>72.533131249999997</v>
      </c>
      <c r="O42" s="67"/>
      <c r="P42" s="59"/>
      <c r="Q42" s="59"/>
      <c r="R42" s="60"/>
      <c r="S42" s="55"/>
      <c r="T42" s="380"/>
      <c r="U42" s="55"/>
      <c r="V42" s="61"/>
      <c r="AG42" s="62"/>
      <c r="AH42" s="62"/>
      <c r="AI42" s="62"/>
      <c r="AJ42" s="62"/>
      <c r="AK42" s="62"/>
      <c r="AL42" s="62"/>
      <c r="AM42" s="62"/>
      <c r="AN42" s="62"/>
      <c r="AO42" s="62"/>
      <c r="AP42" s="62"/>
      <c r="AQ42" s="62"/>
      <c r="AR42" s="62"/>
      <c r="AS42" s="62"/>
      <c r="AT42" s="62"/>
      <c r="AU42" s="62"/>
      <c r="AV42" s="62"/>
      <c r="AW42" s="62"/>
      <c r="AX42" s="62"/>
      <c r="AY42" s="62"/>
      <c r="BL42" s="62"/>
      <c r="BM42" s="62"/>
      <c r="BN42" s="62"/>
      <c r="BO42" s="62"/>
      <c r="BP42" s="62"/>
      <c r="BQ42" s="62"/>
      <c r="BR42" s="62"/>
      <c r="BS42" s="62"/>
      <c r="BW42" s="59">
        <v>100</v>
      </c>
      <c r="BX42" s="3">
        <v>7</v>
      </c>
      <c r="BY42" s="55">
        <v>41394</v>
      </c>
      <c r="BZ42" s="55">
        <f t="shared" si="381"/>
        <v>43950.75</v>
      </c>
      <c r="CA42" s="55">
        <v>41394</v>
      </c>
      <c r="CB42" s="1" t="s">
        <v>290</v>
      </c>
      <c r="CC42" s="160">
        <v>1.125E-2</v>
      </c>
      <c r="CD42" s="165">
        <f t="shared" si="487"/>
        <v>0.5625</v>
      </c>
      <c r="CE42" s="163">
        <f t="shared" si="407"/>
        <v>1.125</v>
      </c>
      <c r="CF42" s="39">
        <f t="shared" si="408"/>
        <v>7.875</v>
      </c>
      <c r="CG42" s="73">
        <f t="shared" si="409"/>
        <v>107.875</v>
      </c>
      <c r="CH42" s="73">
        <f t="shared" si="488"/>
        <v>9.375E-2</v>
      </c>
      <c r="CI42" s="54" t="str">
        <f t="shared" si="430"/>
        <v>Oct</v>
      </c>
      <c r="CJ42" s="54" t="str">
        <f t="shared" si="431"/>
        <v>Apr</v>
      </c>
      <c r="CO42" s="59">
        <v>100</v>
      </c>
      <c r="CP42" s="3">
        <v>30</v>
      </c>
      <c r="CQ42" s="55">
        <v>41501</v>
      </c>
      <c r="CR42" s="55">
        <f t="shared" si="329"/>
        <v>52458.5</v>
      </c>
      <c r="CS42" s="55">
        <v>41501</v>
      </c>
      <c r="CT42" s="23" t="s">
        <v>392</v>
      </c>
      <c r="CU42" s="160">
        <v>3.6249999999999998E-2</v>
      </c>
      <c r="CV42" s="165">
        <f t="shared" si="695"/>
        <v>1.8124999999999998</v>
      </c>
      <c r="CW42" s="163">
        <f t="shared" si="626"/>
        <v>3.6249999999999996</v>
      </c>
      <c r="CX42" s="73">
        <f t="shared" si="627"/>
        <v>108.74999999999999</v>
      </c>
      <c r="CY42" s="203">
        <f t="shared" si="628"/>
        <v>208.75</v>
      </c>
      <c r="CZ42" s="203">
        <f t="shared" si="636"/>
        <v>0.30208333333333331</v>
      </c>
      <c r="DA42" s="54" t="str">
        <f t="shared" si="361"/>
        <v>Feb</v>
      </c>
      <c r="DB42" s="54" t="str">
        <f t="shared" si="362"/>
        <v>Aug</v>
      </c>
      <c r="DD42" s="1403" t="s">
        <v>2769</v>
      </c>
      <c r="DE42" s="62"/>
      <c r="DF42" s="39">
        <f>SUM(DZ:DZ)</f>
        <v>0.19596802063982224</v>
      </c>
      <c r="DG42" s="54"/>
      <c r="DH42" s="154"/>
      <c r="DI42" s="73"/>
      <c r="DJ42" s="38"/>
      <c r="DK42" s="38"/>
      <c r="DL42" s="38"/>
      <c r="DM42" s="38"/>
      <c r="DN42" s="38"/>
      <c r="DO42" s="38"/>
      <c r="DP42" s="38"/>
      <c r="DQ42" s="39"/>
      <c r="DR42" s="39"/>
      <c r="DS42" s="62"/>
      <c r="DT42" s="62"/>
      <c r="DU42" s="39"/>
      <c r="DV42" s="62"/>
      <c r="DW42" s="40"/>
      <c r="DX42" s="40"/>
      <c r="DY42" s="355"/>
      <c r="DZ42" s="40"/>
      <c r="EB42" s="52" t="s">
        <v>1636</v>
      </c>
      <c r="EC42" s="380">
        <f t="shared" ca="1" si="83"/>
        <v>0</v>
      </c>
      <c r="ED42" s="73">
        <v>35</v>
      </c>
      <c r="EE42" s="38">
        <v>30</v>
      </c>
      <c r="EF42" s="54">
        <v>41883</v>
      </c>
      <c r="EG42" s="55">
        <f t="shared" si="393"/>
        <v>52840.5</v>
      </c>
      <c r="EH42" s="61" t="s">
        <v>122</v>
      </c>
      <c r="EI42" s="61">
        <f t="shared" ca="1" si="394"/>
        <v>29</v>
      </c>
      <c r="EJ42" s="38" t="s">
        <v>698</v>
      </c>
      <c r="EK42" s="39">
        <v>35.36</v>
      </c>
      <c r="EL42" s="39">
        <f t="shared" ref="EL42" si="713">EK42-ED42</f>
        <v>0.35999999999999943</v>
      </c>
      <c r="EM42" s="40">
        <f t="shared" ref="EM42" si="714">EK42/ED42-1</f>
        <v>1.0285714285714231E-2</v>
      </c>
      <c r="EN42" s="39">
        <f t="shared" ca="1" si="465"/>
        <v>1.2413793103448256E-2</v>
      </c>
      <c r="EO42" s="43">
        <f t="shared" ca="1" si="397"/>
        <v>1</v>
      </c>
      <c r="EP42" s="39">
        <f t="shared" ca="1" si="398"/>
        <v>38.057696828411167</v>
      </c>
      <c r="EQ42" s="39">
        <f t="shared" ca="1" si="466"/>
        <v>3.0576968284111672</v>
      </c>
      <c r="ER42" s="153">
        <f t="shared" ca="1" si="467"/>
        <v>0.10543782166935059</v>
      </c>
      <c r="ET42" s="37"/>
      <c r="EU42" s="1360">
        <f t="shared" ca="1" si="90"/>
        <v>0</v>
      </c>
      <c r="EV42" s="173">
        <v>0</v>
      </c>
      <c r="EW42" s="747">
        <v>30</v>
      </c>
      <c r="EX42" s="55">
        <v>42795</v>
      </c>
      <c r="EY42" s="55">
        <f t="shared" ref="EY42" si="715">EX42+EW42*365.25</f>
        <v>53752.5</v>
      </c>
      <c r="EZ42" s="61">
        <f t="shared" ref="EZ42" ca="1" si="716">IF(EX42&gt;$G$1,0,DATEDIF(EX42,$G$1,"M"))</f>
        <v>0</v>
      </c>
      <c r="FA42" s="37" t="s">
        <v>2549</v>
      </c>
      <c r="FB42" s="39">
        <v>0</v>
      </c>
      <c r="FC42" s="39">
        <f t="shared" ref="FC42" si="717">FB42-EV42</f>
        <v>0</v>
      </c>
      <c r="FD42" s="40" t="e">
        <f t="shared" ref="FD42" si="718">FB42/EV42-1</f>
        <v>#DIV/0!</v>
      </c>
      <c r="FE42" s="39"/>
      <c r="FF42" s="43">
        <f t="shared" ref="FF42" ca="1" si="719">IF(EX42&lt;$G$1-365.25,1,0)</f>
        <v>0</v>
      </c>
      <c r="FH42" s="528">
        <v>2015</v>
      </c>
      <c r="FI42" s="520">
        <v>40</v>
      </c>
      <c r="FJ42" s="521">
        <f t="shared" si="701"/>
        <v>200</v>
      </c>
      <c r="FK42" s="520">
        <f t="shared" si="702"/>
        <v>2400</v>
      </c>
      <c r="FL42" s="520">
        <f t="shared" si="711"/>
        <v>5</v>
      </c>
      <c r="FM42" s="520">
        <f t="shared" si="711"/>
        <v>25</v>
      </c>
      <c r="FN42" s="520">
        <f t="shared" si="711"/>
        <v>300</v>
      </c>
      <c r="FO42" s="520">
        <f>FI42-$FI$40</f>
        <v>15</v>
      </c>
      <c r="FP42" s="520">
        <f>FJ42-$FJ$40</f>
        <v>75</v>
      </c>
      <c r="FQ42" s="530">
        <f>FK42-$FK$40</f>
        <v>900</v>
      </c>
      <c r="FR42" s="438"/>
      <c r="FS42" s="550">
        <v>4</v>
      </c>
      <c r="FT42" s="58">
        <v>1</v>
      </c>
      <c r="FU42" s="38">
        <v>2</v>
      </c>
      <c r="FV42" s="38">
        <f t="shared" si="712"/>
        <v>1.0004997502081252</v>
      </c>
      <c r="FW42" s="39">
        <f t="shared" ref="FW42:FW46" si="720">$FW$39*FV42</f>
        <v>25.238452060908063</v>
      </c>
      <c r="FX42" s="153"/>
      <c r="FY42" s="552">
        <v>30</v>
      </c>
      <c r="FZ42" s="39">
        <f>FW390</f>
        <v>51.702074452961931</v>
      </c>
      <c r="GA42" s="39">
        <f t="shared" si="379"/>
        <v>26.702074452961931</v>
      </c>
      <c r="GB42" s="386">
        <f t="shared" si="380"/>
        <v>1.0680829781184773</v>
      </c>
      <c r="GD42" s="497">
        <v>2010</v>
      </c>
      <c r="GE42" s="1109">
        <v>2840466.75</v>
      </c>
      <c r="GF42" s="1109">
        <f t="shared" si="635"/>
        <v>2840466.75</v>
      </c>
      <c r="GG42" s="1114">
        <f t="shared" si="642"/>
        <v>-7.2669328832774993E-2</v>
      </c>
    </row>
    <row r="43" spans="2:189" ht="13.5" thickBot="1">
      <c r="C43" s="679">
        <f>COUNTIF(Stocks!V2:V146,"&gt;.64%")/COUNTA(Stocks!V2:V146)</f>
        <v>0.85517241379310349</v>
      </c>
      <c r="D43" s="95" t="s">
        <v>1531</v>
      </c>
      <c r="E43" s="817">
        <f>AQ12</f>
        <v>1.3289527720739179E-2</v>
      </c>
      <c r="F43" s="96">
        <f t="shared" si="693"/>
        <v>0.40449999999999875</v>
      </c>
      <c r="G43" s="96">
        <f t="shared" si="694"/>
        <v>4.853999999999985</v>
      </c>
      <c r="H43" s="1013">
        <f>G43/AQ3</f>
        <v>8.0899999999999757E-3</v>
      </c>
      <c r="I43" s="96"/>
      <c r="J43" s="693" t="s">
        <v>1373</v>
      </c>
      <c r="K43" s="172">
        <f t="shared" si="703"/>
        <v>2</v>
      </c>
      <c r="L43" s="82">
        <f t="shared" si="704"/>
        <v>3.875</v>
      </c>
      <c r="M43" s="848">
        <f t="shared" si="705"/>
        <v>1.235728728364981E-2</v>
      </c>
      <c r="N43" s="1027">
        <f t="shared" ref="N43:N52" si="721">N42+L43</f>
        <v>76.408131249999997</v>
      </c>
      <c r="O43" s="67"/>
      <c r="P43" s="59"/>
      <c r="Q43" s="59"/>
      <c r="R43" s="60"/>
      <c r="S43" s="55"/>
      <c r="T43" s="380"/>
      <c r="U43" s="55"/>
      <c r="V43" s="61"/>
      <c r="AG43" s="62"/>
      <c r="AH43" s="62"/>
      <c r="AI43" s="62"/>
      <c r="AJ43" s="62"/>
      <c r="AK43" s="62"/>
      <c r="AL43" s="62"/>
      <c r="AM43" s="62"/>
      <c r="AN43" s="62"/>
      <c r="AO43" s="62"/>
      <c r="AP43" s="62"/>
      <c r="AQ43" s="62"/>
      <c r="AR43" s="62"/>
      <c r="AS43" s="62"/>
      <c r="AT43" s="62"/>
      <c r="AU43" s="62"/>
      <c r="AV43" s="62"/>
      <c r="AW43" s="62"/>
      <c r="AX43" s="62"/>
      <c r="AY43" s="62"/>
      <c r="BL43" s="62"/>
      <c r="BM43" s="62"/>
      <c r="BN43" s="62"/>
      <c r="BO43" s="62"/>
      <c r="BP43" s="62"/>
      <c r="BQ43" s="62"/>
      <c r="BR43" s="62"/>
      <c r="BS43" s="62"/>
      <c r="BW43" s="59">
        <v>100</v>
      </c>
      <c r="BX43" s="3">
        <f>9+(10/12)</f>
        <v>9.8333333333333339</v>
      </c>
      <c r="BY43" s="55">
        <v>41379</v>
      </c>
      <c r="BZ43" s="55">
        <f t="shared" si="381"/>
        <v>44970.625</v>
      </c>
      <c r="CA43" s="55">
        <v>41320</v>
      </c>
      <c r="CB43" s="1" t="s">
        <v>287</v>
      </c>
      <c r="CC43" s="160">
        <v>0.02</v>
      </c>
      <c r="CD43" s="165">
        <f t="shared" si="487"/>
        <v>1</v>
      </c>
      <c r="CE43" s="163">
        <f t="shared" si="407"/>
        <v>2</v>
      </c>
      <c r="CF43" s="39">
        <f t="shared" si="408"/>
        <v>19.666666666666668</v>
      </c>
      <c r="CG43" s="73">
        <f t="shared" si="409"/>
        <v>119.66666666666667</v>
      </c>
      <c r="CH43" s="73">
        <f t="shared" si="488"/>
        <v>0.16666666666666666</v>
      </c>
      <c r="CI43" s="54" t="str">
        <f t="shared" si="430"/>
        <v>Aug</v>
      </c>
      <c r="CJ43" s="54" t="str">
        <f t="shared" si="431"/>
        <v>Feb</v>
      </c>
      <c r="CO43" s="59">
        <v>100</v>
      </c>
      <c r="CP43" s="3">
        <f>29+(11/12)</f>
        <v>29.916666666666668</v>
      </c>
      <c r="CQ43" s="55">
        <v>41442</v>
      </c>
      <c r="CR43" s="55">
        <f t="shared" si="329"/>
        <v>52369.0625</v>
      </c>
      <c r="CS43" s="55">
        <v>41409</v>
      </c>
      <c r="CT43" s="23" t="s">
        <v>341</v>
      </c>
      <c r="CU43" s="160">
        <v>2.8750000000000001E-2</v>
      </c>
      <c r="CV43" s="165">
        <f t="shared" si="695"/>
        <v>1.4375</v>
      </c>
      <c r="CW43" s="163">
        <f t="shared" si="626"/>
        <v>2.875</v>
      </c>
      <c r="CX43" s="73">
        <f t="shared" si="627"/>
        <v>86.010416666666671</v>
      </c>
      <c r="CY43" s="203">
        <f t="shared" si="628"/>
        <v>186.01041666666669</v>
      </c>
      <c r="CZ43" s="203">
        <f t="shared" si="636"/>
        <v>0.23958333333333334</v>
      </c>
      <c r="DA43" s="54" t="str">
        <f t="shared" si="361"/>
        <v>Nov</v>
      </c>
      <c r="DB43" s="54" t="str">
        <f t="shared" si="362"/>
        <v>May</v>
      </c>
      <c r="DE43" s="62"/>
      <c r="DF43" s="154"/>
      <c r="DG43" s="180"/>
      <c r="DH43" s="158"/>
      <c r="DI43" s="181"/>
      <c r="DJ43" s="158"/>
      <c r="DK43" s="158"/>
      <c r="DL43" s="182"/>
      <c r="DM43" s="38"/>
      <c r="DN43" s="38"/>
      <c r="DO43" s="38"/>
      <c r="DP43" s="38"/>
      <c r="DQ43" s="39"/>
      <c r="DR43" s="39"/>
      <c r="DS43" s="62"/>
      <c r="DT43" s="62"/>
      <c r="DU43" s="39"/>
      <c r="DV43" s="62"/>
      <c r="DW43" s="40"/>
      <c r="DX43" s="40"/>
      <c r="DY43" s="355"/>
      <c r="DZ43" s="40"/>
      <c r="EB43" s="39">
        <f ca="1">(EB12*12)/365.25</f>
        <v>0.30518852207528196</v>
      </c>
      <c r="EC43" s="380">
        <f t="shared" ca="1" si="83"/>
        <v>0</v>
      </c>
      <c r="ED43" s="73">
        <v>35</v>
      </c>
      <c r="EE43" s="38">
        <v>30</v>
      </c>
      <c r="EF43" s="54">
        <v>41883</v>
      </c>
      <c r="EG43" s="55">
        <f t="shared" si="393"/>
        <v>52840.5</v>
      </c>
      <c r="EH43" s="61" t="s">
        <v>122</v>
      </c>
      <c r="EI43" s="61">
        <f t="shared" ca="1" si="394"/>
        <v>29</v>
      </c>
      <c r="EJ43" s="38" t="s">
        <v>705</v>
      </c>
      <c r="EK43" s="39">
        <v>35.36</v>
      </c>
      <c r="EL43" s="39">
        <f t="shared" si="687"/>
        <v>0.35999999999999943</v>
      </c>
      <c r="EM43" s="40">
        <f t="shared" ref="EM43:EM54" si="722">EK43/ED43-1</f>
        <v>1.0285714285714231E-2</v>
      </c>
      <c r="EN43" s="39">
        <f t="shared" ca="1" si="465"/>
        <v>1.2413793103448256E-2</v>
      </c>
      <c r="EO43" s="43">
        <f t="shared" ca="1" si="397"/>
        <v>1</v>
      </c>
      <c r="EP43" s="39">
        <f t="shared" ca="1" si="398"/>
        <v>38.057696828411167</v>
      </c>
      <c r="EQ43" s="39">
        <f t="shared" ca="1" si="466"/>
        <v>3.0576968284111672</v>
      </c>
      <c r="ER43" s="153">
        <f t="shared" ca="1" si="467"/>
        <v>0.10543782166935059</v>
      </c>
      <c r="ET43" s="37"/>
      <c r="EU43" s="1360">
        <f t="shared" ca="1" si="90"/>
        <v>0</v>
      </c>
      <c r="EV43" s="173">
        <v>0</v>
      </c>
      <c r="EW43" s="747">
        <v>30</v>
      </c>
      <c r="EX43" s="55">
        <v>42795</v>
      </c>
      <c r="EY43" s="55">
        <f t="shared" ref="EY43" si="723">EX43+EW43*365.25</f>
        <v>53752.5</v>
      </c>
      <c r="EZ43" s="61">
        <f t="shared" ref="EZ43" ca="1" si="724">IF(EX43&gt;$G$1,0,DATEDIF(EX43,$G$1,"M"))</f>
        <v>0</v>
      </c>
      <c r="FA43" s="37" t="s">
        <v>2548</v>
      </c>
      <c r="FB43" s="39">
        <v>0</v>
      </c>
      <c r="FC43" s="39">
        <f t="shared" ref="FC43" si="725">FB43-EV43</f>
        <v>0</v>
      </c>
      <c r="FD43" s="40" t="e">
        <f t="shared" ref="FD43" si="726">FB43/EV43-1</f>
        <v>#DIV/0!</v>
      </c>
      <c r="FE43" s="39"/>
      <c r="FF43" s="43">
        <f t="shared" ref="FF43" ca="1" si="727">IF(EX43&lt;$G$1-365.25,1,0)</f>
        <v>0</v>
      </c>
      <c r="FH43" s="528">
        <v>2016</v>
      </c>
      <c r="FI43" s="521">
        <v>60</v>
      </c>
      <c r="FJ43" s="521">
        <f t="shared" si="701"/>
        <v>300</v>
      </c>
      <c r="FK43" s="521">
        <f t="shared" si="702"/>
        <v>3600</v>
      </c>
      <c r="FL43" s="521">
        <f t="shared" ref="FL43" si="728">FI43-FI42</f>
        <v>20</v>
      </c>
      <c r="FM43" s="521">
        <f t="shared" ref="FM43" si="729">FJ43-FJ42</f>
        <v>100</v>
      </c>
      <c r="FN43" s="521">
        <f t="shared" ref="FN43" si="730">FK43-FK42</f>
        <v>1200</v>
      </c>
      <c r="FO43" s="521">
        <f>FI43-$FI$40</f>
        <v>35</v>
      </c>
      <c r="FP43" s="521">
        <f>FJ43-$FJ$40</f>
        <v>175</v>
      </c>
      <c r="FQ43" s="1310">
        <f>FK43-$FK$40</f>
        <v>2100</v>
      </c>
      <c r="FR43" s="438"/>
      <c r="FS43" s="550">
        <v>4</v>
      </c>
      <c r="FT43" s="58">
        <v>1</v>
      </c>
      <c r="FU43" s="38">
        <v>3</v>
      </c>
      <c r="FV43" s="38">
        <f t="shared" si="712"/>
        <v>1.0007497189607399</v>
      </c>
      <c r="FW43" s="39">
        <f t="shared" si="720"/>
        <v>25.244757734026201</v>
      </c>
      <c r="FX43" s="153"/>
      <c r="FY43" s="38"/>
      <c r="FZ43" s="38"/>
      <c r="GA43" s="38"/>
      <c r="GD43" s="497">
        <v>2011</v>
      </c>
      <c r="GE43" s="1109">
        <v>3277369.23</v>
      </c>
      <c r="GF43" s="1109">
        <f t="shared" si="635"/>
        <v>3277369.23</v>
      </c>
      <c r="GG43" s="1114">
        <f t="shared" si="642"/>
        <v>0.1538136223562554</v>
      </c>
    </row>
    <row r="44" spans="2:189">
      <c r="C44" s="679">
        <f>COUNTIF(Stocks!V2:V146,"&gt;.1%")/COUNTA(Stocks!V2:V146)</f>
        <v>0.90344827586206899</v>
      </c>
      <c r="D44" s="95" t="s">
        <v>868</v>
      </c>
      <c r="E44" s="817">
        <f>BB30</f>
        <v>8.2135523613963049E-4</v>
      </c>
      <c r="F44" s="96">
        <f t="shared" si="693"/>
        <v>2.5000000000000005E-2</v>
      </c>
      <c r="G44" s="96">
        <f t="shared" si="694"/>
        <v>0.30000000000000004</v>
      </c>
      <c r="H44" s="1013">
        <f>G44/BB3</f>
        <v>1.0000000000000002E-3</v>
      </c>
      <c r="I44" s="96"/>
      <c r="J44" s="693" t="s">
        <v>1374</v>
      </c>
      <c r="K44" s="172">
        <f t="shared" si="703"/>
        <v>6</v>
      </c>
      <c r="L44" s="82">
        <f t="shared" si="704"/>
        <v>1.13194375</v>
      </c>
      <c r="M44" s="848">
        <f t="shared" si="705"/>
        <v>3.6097429955308075E-3</v>
      </c>
      <c r="N44" s="1027">
        <f t="shared" si="721"/>
        <v>77.540075000000002</v>
      </c>
      <c r="O44" s="67"/>
      <c r="P44" s="59"/>
      <c r="Q44" s="59"/>
      <c r="R44" s="60"/>
      <c r="S44" s="55"/>
      <c r="T44" s="380"/>
      <c r="U44" s="55"/>
      <c r="V44" s="61"/>
      <c r="AG44" s="62"/>
      <c r="AH44" s="62"/>
      <c r="AI44" s="62"/>
      <c r="AJ44" s="62"/>
      <c r="AK44" s="62"/>
      <c r="AL44" s="62"/>
      <c r="AM44" s="62"/>
      <c r="AN44" s="62"/>
      <c r="AO44" s="62"/>
      <c r="AP44" s="62"/>
      <c r="AQ44" s="62"/>
      <c r="AR44" s="62"/>
      <c r="AS44" s="62"/>
      <c r="AT44" s="62"/>
      <c r="AU44" s="62"/>
      <c r="AV44" s="62"/>
      <c r="AW44" s="62"/>
      <c r="AX44" s="62"/>
      <c r="AY44" s="62"/>
      <c r="BL44" s="62"/>
      <c r="BM44" s="62"/>
      <c r="BN44" s="62"/>
      <c r="BO44" s="62"/>
      <c r="BP44" s="62"/>
      <c r="BQ44" s="62"/>
      <c r="BR44" s="62"/>
      <c r="BS44" s="62"/>
      <c r="CF44" s="39"/>
      <c r="CG44" s="38"/>
      <c r="CH44" s="38"/>
      <c r="CI44" s="62"/>
      <c r="CJ44" s="62"/>
      <c r="CO44" s="59">
        <v>200</v>
      </c>
      <c r="CP44" s="3">
        <v>30</v>
      </c>
      <c r="CQ44" s="55">
        <v>41409</v>
      </c>
      <c r="CR44" s="55">
        <f t="shared" si="329"/>
        <v>52366.5</v>
      </c>
      <c r="CS44" s="55">
        <v>41409</v>
      </c>
      <c r="CT44" s="1" t="s">
        <v>298</v>
      </c>
      <c r="CU44" s="160">
        <v>2.8750000000000001E-2</v>
      </c>
      <c r="CV44" s="165">
        <f t="shared" si="695"/>
        <v>2.875</v>
      </c>
      <c r="CW44" s="163">
        <f t="shared" si="626"/>
        <v>5.75</v>
      </c>
      <c r="CX44" s="73">
        <f t="shared" si="627"/>
        <v>172.5</v>
      </c>
      <c r="CY44" s="203">
        <f t="shared" si="628"/>
        <v>372.5</v>
      </c>
      <c r="CZ44" s="203">
        <f t="shared" si="636"/>
        <v>0.47916666666666669</v>
      </c>
      <c r="DA44" s="54" t="str">
        <f t="shared" si="361"/>
        <v>Nov</v>
      </c>
      <c r="DB44" s="54" t="str">
        <f t="shared" si="362"/>
        <v>May</v>
      </c>
      <c r="DD44" s="198"/>
      <c r="DE44" s="1404" t="s">
        <v>2770</v>
      </c>
      <c r="DF44" s="1407" t="s">
        <v>2771</v>
      </c>
      <c r="DG44" s="39"/>
      <c r="DH44" s="154"/>
      <c r="DI44" s="38"/>
      <c r="DJ44" s="38"/>
      <c r="DK44" s="38"/>
      <c r="DL44" s="38"/>
      <c r="DM44" s="38"/>
      <c r="DN44" s="38"/>
      <c r="DO44" s="38"/>
      <c r="DP44" s="38"/>
      <c r="DQ44" s="39"/>
      <c r="DR44" s="39"/>
      <c r="DS44" s="62"/>
      <c r="DT44" s="62"/>
      <c r="DU44" s="39"/>
      <c r="DV44" s="62"/>
      <c r="DW44" s="40"/>
      <c r="DX44" s="40"/>
      <c r="DY44" s="355"/>
      <c r="DZ44" s="40"/>
      <c r="EB44" s="38"/>
      <c r="EC44" s="380">
        <f t="shared" ca="1" si="83"/>
        <v>0</v>
      </c>
      <c r="ED44" s="73">
        <v>35</v>
      </c>
      <c r="EE44" s="38">
        <v>30</v>
      </c>
      <c r="EF44" s="54">
        <v>41852</v>
      </c>
      <c r="EG44" s="55">
        <f t="shared" si="393"/>
        <v>52809.5</v>
      </c>
      <c r="EH44" s="61" t="s">
        <v>122</v>
      </c>
      <c r="EI44" s="61">
        <f t="shared" ca="1" si="394"/>
        <v>30</v>
      </c>
      <c r="EJ44" s="61" t="s">
        <v>674</v>
      </c>
      <c r="EK44" s="39">
        <v>35.39</v>
      </c>
      <c r="EL44" s="39">
        <f t="shared" si="687"/>
        <v>0.39000000000000057</v>
      </c>
      <c r="EM44" s="40">
        <f t="shared" si="722"/>
        <v>1.1142857142857121E-2</v>
      </c>
      <c r="EN44" s="39">
        <f t="shared" ca="1" si="465"/>
        <v>1.3000000000000018E-2</v>
      </c>
      <c r="EO44" s="43">
        <f t="shared" ca="1" si="397"/>
        <v>1</v>
      </c>
      <c r="EP44" s="39">
        <f t="shared" ca="1" si="398"/>
        <v>38.16777064328403</v>
      </c>
      <c r="EQ44" s="39">
        <f t="shared" ca="1" si="466"/>
        <v>3.1677706432840296</v>
      </c>
      <c r="ER44" s="153">
        <f t="shared" ca="1" si="467"/>
        <v>0.10559235477613432</v>
      </c>
      <c r="ET44" s="37"/>
      <c r="EU44" s="1360">
        <f t="shared" ca="1" si="90"/>
        <v>0</v>
      </c>
      <c r="EV44" s="173">
        <v>0</v>
      </c>
      <c r="EW44" s="747">
        <v>30</v>
      </c>
      <c r="EX44" s="55">
        <v>42795</v>
      </c>
      <c r="EY44" s="55">
        <f t="shared" ref="EY44" si="731">EX44+EW44*365.25</f>
        <v>53752.5</v>
      </c>
      <c r="EZ44" s="61">
        <f t="shared" ref="EZ44" ca="1" si="732">IF(EX44&gt;$G$1,0,DATEDIF(EX44,$G$1,"M"))</f>
        <v>0</v>
      </c>
      <c r="FA44" s="37" t="s">
        <v>2547</v>
      </c>
      <c r="FB44" s="39">
        <v>0</v>
      </c>
      <c r="FC44" s="39">
        <f t="shared" ref="FC44" si="733">FB44-EV44</f>
        <v>0</v>
      </c>
      <c r="FD44" s="40" t="e">
        <f t="shared" ref="FD44" si="734">FB44/EV44-1</f>
        <v>#DIV/0!</v>
      </c>
      <c r="FE44" s="39"/>
      <c r="FF44" s="43">
        <f t="shared" ref="FF44" ca="1" si="735">IF(EX44&lt;$G$1-365.25,1,0)</f>
        <v>0</v>
      </c>
      <c r="FH44" s="528">
        <v>2017</v>
      </c>
      <c r="FI44" s="521">
        <v>70</v>
      </c>
      <c r="FJ44" s="521">
        <f t="shared" si="701"/>
        <v>350</v>
      </c>
      <c r="FK44" s="521">
        <f t="shared" si="702"/>
        <v>4200</v>
      </c>
      <c r="FL44" s="521">
        <f t="shared" ref="FL44" si="736">FI44-FI43</f>
        <v>10</v>
      </c>
      <c r="FM44" s="521">
        <f t="shared" ref="FM44" si="737">FJ44-FJ43</f>
        <v>50</v>
      </c>
      <c r="FN44" s="521">
        <f t="shared" ref="FN44" si="738">FK44-FK43</f>
        <v>600</v>
      </c>
      <c r="FO44" s="521">
        <f>FI44-$FI$40</f>
        <v>45</v>
      </c>
      <c r="FP44" s="521">
        <f>FJ44-$FJ$40</f>
        <v>225</v>
      </c>
      <c r="FQ44" s="1310">
        <f>FK44-$FK$40</f>
        <v>2700</v>
      </c>
      <c r="FR44" s="438"/>
      <c r="FS44" s="550">
        <v>4</v>
      </c>
      <c r="FT44" s="58">
        <v>1</v>
      </c>
      <c r="FU44" s="38">
        <v>4</v>
      </c>
      <c r="FV44" s="38">
        <f t="shared" si="712"/>
        <v>1.0009997501665211</v>
      </c>
      <c r="FW44" s="39">
        <f t="shared" si="720"/>
        <v>25.251064982578264</v>
      </c>
      <c r="FX44" s="153"/>
      <c r="FY44" s="1"/>
      <c r="FZ44" s="38"/>
      <c r="GA44" s="38"/>
      <c r="GD44" s="497">
        <v>2012</v>
      </c>
      <c r="GE44" s="1109">
        <v>7749618.2699999996</v>
      </c>
      <c r="GF44" s="1109">
        <f t="shared" si="635"/>
        <v>7749618.2699999996</v>
      </c>
      <c r="GG44" s="1114">
        <f t="shared" si="642"/>
        <v>1.3645850455488655</v>
      </c>
    </row>
    <row r="45" spans="2:189" ht="13.5" thickBot="1">
      <c r="C45" s="679">
        <f>COUNTIF(Stocks!V2:V146,"&gt;1.9%")/COUNTA(Stocks!V2:V146)</f>
        <v>0.71034482758620687</v>
      </c>
      <c r="D45" s="95" t="s">
        <v>9</v>
      </c>
      <c r="E45" s="817">
        <f>BV30</f>
        <v>0.22724161533196441</v>
      </c>
      <c r="F45" s="96">
        <f t="shared" si="693"/>
        <v>6.916666666666667</v>
      </c>
      <c r="G45" s="96">
        <f t="shared" si="694"/>
        <v>83</v>
      </c>
      <c r="H45" s="1013">
        <f>G45/BV3</f>
        <v>1.9302325581395347E-2</v>
      </c>
      <c r="I45" s="91"/>
      <c r="J45" s="693" t="s">
        <v>1375</v>
      </c>
      <c r="K45" s="172">
        <f t="shared" si="703"/>
        <v>41</v>
      </c>
      <c r="L45" s="82">
        <f t="shared" si="704"/>
        <v>76.625</v>
      </c>
      <c r="M45" s="848">
        <f t="shared" si="705"/>
        <v>0.24435539047991398</v>
      </c>
      <c r="N45" s="1027">
        <f t="shared" si="721"/>
        <v>154.165075</v>
      </c>
      <c r="O45" s="67"/>
      <c r="P45" s="59"/>
      <c r="Q45" s="59"/>
      <c r="R45" s="60"/>
      <c r="S45" s="55"/>
      <c r="T45" s="380"/>
      <c r="U45" s="55"/>
      <c r="V45" s="61"/>
      <c r="AG45" s="62"/>
      <c r="AH45" s="62"/>
      <c r="AI45" s="62"/>
      <c r="AJ45" s="62"/>
      <c r="AK45" s="62"/>
      <c r="AL45" s="62"/>
      <c r="AM45" s="62"/>
      <c r="AN45" s="62"/>
      <c r="AO45" s="62"/>
      <c r="AP45" s="62"/>
      <c r="AQ45" s="62"/>
      <c r="AR45" s="62"/>
      <c r="AS45" s="62"/>
      <c r="AT45" s="62"/>
      <c r="AU45" s="62"/>
      <c r="AV45" s="62"/>
      <c r="AW45" s="62"/>
      <c r="AX45" s="62"/>
      <c r="AY45" s="62"/>
      <c r="BL45" s="38"/>
      <c r="BM45" s="38"/>
      <c r="BN45" s="38"/>
      <c r="BO45" s="38"/>
      <c r="BP45" s="38"/>
      <c r="BQ45" s="38"/>
      <c r="BR45" s="62"/>
      <c r="BS45" s="62"/>
      <c r="CF45" s="39"/>
      <c r="CG45" s="38"/>
      <c r="CH45" s="38"/>
      <c r="CI45" s="62"/>
      <c r="CJ45" s="62"/>
      <c r="CO45" s="59">
        <v>100</v>
      </c>
      <c r="CP45" s="3">
        <f>29+(10/12)</f>
        <v>29.833333333333332</v>
      </c>
      <c r="CQ45" s="55">
        <v>41379</v>
      </c>
      <c r="CR45" s="55">
        <f t="shared" si="329"/>
        <v>52275.625</v>
      </c>
      <c r="CS45" s="55">
        <v>41320</v>
      </c>
      <c r="CT45" s="1" t="s">
        <v>288</v>
      </c>
      <c r="CU45" s="160">
        <v>3.125E-2</v>
      </c>
      <c r="CV45" s="165">
        <f t="shared" si="695"/>
        <v>1.5625</v>
      </c>
      <c r="CW45" s="163">
        <f t="shared" si="626"/>
        <v>3.125</v>
      </c>
      <c r="CX45" s="73">
        <f t="shared" si="627"/>
        <v>93.229166666666657</v>
      </c>
      <c r="CY45" s="203">
        <f t="shared" si="628"/>
        <v>193.22916666666666</v>
      </c>
      <c r="CZ45" s="203">
        <f t="shared" si="636"/>
        <v>0.26041666666666669</v>
      </c>
      <c r="DA45" s="54" t="str">
        <f t="shared" si="361"/>
        <v>Aug</v>
      </c>
      <c r="DB45" s="54" t="str">
        <f t="shared" si="362"/>
        <v>Feb</v>
      </c>
      <c r="DD45" s="150" t="s">
        <v>1371</v>
      </c>
      <c r="DE45" s="793">
        <f>COUNTIF($DS:$DT,DD45)</f>
        <v>18</v>
      </c>
      <c r="DF45" s="1405">
        <f>DE45/($DE$57/2)</f>
        <v>0.51428571428571423</v>
      </c>
      <c r="DG45" s="38"/>
      <c r="DH45" s="154"/>
      <c r="DI45" s="38"/>
      <c r="DJ45" s="38"/>
      <c r="DK45" s="38"/>
      <c r="DL45" s="38"/>
      <c r="DM45" s="38"/>
      <c r="DN45" s="38"/>
      <c r="DO45" s="38"/>
      <c r="DP45" s="38"/>
      <c r="DQ45" s="39"/>
      <c r="DR45" s="39"/>
      <c r="DS45" s="62"/>
      <c r="DT45" s="62"/>
      <c r="DU45" s="39"/>
      <c r="DV45" s="62"/>
      <c r="DW45" s="40"/>
      <c r="DX45" s="40"/>
      <c r="DY45" s="355"/>
      <c r="DZ45" s="40"/>
      <c r="EB45" s="37" t="s">
        <v>2665</v>
      </c>
      <c r="EC45" s="380">
        <f t="shared" ca="1" si="83"/>
        <v>0</v>
      </c>
      <c r="ED45" s="73">
        <v>50</v>
      </c>
      <c r="EE45" s="38">
        <v>30</v>
      </c>
      <c r="EF45" s="54">
        <v>41852</v>
      </c>
      <c r="EG45" s="55">
        <f t="shared" si="393"/>
        <v>52809.5</v>
      </c>
      <c r="EH45" s="61" t="s">
        <v>122</v>
      </c>
      <c r="EI45" s="61">
        <f t="shared" ref="EI45:EI76" ca="1" si="739">IF(EF45&gt;$G$1,0,DATEDIF(EF45,$G$1,"M"))</f>
        <v>30</v>
      </c>
      <c r="EJ45" s="61" t="s">
        <v>688</v>
      </c>
      <c r="EK45" s="39">
        <v>50.56</v>
      </c>
      <c r="EL45" s="39">
        <f t="shared" ref="EL45" si="740">EK45-ED45</f>
        <v>0.56000000000000227</v>
      </c>
      <c r="EM45" s="40">
        <f t="shared" ref="EM45" si="741">EK45/ED45-1</f>
        <v>1.1200000000000099E-2</v>
      </c>
      <c r="EN45" s="39">
        <f t="shared" ca="1" si="465"/>
        <v>1.8666666666666741E-2</v>
      </c>
      <c r="EO45" s="43">
        <f t="shared" ref="EO45:EO76" ca="1" si="742">IF(EF45&lt;$G$1-365.25,1,0)</f>
        <v>1</v>
      </c>
      <c r="EP45" s="39">
        <f t="shared" ref="EP45:EP76" ca="1" si="743">ED45*(1+$EB$23)^(EI45/12)</f>
        <v>54.525386633262897</v>
      </c>
      <c r="EQ45" s="39">
        <f t="shared" ca="1" si="466"/>
        <v>4.5253866332628974</v>
      </c>
      <c r="ER45" s="153">
        <f t="shared" ca="1" si="467"/>
        <v>0.15084622110876325</v>
      </c>
      <c r="ET45" s="37"/>
      <c r="EU45" s="1360">
        <f t="shared" ca="1" si="90"/>
        <v>0</v>
      </c>
      <c r="EV45" s="173">
        <v>0</v>
      </c>
      <c r="EW45" s="747">
        <v>30</v>
      </c>
      <c r="EX45" s="55">
        <v>42795</v>
      </c>
      <c r="EY45" s="55">
        <f t="shared" ref="EY45:EY54" si="744">EX45+EW45*365.25</f>
        <v>53752.5</v>
      </c>
      <c r="EZ45" s="61">
        <f t="shared" ref="EZ45:EZ54" ca="1" si="745">IF(EX45&gt;$G$1,0,DATEDIF(EX45,$G$1,"M"))</f>
        <v>0</v>
      </c>
      <c r="FA45" s="37" t="s">
        <v>2546</v>
      </c>
      <c r="FB45" s="39">
        <v>0</v>
      </c>
      <c r="FC45" s="39">
        <f t="shared" ref="FC45:FC54" si="746">FB45-EV45</f>
        <v>0</v>
      </c>
      <c r="FD45" s="40" t="e">
        <f t="shared" ref="FD45:FD54" si="747">FB45/EV45-1</f>
        <v>#DIV/0!</v>
      </c>
      <c r="FE45" s="39"/>
      <c r="FF45" s="43">
        <f t="shared" ref="FF45:FF54" ca="1" si="748">IF(EX45&lt;$G$1-365.25,1,0)</f>
        <v>0</v>
      </c>
      <c r="FH45" s="789">
        <v>2018</v>
      </c>
      <c r="FI45" s="790">
        <v>75</v>
      </c>
      <c r="FJ45" s="790">
        <f t="shared" si="701"/>
        <v>375</v>
      </c>
      <c r="FK45" s="790">
        <f t="shared" si="702"/>
        <v>4500</v>
      </c>
      <c r="FL45" s="790">
        <f t="shared" ref="FL45" si="749">FI45-FI44</f>
        <v>5</v>
      </c>
      <c r="FM45" s="790">
        <f t="shared" ref="FM45" si="750">FJ45-FJ44</f>
        <v>25</v>
      </c>
      <c r="FN45" s="790">
        <f t="shared" ref="FN45" si="751">FK45-FK44</f>
        <v>300</v>
      </c>
      <c r="FO45" s="790">
        <f>FI45-$FI$40</f>
        <v>50</v>
      </c>
      <c r="FP45" s="790">
        <f>FJ45-$FJ$40</f>
        <v>250</v>
      </c>
      <c r="FQ45" s="791">
        <f>FK45-$FK$40</f>
        <v>3000</v>
      </c>
      <c r="FR45" s="438"/>
      <c r="FS45" s="550">
        <v>4</v>
      </c>
      <c r="FT45" s="58">
        <v>1</v>
      </c>
      <c r="FU45" s="38">
        <v>5</v>
      </c>
      <c r="FV45" s="38">
        <f t="shared" si="712"/>
        <v>1.001249843841072</v>
      </c>
      <c r="FW45" s="39">
        <f t="shared" si="720"/>
        <v>25.257373806957855</v>
      </c>
      <c r="FX45" s="153"/>
      <c r="FY45" s="39"/>
      <c r="FZ45" s="38"/>
      <c r="GA45" s="38"/>
      <c r="GD45" s="497">
        <v>2013</v>
      </c>
      <c r="GE45" s="1109">
        <v>1763754.56</v>
      </c>
      <c r="GF45" s="1109">
        <f t="shared" si="635"/>
        <v>1763754.56</v>
      </c>
      <c r="GG45" s="1114">
        <f t="shared" si="642"/>
        <v>-0.77240755627567181</v>
      </c>
    </row>
    <row r="46" spans="2:189">
      <c r="C46" s="679">
        <f>COUNTIF(Stocks!V2:V146,"&gt;2.91%")/COUNTA(Stocks!V2:V146)</f>
        <v>0.54482758620689653</v>
      </c>
      <c r="D46" s="95" t="s">
        <v>867</v>
      </c>
      <c r="E46" s="817">
        <f>CN30</f>
        <v>0.56776180698151946</v>
      </c>
      <c r="F46" s="96">
        <f t="shared" si="693"/>
        <v>17.281249999999996</v>
      </c>
      <c r="G46" s="96">
        <f t="shared" si="694"/>
        <v>207.37499999999997</v>
      </c>
      <c r="H46" s="1013">
        <f>G46/CN3</f>
        <v>2.9207746478873236E-2</v>
      </c>
      <c r="I46" s="91"/>
      <c r="J46" s="693" t="s">
        <v>1376</v>
      </c>
      <c r="K46" s="172">
        <f t="shared" si="703"/>
        <v>4</v>
      </c>
      <c r="L46" s="82">
        <f t="shared" si="704"/>
        <v>2.625</v>
      </c>
      <c r="M46" s="848">
        <f t="shared" si="705"/>
        <v>8.3710655792466459E-3</v>
      </c>
      <c r="N46" s="1027">
        <f t="shared" si="721"/>
        <v>156.790075</v>
      </c>
      <c r="P46" s="616"/>
      <c r="Q46" s="59"/>
      <c r="R46" s="60"/>
      <c r="S46" s="55"/>
      <c r="T46" s="380"/>
      <c r="U46" s="55"/>
      <c r="V46" s="61"/>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BA46" s="62"/>
      <c r="BL46" s="62"/>
      <c r="BM46" s="62"/>
      <c r="BN46" s="62"/>
      <c r="BO46" s="62"/>
      <c r="BP46" s="62"/>
      <c r="BQ46" s="62"/>
      <c r="BR46" s="62"/>
      <c r="BS46" s="62"/>
      <c r="CF46" s="39"/>
      <c r="CG46" s="73"/>
      <c r="CH46" s="38"/>
      <c r="CI46" s="62"/>
      <c r="CJ46" s="62"/>
      <c r="CY46" s="39"/>
      <c r="CZ46" s="39"/>
      <c r="DA46" s="62"/>
      <c r="DB46" s="62"/>
      <c r="DD46" s="150" t="s">
        <v>1372</v>
      </c>
      <c r="DE46" s="793">
        <f t="shared" ref="DE46:DE56" si="752">COUNTIF($DS:$DT,DD46)</f>
        <v>11</v>
      </c>
      <c r="DF46" s="1405">
        <f t="shared" ref="DF46:DF56" si="753">DE46/($DE$57/2)</f>
        <v>0.31428571428571428</v>
      </c>
      <c r="DG46" s="38"/>
      <c r="DH46" s="154"/>
      <c r="DI46" s="38"/>
      <c r="DJ46" s="38"/>
      <c r="DK46" s="38"/>
      <c r="DL46" s="38"/>
      <c r="DM46" s="38"/>
      <c r="DN46" s="38"/>
      <c r="DO46" s="38"/>
      <c r="DP46" s="38"/>
      <c r="DQ46" s="39"/>
      <c r="DR46" s="39"/>
      <c r="DS46" s="62"/>
      <c r="DT46" s="62"/>
      <c r="DU46" s="39"/>
      <c r="DV46" s="62"/>
      <c r="DW46" s="40"/>
      <c r="DX46" s="40"/>
      <c r="DY46" s="355"/>
      <c r="DZ46" s="40"/>
      <c r="EB46" s="386">
        <f ca="1">AVERAGE(EC:EC)</f>
        <v>0</v>
      </c>
      <c r="EC46" s="380">
        <f t="shared" ca="1" si="83"/>
        <v>0</v>
      </c>
      <c r="ED46" s="73">
        <v>35</v>
      </c>
      <c r="EE46" s="38">
        <v>30</v>
      </c>
      <c r="EF46" s="54">
        <v>41821</v>
      </c>
      <c r="EG46" s="55">
        <f t="shared" si="393"/>
        <v>52778.5</v>
      </c>
      <c r="EH46" s="61" t="s">
        <v>122</v>
      </c>
      <c r="EI46" s="61">
        <f t="shared" ca="1" si="739"/>
        <v>31</v>
      </c>
      <c r="EJ46" s="61" t="s">
        <v>614</v>
      </c>
      <c r="EK46" s="39">
        <v>35.39</v>
      </c>
      <c r="EL46" s="39">
        <f t="shared" si="687"/>
        <v>0.39000000000000057</v>
      </c>
      <c r="EM46" s="40">
        <f t="shared" si="722"/>
        <v>1.1142857142857121E-2</v>
      </c>
      <c r="EN46" s="39">
        <f t="shared" ca="1" si="465"/>
        <v>1.258064516129034E-2</v>
      </c>
      <c r="EO46" s="43">
        <f t="shared" ca="1" si="742"/>
        <v>1</v>
      </c>
      <c r="EP46" s="39">
        <f t="shared" ca="1" si="743"/>
        <v>38.278162823316379</v>
      </c>
      <c r="EQ46" s="39">
        <f t="shared" ca="1" si="466"/>
        <v>3.2781628233163786</v>
      </c>
      <c r="ER46" s="153">
        <f t="shared" ca="1" si="467"/>
        <v>0.10574718784891544</v>
      </c>
      <c r="ET46" s="37"/>
      <c r="EU46" s="1360">
        <f t="shared" ca="1" si="90"/>
        <v>0</v>
      </c>
      <c r="EV46" s="173">
        <v>70</v>
      </c>
      <c r="EW46" s="747">
        <v>30</v>
      </c>
      <c r="EX46" s="55">
        <v>42767</v>
      </c>
      <c r="EY46" s="55">
        <f t="shared" si="744"/>
        <v>53724.5</v>
      </c>
      <c r="EZ46" s="61">
        <f t="shared" ca="1" si="745"/>
        <v>0</v>
      </c>
      <c r="FA46" s="37" t="s">
        <v>2542</v>
      </c>
      <c r="FB46" s="39">
        <v>70</v>
      </c>
      <c r="FC46" s="39">
        <f t="shared" si="746"/>
        <v>0</v>
      </c>
      <c r="FD46" s="40">
        <f t="shared" si="747"/>
        <v>0</v>
      </c>
      <c r="FE46" s="39"/>
      <c r="FF46" s="43">
        <f t="shared" ca="1" si="748"/>
        <v>0</v>
      </c>
      <c r="FH46" s="792" t="s">
        <v>2590</v>
      </c>
      <c r="FR46" s="438"/>
      <c r="FS46" s="550">
        <v>4</v>
      </c>
      <c r="FT46" s="58">
        <v>1</v>
      </c>
      <c r="FU46" s="38">
        <v>6</v>
      </c>
      <c r="FV46" s="38">
        <f t="shared" si="712"/>
        <v>1.0015000000000001</v>
      </c>
      <c r="FW46" s="39">
        <f t="shared" si="720"/>
        <v>25.26368420755869</v>
      </c>
      <c r="FX46" s="153"/>
      <c r="FY46" s="386"/>
      <c r="FZ46" s="38"/>
      <c r="GA46" s="38"/>
      <c r="GD46" s="497">
        <v>2014</v>
      </c>
      <c r="GE46" s="1109">
        <v>5103452.84</v>
      </c>
      <c r="GF46" s="1109">
        <f t="shared" si="635"/>
        <v>5103452.84</v>
      </c>
      <c r="GG46" s="1114">
        <f t="shared" si="642"/>
        <v>1.8935164538993452</v>
      </c>
    </row>
    <row r="47" spans="2:189">
      <c r="C47" s="679">
        <f>COUNTIF(Stocks!V2:V146,"&gt;.64%")/COUNTA(Stocks!V2:V146)</f>
        <v>0.85517241379310349</v>
      </c>
      <c r="D47" s="95" t="s">
        <v>300</v>
      </c>
      <c r="E47" s="817">
        <f>DF30</f>
        <v>6.3532238193018467E-2</v>
      </c>
      <c r="F47" s="96">
        <f t="shared" si="693"/>
        <v>1.9337624999999996</v>
      </c>
      <c r="G47" s="96">
        <f t="shared" si="694"/>
        <v>23.205149999999996</v>
      </c>
      <c r="H47" s="1013">
        <f>G47/DF3</f>
        <v>5.9500384615384606E-3</v>
      </c>
      <c r="I47" s="172"/>
      <c r="J47" s="693" t="s">
        <v>1377</v>
      </c>
      <c r="K47" s="172">
        <f t="shared" si="703"/>
        <v>23</v>
      </c>
      <c r="L47" s="82">
        <f t="shared" si="704"/>
        <v>6.3183499999999997</v>
      </c>
      <c r="M47" s="848">
        <f t="shared" si="705"/>
        <v>2.0149075124812586E-2</v>
      </c>
      <c r="N47" s="1027">
        <f t="shared" si="721"/>
        <v>163.10842500000001</v>
      </c>
      <c r="P47" s="616"/>
      <c r="Q47" s="59"/>
      <c r="R47" s="60"/>
      <c r="S47" s="55"/>
      <c r="T47" s="380"/>
      <c r="U47" s="55"/>
      <c r="V47" s="61"/>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BA47" s="62"/>
      <c r="BR47" s="62"/>
      <c r="BS47" s="62"/>
      <c r="BZ47" s="39"/>
      <c r="CA47" s="39"/>
      <c r="CF47" s="39"/>
      <c r="CG47" s="73"/>
      <c r="CH47" s="38"/>
      <c r="CI47" s="62"/>
      <c r="CJ47" s="62"/>
      <c r="CO47" s="39"/>
      <c r="CP47" s="154"/>
      <c r="CQ47" s="38"/>
      <c r="CR47" s="38"/>
      <c r="CS47" s="38"/>
      <c r="CT47" s="38"/>
      <c r="CU47" s="38"/>
      <c r="CV47" s="38"/>
      <c r="CW47" s="38"/>
      <c r="CX47" s="38"/>
      <c r="CY47" s="39"/>
      <c r="CZ47" s="39"/>
      <c r="DA47" s="62"/>
      <c r="DB47" s="62"/>
      <c r="DD47" s="150" t="s">
        <v>1373</v>
      </c>
      <c r="DE47" s="793">
        <f t="shared" si="752"/>
        <v>0</v>
      </c>
      <c r="DF47" s="1405">
        <f t="shared" si="753"/>
        <v>0</v>
      </c>
      <c r="DG47" s="38"/>
      <c r="DH47" s="154"/>
      <c r="DI47" s="38"/>
      <c r="DJ47" s="38"/>
      <c r="DK47" s="38"/>
      <c r="DL47" s="38"/>
      <c r="DM47" s="38"/>
      <c r="DN47" s="38"/>
      <c r="DO47" s="38"/>
      <c r="DP47" s="38"/>
      <c r="DQ47" s="39"/>
      <c r="DR47" s="39"/>
      <c r="DS47" s="62"/>
      <c r="DT47" s="62"/>
      <c r="DU47" s="39"/>
      <c r="DV47" s="62"/>
      <c r="DW47" s="40"/>
      <c r="DX47" s="40"/>
      <c r="DY47" s="355"/>
      <c r="DZ47" s="40"/>
      <c r="EB47" s="38"/>
      <c r="EC47" s="380">
        <f t="shared" ca="1" si="83"/>
        <v>0</v>
      </c>
      <c r="ED47" s="73">
        <v>35</v>
      </c>
      <c r="EE47" s="38">
        <v>30</v>
      </c>
      <c r="EF47" s="54">
        <v>41791</v>
      </c>
      <c r="EG47" s="55">
        <f t="shared" si="393"/>
        <v>52748.5</v>
      </c>
      <c r="EH47" s="61" t="s">
        <v>122</v>
      </c>
      <c r="EI47" s="61">
        <f t="shared" ca="1" si="739"/>
        <v>32</v>
      </c>
      <c r="EJ47" s="61" t="s">
        <v>584</v>
      </c>
      <c r="EK47" s="39">
        <v>35.42</v>
      </c>
      <c r="EL47" s="39">
        <f t="shared" si="687"/>
        <v>0.42000000000000171</v>
      </c>
      <c r="EM47" s="40">
        <f t="shared" si="722"/>
        <v>1.2000000000000011E-2</v>
      </c>
      <c r="EN47" s="39">
        <f t="shared" ca="1" si="465"/>
        <v>1.3125000000000053E-2</v>
      </c>
      <c r="EO47" s="43">
        <f t="shared" ca="1" si="742"/>
        <v>1</v>
      </c>
      <c r="EP47" s="39">
        <f t="shared" ca="1" si="743"/>
        <v>38.388874289311914</v>
      </c>
      <c r="EQ47" s="39">
        <f t="shared" ref="EQ47:EQ78" ca="1" si="754">EP47-ED47</f>
        <v>3.3888742893119144</v>
      </c>
      <c r="ER47" s="153">
        <f t="shared" ca="1" si="467"/>
        <v>0.10590232154099732</v>
      </c>
      <c r="ET47" s="37"/>
      <c r="EU47" s="1360">
        <f t="shared" ca="1" si="90"/>
        <v>0</v>
      </c>
      <c r="EV47" s="173">
        <v>70</v>
      </c>
      <c r="EW47" s="747">
        <v>30</v>
      </c>
      <c r="EX47" s="55">
        <v>42767</v>
      </c>
      <c r="EY47" s="55">
        <f t="shared" si="744"/>
        <v>53724.5</v>
      </c>
      <c r="EZ47" s="61">
        <f t="shared" ca="1" si="745"/>
        <v>0</v>
      </c>
      <c r="FA47" s="37" t="s">
        <v>2543</v>
      </c>
      <c r="FB47" s="39">
        <v>70</v>
      </c>
      <c r="FC47" s="39">
        <f t="shared" si="746"/>
        <v>0</v>
      </c>
      <c r="FD47" s="40">
        <f t="shared" si="747"/>
        <v>0</v>
      </c>
      <c r="FE47" s="39"/>
      <c r="FF47" s="43">
        <f t="shared" ca="1" si="748"/>
        <v>0</v>
      </c>
      <c r="FR47" s="438"/>
      <c r="FS47" s="550">
        <v>4</v>
      </c>
      <c r="FT47" s="58">
        <v>2</v>
      </c>
      <c r="FU47" s="38">
        <v>1</v>
      </c>
      <c r="FV47" s="38">
        <f t="shared" si="712"/>
        <v>1.0002498438930771</v>
      </c>
      <c r="FW47" s="39">
        <f>$FW$46*FV47</f>
        <v>25.269996184774577</v>
      </c>
      <c r="FX47" s="153"/>
      <c r="FY47" s="38"/>
      <c r="FZ47" s="38"/>
      <c r="GA47" s="38"/>
      <c r="GD47" s="497">
        <v>2015</v>
      </c>
      <c r="GE47" s="1109">
        <v>3864661.38</v>
      </c>
      <c r="GF47" s="1109">
        <f t="shared" si="635"/>
        <v>3864661.38</v>
      </c>
      <c r="GG47" s="1114">
        <f t="shared" si="642"/>
        <v>-0.24273594737479731</v>
      </c>
    </row>
    <row r="48" spans="2:189">
      <c r="C48" s="679">
        <f>COUNTIF(Stocks!V2:V146,"&gt;.18%")/COUNTA(Stocks!V2:V146)</f>
        <v>0.90344827586206899</v>
      </c>
      <c r="D48" s="192" t="s">
        <v>163</v>
      </c>
      <c r="E48" s="817">
        <f ca="1">EB40</f>
        <v>1.4785361821173905E-2</v>
      </c>
      <c r="F48" s="96">
        <f ca="1">G48/12</f>
        <v>0.45002945043198078</v>
      </c>
      <c r="G48" s="96">
        <f ca="1">E48*365.25</f>
        <v>5.4003534051837692</v>
      </c>
      <c r="H48" s="1013">
        <f ca="1">G48/EB3</f>
        <v>1.7116809525146654E-3</v>
      </c>
      <c r="I48" s="96"/>
      <c r="J48" s="693" t="s">
        <v>1378</v>
      </c>
      <c r="K48" s="172">
        <f t="shared" si="703"/>
        <v>45</v>
      </c>
      <c r="L48" s="82">
        <f t="shared" si="704"/>
        <v>66.214781250000001</v>
      </c>
      <c r="M48" s="848">
        <f t="shared" si="705"/>
        <v>0.21115743853684615</v>
      </c>
      <c r="N48" s="1027">
        <f t="shared" si="721"/>
        <v>229.32320625</v>
      </c>
      <c r="P48" s="616"/>
      <c r="Q48" s="59"/>
      <c r="R48" s="60"/>
      <c r="S48" s="55"/>
      <c r="T48" s="380"/>
      <c r="U48" s="55"/>
      <c r="V48" s="61"/>
      <c r="W48" s="62"/>
      <c r="X48" s="62"/>
      <c r="Y48" s="62"/>
      <c r="Z48" s="62"/>
      <c r="AA48" s="62"/>
      <c r="AB48" s="62"/>
      <c r="AC48" s="62"/>
      <c r="AD48" s="62"/>
      <c r="AE48" s="62"/>
      <c r="AF48" s="62"/>
      <c r="AG48" s="38"/>
      <c r="AH48" s="38"/>
      <c r="AI48" s="38"/>
      <c r="AJ48" s="38"/>
      <c r="AK48" s="38"/>
      <c r="AL48" s="38"/>
      <c r="AM48" s="38"/>
      <c r="AN48" s="38"/>
      <c r="AO48" s="38"/>
      <c r="AP48" s="38"/>
      <c r="AQ48" s="38"/>
      <c r="AR48" s="38"/>
      <c r="AS48" s="38"/>
      <c r="AT48" s="38"/>
      <c r="AU48" s="38"/>
      <c r="AV48" s="38"/>
      <c r="AW48" s="38"/>
      <c r="AX48" s="38"/>
      <c r="AY48" s="38"/>
      <c r="BA48" s="62"/>
      <c r="BR48" s="38"/>
      <c r="BS48" s="38"/>
      <c r="BY48" s="160"/>
      <c r="CF48" s="39"/>
      <c r="CG48" s="38"/>
      <c r="CH48" s="38"/>
      <c r="CI48" s="62"/>
      <c r="CJ48" s="62"/>
      <c r="CO48" s="38"/>
      <c r="CP48" s="154"/>
      <c r="CQ48" s="38"/>
      <c r="CR48" s="38"/>
      <c r="CS48" s="38"/>
      <c r="CT48" s="38"/>
      <c r="CU48" s="38"/>
      <c r="CV48" s="38"/>
      <c r="CW48" s="38"/>
      <c r="CX48" s="38"/>
      <c r="CY48" s="39"/>
      <c r="CZ48" s="39"/>
      <c r="DA48" s="62"/>
      <c r="DB48" s="62"/>
      <c r="DD48" s="150" t="s">
        <v>1374</v>
      </c>
      <c r="DE48" s="793">
        <f t="shared" si="752"/>
        <v>4</v>
      </c>
      <c r="DF48" s="1405">
        <f t="shared" si="753"/>
        <v>0.11428571428571428</v>
      </c>
      <c r="DG48" s="38"/>
      <c r="DH48" s="154"/>
      <c r="DI48" s="38"/>
      <c r="DJ48" s="38"/>
      <c r="DK48" s="38"/>
      <c r="DL48" s="38"/>
      <c r="DM48" s="38"/>
      <c r="DN48" s="38"/>
      <c r="DO48" s="38"/>
      <c r="DP48" s="62"/>
      <c r="DQ48" s="39"/>
      <c r="DR48" s="39"/>
      <c r="DS48" s="62"/>
      <c r="DT48" s="62"/>
      <c r="DU48" s="39"/>
      <c r="DV48" s="62"/>
      <c r="DW48" s="40"/>
      <c r="DX48" s="40"/>
      <c r="DY48" s="355"/>
      <c r="DZ48" s="40"/>
      <c r="EB48" s="38"/>
      <c r="EC48" s="380">
        <f t="shared" ca="1" si="83"/>
        <v>0</v>
      </c>
      <c r="ED48" s="73">
        <v>35</v>
      </c>
      <c r="EE48" s="38">
        <v>30</v>
      </c>
      <c r="EF48" s="54">
        <v>41760</v>
      </c>
      <c r="EG48" s="55">
        <f t="shared" si="393"/>
        <v>52717.5</v>
      </c>
      <c r="EH48" s="61" t="s">
        <v>122</v>
      </c>
      <c r="EI48" s="61">
        <f t="shared" ca="1" si="739"/>
        <v>33</v>
      </c>
      <c r="EJ48" s="61" t="s">
        <v>575</v>
      </c>
      <c r="EK48" s="39">
        <v>35.42</v>
      </c>
      <c r="EL48" s="39">
        <f t="shared" si="687"/>
        <v>0.42000000000000171</v>
      </c>
      <c r="EM48" s="40">
        <f t="shared" si="722"/>
        <v>1.2000000000000011E-2</v>
      </c>
      <c r="EN48" s="39">
        <f t="shared" ref="EN48:EN79" ca="1" si="755">EL48/EI48</f>
        <v>1.272727272727278E-2</v>
      </c>
      <c r="EO48" s="43">
        <f t="shared" ca="1" si="742"/>
        <v>1</v>
      </c>
      <c r="EP48" s="39">
        <f t="shared" ca="1" si="743"/>
        <v>38.49990596473755</v>
      </c>
      <c r="EQ48" s="39">
        <f t="shared" ca="1" si="754"/>
        <v>3.4999059647375503</v>
      </c>
      <c r="ER48" s="153">
        <f t="shared" ref="ER48:ER79" ca="1" si="756">EQ48/EI48</f>
        <v>0.10605775650719849</v>
      </c>
      <c r="ET48" s="37"/>
      <c r="EU48" s="1360">
        <f t="shared" ca="1" si="90"/>
        <v>0</v>
      </c>
      <c r="EV48" s="173">
        <v>70</v>
      </c>
      <c r="EW48" s="747">
        <v>30</v>
      </c>
      <c r="EX48" s="55">
        <v>42767</v>
      </c>
      <c r="EY48" s="55">
        <f t="shared" si="744"/>
        <v>53724.5</v>
      </c>
      <c r="EZ48" s="61">
        <f t="shared" ca="1" si="745"/>
        <v>0</v>
      </c>
      <c r="FA48" s="37" t="s">
        <v>2544</v>
      </c>
      <c r="FB48" s="39">
        <v>70</v>
      </c>
      <c r="FC48" s="39">
        <f t="shared" si="746"/>
        <v>0</v>
      </c>
      <c r="FD48" s="40">
        <f t="shared" si="747"/>
        <v>0</v>
      </c>
      <c r="FE48" s="39"/>
      <c r="FF48" s="43">
        <f t="shared" ca="1" si="748"/>
        <v>0</v>
      </c>
      <c r="FK48" s="123"/>
      <c r="FR48" s="438"/>
      <c r="FS48" s="550">
        <v>4</v>
      </c>
      <c r="FT48" s="58">
        <v>2</v>
      </c>
      <c r="FU48" s="38">
        <v>2</v>
      </c>
      <c r="FV48" s="38">
        <f t="shared" si="712"/>
        <v>1.0004997502081252</v>
      </c>
      <c r="FW48" s="39">
        <f t="shared" ref="FW48:FW52" si="757">$FW$46*FV48</f>
        <v>25.276309738999426</v>
      </c>
      <c r="FX48" s="153"/>
      <c r="GD48" s="113">
        <v>2016</v>
      </c>
      <c r="GE48" s="1390">
        <v>2718154.76</v>
      </c>
      <c r="GF48" s="1109">
        <f ca="1">GE48/GD52</f>
        <v>2469666.731567164</v>
      </c>
      <c r="GG48" s="1114">
        <f t="shared" ca="1" si="642"/>
        <v>-0.36096167587982464</v>
      </c>
    </row>
    <row r="49" spans="3:189">
      <c r="C49" s="679">
        <f>COUNTIF(Stocks!V2:V146,"&gt;.84%")/COUNTA(Stocks!V2:V146)</f>
        <v>0.8413793103448276</v>
      </c>
      <c r="D49" s="192" t="s">
        <v>164</v>
      </c>
      <c r="E49" s="817">
        <f ca="1">ET20</f>
        <v>0.2159825823146406</v>
      </c>
      <c r="F49" s="96">
        <f ca="1">G49/12</f>
        <v>6.5739698492018732</v>
      </c>
      <c r="G49" s="96">
        <f ca="1">E49*365.25</f>
        <v>78.887638190422479</v>
      </c>
      <c r="H49" s="1013">
        <f ca="1">G49/ET3</f>
        <v>7.2875416342191666E-3</v>
      </c>
      <c r="I49" s="96"/>
      <c r="J49" s="693" t="s">
        <v>1379</v>
      </c>
      <c r="K49" s="172">
        <f t="shared" si="703"/>
        <v>2</v>
      </c>
      <c r="L49" s="82">
        <f t="shared" si="704"/>
        <v>3.875</v>
      </c>
      <c r="M49" s="848">
        <f t="shared" si="705"/>
        <v>1.235728728364981E-2</v>
      </c>
      <c r="N49" s="1027">
        <f t="shared" si="721"/>
        <v>233.19820625</v>
      </c>
      <c r="P49" s="616"/>
      <c r="Q49" s="59"/>
      <c r="R49" s="60"/>
      <c r="S49" s="55"/>
      <c r="T49" s="380"/>
      <c r="U49" s="55"/>
      <c r="V49" s="61"/>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BA49" s="62"/>
      <c r="BR49" s="62"/>
      <c r="BS49" s="62"/>
      <c r="CF49" s="39"/>
      <c r="CG49" s="38"/>
      <c r="CH49" s="38"/>
      <c r="CI49" s="62"/>
      <c r="CJ49" s="62"/>
      <c r="CO49" s="38"/>
      <c r="CP49" s="154"/>
      <c r="CQ49" s="38"/>
      <c r="CR49" s="38"/>
      <c r="CS49" s="38"/>
      <c r="CT49" s="38"/>
      <c r="CU49" s="38"/>
      <c r="CV49" s="38"/>
      <c r="CW49" s="38"/>
      <c r="CX49" s="38"/>
      <c r="CY49" s="39"/>
      <c r="CZ49" s="39"/>
      <c r="DA49" s="62"/>
      <c r="DB49" s="62"/>
      <c r="DD49" s="150" t="s">
        <v>1375</v>
      </c>
      <c r="DE49" s="793">
        <f t="shared" si="752"/>
        <v>0</v>
      </c>
      <c r="DF49" s="1405">
        <f t="shared" si="753"/>
        <v>0</v>
      </c>
      <c r="DG49" s="38"/>
      <c r="DH49" s="154"/>
      <c r="DI49" s="38"/>
      <c r="DJ49" s="38"/>
      <c r="DK49" s="38"/>
      <c r="DL49" s="38"/>
      <c r="DM49" s="38"/>
      <c r="DN49" s="38"/>
      <c r="DO49" s="38"/>
      <c r="DP49" s="62"/>
      <c r="DQ49" s="39"/>
      <c r="DR49" s="39"/>
      <c r="DS49" s="62"/>
      <c r="DT49" s="62"/>
      <c r="DU49" s="39"/>
      <c r="DV49" s="62"/>
      <c r="DW49" s="40"/>
      <c r="DX49" s="40"/>
      <c r="DY49" s="355"/>
      <c r="DZ49" s="40"/>
      <c r="EB49" s="39"/>
      <c r="EC49" s="380">
        <f t="shared" ca="1" si="83"/>
        <v>0</v>
      </c>
      <c r="ED49" s="73">
        <v>35</v>
      </c>
      <c r="EE49" s="38">
        <v>30</v>
      </c>
      <c r="EF49" s="54">
        <v>41730</v>
      </c>
      <c r="EG49" s="55">
        <f t="shared" si="393"/>
        <v>52687.5</v>
      </c>
      <c r="EH49" s="61" t="s">
        <v>122</v>
      </c>
      <c r="EI49" s="61">
        <f t="shared" ca="1" si="739"/>
        <v>34</v>
      </c>
      <c r="EJ49" s="61" t="s">
        <v>553</v>
      </c>
      <c r="EK49" s="39">
        <v>35.14</v>
      </c>
      <c r="EL49" s="39">
        <f>EK49-ED49</f>
        <v>0.14000000000000057</v>
      </c>
      <c r="EM49" s="40">
        <f>EK49/ED49-1</f>
        <v>4.0000000000000036E-3</v>
      </c>
      <c r="EN49" s="39">
        <f t="shared" ca="1" si="755"/>
        <v>4.1176470588235462E-3</v>
      </c>
      <c r="EO49" s="43">
        <f t="shared" ca="1" si="742"/>
        <v>1</v>
      </c>
      <c r="EP49" s="39">
        <f t="shared" ca="1" si="743"/>
        <v>38.61125877573113</v>
      </c>
      <c r="EQ49" s="39">
        <f t="shared" ca="1" si="754"/>
        <v>3.6112587757311303</v>
      </c>
      <c r="ER49" s="153">
        <f t="shared" ca="1" si="756"/>
        <v>0.10621349340385677</v>
      </c>
      <c r="ET49" s="37"/>
      <c r="EU49" s="1360">
        <f t="shared" ca="1" si="90"/>
        <v>0</v>
      </c>
      <c r="EV49" s="173">
        <v>70</v>
      </c>
      <c r="EW49" s="747">
        <v>30</v>
      </c>
      <c r="EX49" s="55">
        <v>42767</v>
      </c>
      <c r="EY49" s="55">
        <f t="shared" si="744"/>
        <v>53724.5</v>
      </c>
      <c r="EZ49" s="61">
        <f t="shared" ca="1" si="745"/>
        <v>0</v>
      </c>
      <c r="FA49" s="37" t="s">
        <v>2545</v>
      </c>
      <c r="FB49" s="39">
        <v>70</v>
      </c>
      <c r="FC49" s="39">
        <f t="shared" si="746"/>
        <v>0</v>
      </c>
      <c r="FD49" s="40">
        <f t="shared" si="747"/>
        <v>0</v>
      </c>
      <c r="FE49" s="39"/>
      <c r="FF49" s="43">
        <f t="shared" ca="1" si="748"/>
        <v>0</v>
      </c>
      <c r="FR49" s="438"/>
      <c r="FS49" s="550">
        <v>4</v>
      </c>
      <c r="FT49" s="58">
        <v>2</v>
      </c>
      <c r="FU49" s="38">
        <v>3</v>
      </c>
      <c r="FV49" s="38">
        <f t="shared" si="712"/>
        <v>1.0007497189607399</v>
      </c>
      <c r="FW49" s="39">
        <f t="shared" si="757"/>
        <v>25.282624870627242</v>
      </c>
      <c r="FX49" s="153"/>
      <c r="GD49" s="1115">
        <v>2017</v>
      </c>
      <c r="GE49" s="1116">
        <v>50197.16</v>
      </c>
      <c r="GF49" s="1109">
        <f ca="1">GE49/GD52</f>
        <v>45608.240522388056</v>
      </c>
      <c r="GG49" s="1114">
        <f t="shared" ca="1" si="642"/>
        <v>-0.98153263355762721</v>
      </c>
    </row>
    <row r="50" spans="3:189" ht="13.5" thickBot="1">
      <c r="C50" s="679">
        <f>COUNTIF(Stocks!V2:V146,"&gt;1.25%")/COUNTA(Stocks!V2:V146)</f>
        <v>0.78620689655172415</v>
      </c>
      <c r="D50" s="820" t="s">
        <v>1671</v>
      </c>
      <c r="E50" s="818">
        <f ca="1">SUM(E40:E49)</f>
        <v>1.1303603493377312</v>
      </c>
      <c r="F50" s="152">
        <f ca="1">G50/12</f>
        <v>34.405343132967197</v>
      </c>
      <c r="G50" s="152">
        <f ca="1">E50*365.25</f>
        <v>412.86411759560633</v>
      </c>
      <c r="H50" s="1286">
        <f ca="1">G50/E21</f>
        <v>1.2703652028010352E-2</v>
      </c>
      <c r="I50" s="91"/>
      <c r="J50" s="693" t="s">
        <v>1380</v>
      </c>
      <c r="K50" s="172">
        <f t="shared" si="703"/>
        <v>6</v>
      </c>
      <c r="L50" s="82">
        <f t="shared" si="704"/>
        <v>1.13194375</v>
      </c>
      <c r="M50" s="848">
        <f t="shared" si="705"/>
        <v>3.6097429955308075E-3</v>
      </c>
      <c r="N50" s="1027">
        <f t="shared" si="721"/>
        <v>234.33015</v>
      </c>
      <c r="P50" s="59"/>
      <c r="Q50" s="59"/>
      <c r="R50" s="60"/>
      <c r="S50" s="55"/>
      <c r="T50" s="380"/>
      <c r="U50" s="55"/>
      <c r="V50" s="61"/>
      <c r="W50" s="62"/>
      <c r="X50" s="62"/>
      <c r="Y50" s="62"/>
      <c r="Z50" s="62"/>
      <c r="AA50" s="62"/>
      <c r="AB50" s="62"/>
      <c r="AC50" s="62"/>
      <c r="AD50" s="62"/>
      <c r="AE50" s="62"/>
      <c r="AF50" s="62"/>
      <c r="BA50" s="62"/>
      <c r="BC50" s="38"/>
      <c r="BD50" s="38"/>
      <c r="BE50" s="38"/>
      <c r="BF50" s="38"/>
      <c r="BG50" s="38"/>
      <c r="BH50" s="38"/>
      <c r="BI50" s="38"/>
      <c r="BJ50" s="38"/>
      <c r="BK50" s="38"/>
      <c r="CF50" s="39"/>
      <c r="CG50" s="38"/>
      <c r="CH50" s="38"/>
      <c r="CI50" s="62"/>
      <c r="CJ50" s="62"/>
      <c r="CP50" s="154"/>
      <c r="CQ50" s="38"/>
      <c r="CR50" s="38"/>
      <c r="CS50" s="38"/>
      <c r="CT50" s="38"/>
      <c r="CU50" s="38"/>
      <c r="CV50" s="38"/>
      <c r="CW50" s="38"/>
      <c r="CX50" s="38"/>
      <c r="CY50" s="39"/>
      <c r="CZ50" s="39"/>
      <c r="DA50" s="62"/>
      <c r="DB50" s="62"/>
      <c r="DD50" s="150" t="s">
        <v>1376</v>
      </c>
      <c r="DE50" s="793">
        <f t="shared" si="752"/>
        <v>2</v>
      </c>
      <c r="DF50" s="1405">
        <f t="shared" si="753"/>
        <v>5.7142857142857141E-2</v>
      </c>
      <c r="DG50" s="38"/>
      <c r="DH50" s="154"/>
      <c r="DI50" s="38"/>
      <c r="DJ50" s="38"/>
      <c r="DK50" s="38"/>
      <c r="DL50" s="38"/>
      <c r="DM50" s="38"/>
      <c r="DN50" s="38"/>
      <c r="DO50" s="38"/>
      <c r="DP50" s="62"/>
      <c r="DQ50" s="39"/>
      <c r="DR50" s="39"/>
      <c r="DS50" s="62"/>
      <c r="DT50" s="62"/>
      <c r="DU50" s="39"/>
      <c r="DV50" s="62"/>
      <c r="DW50" s="40"/>
      <c r="DX50" s="40"/>
      <c r="DY50" s="355"/>
      <c r="DZ50" s="40"/>
      <c r="EB50" s="38"/>
      <c r="EC50" s="380">
        <f t="shared" ca="1" si="83"/>
        <v>0</v>
      </c>
      <c r="ED50" s="73">
        <v>35</v>
      </c>
      <c r="EE50" s="38">
        <v>30</v>
      </c>
      <c r="EF50" s="54">
        <v>41730</v>
      </c>
      <c r="EG50" s="55">
        <f t="shared" si="393"/>
        <v>52687.5</v>
      </c>
      <c r="EH50" s="61" t="s">
        <v>122</v>
      </c>
      <c r="EI50" s="61">
        <f t="shared" ca="1" si="739"/>
        <v>34</v>
      </c>
      <c r="EJ50" s="61" t="s">
        <v>583</v>
      </c>
      <c r="EK50" s="39">
        <v>35.14</v>
      </c>
      <c r="EL50" s="39">
        <f t="shared" si="687"/>
        <v>0.14000000000000057</v>
      </c>
      <c r="EM50" s="40">
        <f t="shared" si="722"/>
        <v>4.0000000000000036E-3</v>
      </c>
      <c r="EN50" s="39">
        <f t="shared" ca="1" si="755"/>
        <v>4.1176470588235462E-3</v>
      </c>
      <c r="EO50" s="43">
        <f t="shared" ca="1" si="742"/>
        <v>1</v>
      </c>
      <c r="EP50" s="39">
        <f t="shared" ca="1" si="743"/>
        <v>38.61125877573113</v>
      </c>
      <c r="EQ50" s="39">
        <f t="shared" ca="1" si="754"/>
        <v>3.6112587757311303</v>
      </c>
      <c r="ER50" s="153">
        <f t="shared" ca="1" si="756"/>
        <v>0.10621349340385677</v>
      </c>
      <c r="ET50" s="37"/>
      <c r="EU50" s="1360">
        <f t="shared" ca="1" si="90"/>
        <v>0</v>
      </c>
      <c r="EV50" s="173">
        <v>70</v>
      </c>
      <c r="EW50" s="747">
        <v>30</v>
      </c>
      <c r="EX50" s="55">
        <v>42736</v>
      </c>
      <c r="EY50" s="55">
        <f t="shared" si="744"/>
        <v>53693.5</v>
      </c>
      <c r="EZ50" s="61">
        <f t="shared" ca="1" si="745"/>
        <v>1</v>
      </c>
      <c r="FA50" s="37" t="s">
        <v>2541</v>
      </c>
      <c r="FB50" s="39">
        <v>70</v>
      </c>
      <c r="FC50" s="39">
        <f t="shared" si="746"/>
        <v>0</v>
      </c>
      <c r="FD50" s="40">
        <f t="shared" si="747"/>
        <v>0</v>
      </c>
      <c r="FE50" s="39">
        <f t="shared" ref="FE50:FE54" ca="1" si="758">FC50/EZ50</f>
        <v>0</v>
      </c>
      <c r="FF50" s="43">
        <f t="shared" ca="1" si="748"/>
        <v>0</v>
      </c>
      <c r="FH50" s="39"/>
      <c r="FR50" s="438"/>
      <c r="FS50" s="550">
        <v>4</v>
      </c>
      <c r="FT50" s="58">
        <v>2</v>
      </c>
      <c r="FU50" s="38">
        <v>4</v>
      </c>
      <c r="FV50" s="38">
        <f t="shared" si="712"/>
        <v>1.0009997501665211</v>
      </c>
      <c r="FW50" s="39">
        <f t="shared" si="757"/>
        <v>25.288941580052132</v>
      </c>
      <c r="FX50" s="153"/>
      <c r="GD50" s="497"/>
      <c r="GE50" s="114"/>
      <c r="GF50" s="114"/>
      <c r="GG50" s="115"/>
    </row>
    <row r="51" spans="3:189" ht="13.5" thickBot="1">
      <c r="C51" s="679"/>
      <c r="D51" s="361"/>
      <c r="E51" s="197"/>
      <c r="F51" s="114"/>
      <c r="G51" s="96"/>
      <c r="H51" s="114"/>
      <c r="I51" s="91"/>
      <c r="J51" s="693" t="s">
        <v>1381</v>
      </c>
      <c r="K51" s="172">
        <f t="shared" si="703"/>
        <v>41</v>
      </c>
      <c r="L51" s="82">
        <f t="shared" si="704"/>
        <v>76.625</v>
      </c>
      <c r="M51" s="848">
        <f t="shared" si="705"/>
        <v>0.24435539047991398</v>
      </c>
      <c r="N51" s="1027">
        <f t="shared" si="721"/>
        <v>310.95515</v>
      </c>
      <c r="P51" s="59"/>
      <c r="Q51" s="59"/>
      <c r="R51" s="60"/>
      <c r="S51" s="55"/>
      <c r="T51" s="380"/>
      <c r="U51" s="55"/>
      <c r="V51" s="61"/>
      <c r="W51" s="62"/>
      <c r="X51" s="62"/>
      <c r="Y51" s="62"/>
      <c r="Z51" s="62"/>
      <c r="AA51" s="62"/>
      <c r="AB51" s="62"/>
      <c r="AC51" s="62"/>
      <c r="AD51" s="62"/>
      <c r="AE51" s="62"/>
      <c r="AF51" s="62"/>
      <c r="AZ51" s="62"/>
      <c r="BA51" s="62"/>
      <c r="BC51" s="38"/>
      <c r="BD51" s="38"/>
      <c r="BE51" s="38"/>
      <c r="BF51" s="38"/>
      <c r="BG51" s="38"/>
      <c r="BH51" s="38"/>
      <c r="BI51" s="38"/>
      <c r="BJ51" s="38"/>
      <c r="BK51" s="38"/>
      <c r="BW51" s="39"/>
      <c r="CF51" s="39"/>
      <c r="CG51" s="62"/>
      <c r="CH51" s="62"/>
      <c r="CI51" s="62"/>
      <c r="CJ51" s="62"/>
      <c r="CP51" s="154"/>
      <c r="CQ51" s="38"/>
      <c r="CR51" s="38"/>
      <c r="CS51" s="38"/>
      <c r="CT51" s="38"/>
      <c r="CU51" s="38"/>
      <c r="CV51" s="38"/>
      <c r="CW51" s="38"/>
      <c r="CX51" s="38"/>
      <c r="CY51" s="39"/>
      <c r="CZ51" s="39"/>
      <c r="DA51" s="62"/>
      <c r="DB51" s="62"/>
      <c r="DD51" s="150" t="s">
        <v>1377</v>
      </c>
      <c r="DE51" s="793">
        <f t="shared" si="752"/>
        <v>18</v>
      </c>
      <c r="DF51" s="1405">
        <f t="shared" si="753"/>
        <v>0.51428571428571423</v>
      </c>
      <c r="DG51" s="38"/>
      <c r="DH51" s="154"/>
      <c r="DI51" s="38"/>
      <c r="DJ51" s="38"/>
      <c r="DK51" s="38"/>
      <c r="DL51" s="38"/>
      <c r="DM51" s="38"/>
      <c r="DN51" s="38"/>
      <c r="DO51" s="38"/>
      <c r="DP51" s="62"/>
      <c r="DQ51" s="39"/>
      <c r="DR51" s="39"/>
      <c r="DS51" s="62"/>
      <c r="DT51" s="62"/>
      <c r="DU51" s="39"/>
      <c r="DV51" s="62"/>
      <c r="DW51" s="40"/>
      <c r="DX51" s="40"/>
      <c r="DY51" s="355"/>
      <c r="DZ51" s="40"/>
      <c r="EB51" s="38"/>
      <c r="EC51" s="380">
        <f t="shared" ca="1" si="83"/>
        <v>0</v>
      </c>
      <c r="ED51" s="73">
        <v>35</v>
      </c>
      <c r="EE51" s="38">
        <v>30</v>
      </c>
      <c r="EF51" s="54">
        <v>41699</v>
      </c>
      <c r="EG51" s="55">
        <f t="shared" si="393"/>
        <v>52656.5</v>
      </c>
      <c r="EH51" s="61" t="s">
        <v>122</v>
      </c>
      <c r="EI51" s="61">
        <f t="shared" ca="1" si="739"/>
        <v>35</v>
      </c>
      <c r="EJ51" s="61" t="s">
        <v>540</v>
      </c>
      <c r="EK51" s="39">
        <v>35.14</v>
      </c>
      <c r="EL51" s="39">
        <f t="shared" si="687"/>
        <v>0.14000000000000057</v>
      </c>
      <c r="EM51" s="40">
        <f t="shared" si="722"/>
        <v>4.0000000000000036E-3</v>
      </c>
      <c r="EN51" s="39">
        <f t="shared" ca="1" si="755"/>
        <v>4.0000000000000166E-3</v>
      </c>
      <c r="EO51" s="43">
        <f t="shared" ca="1" si="742"/>
        <v>1</v>
      </c>
      <c r="EP51" s="39">
        <f t="shared" ca="1" si="743"/>
        <v>38.72293365110918</v>
      </c>
      <c r="EQ51" s="39">
        <f t="shared" ca="1" si="754"/>
        <v>3.7229336511091802</v>
      </c>
      <c r="ER51" s="153">
        <f t="shared" ca="1" si="756"/>
        <v>0.10636953288883372</v>
      </c>
      <c r="ET51" s="37"/>
      <c r="EU51" s="1360">
        <f t="shared" ca="1" si="90"/>
        <v>0</v>
      </c>
      <c r="EV51" s="173">
        <v>70</v>
      </c>
      <c r="EW51" s="747">
        <v>30</v>
      </c>
      <c r="EX51" s="55">
        <v>42736</v>
      </c>
      <c r="EY51" s="55">
        <f t="shared" si="744"/>
        <v>53693.5</v>
      </c>
      <c r="EZ51" s="61">
        <f t="shared" ca="1" si="745"/>
        <v>1</v>
      </c>
      <c r="FA51" s="37" t="s">
        <v>2540</v>
      </c>
      <c r="FB51" s="39">
        <v>70</v>
      </c>
      <c r="FC51" s="39">
        <f t="shared" si="746"/>
        <v>0</v>
      </c>
      <c r="FD51" s="40">
        <f t="shared" si="747"/>
        <v>0</v>
      </c>
      <c r="FE51" s="39">
        <f t="shared" ca="1" si="758"/>
        <v>0</v>
      </c>
      <c r="FF51" s="43">
        <f t="shared" ca="1" si="748"/>
        <v>0</v>
      </c>
      <c r="FH51" s="39"/>
      <c r="FR51" s="438"/>
      <c r="FS51" s="550">
        <v>4</v>
      </c>
      <c r="FT51" s="58">
        <v>2</v>
      </c>
      <c r="FU51" s="38">
        <v>5</v>
      </c>
      <c r="FV51" s="38">
        <f t="shared" si="712"/>
        <v>1.001249843841072</v>
      </c>
      <c r="FW51" s="39">
        <f t="shared" si="757"/>
        <v>25.295259867668292</v>
      </c>
      <c r="FX51" s="67"/>
      <c r="GD51" s="497">
        <f ca="1">DATEDIF("1/1/2016",Stocks!A4,"D")</f>
        <v>402</v>
      </c>
      <c r="GE51" s="459" t="s">
        <v>2094</v>
      </c>
      <c r="GF51" s="1109">
        <f ca="1">AVERAGE(GF28:GF48)</f>
        <v>2389672.71245558</v>
      </c>
      <c r="GG51" s="1117"/>
    </row>
    <row r="52" spans="3:189">
      <c r="C52" s="679"/>
      <c r="D52" s="1287" t="s">
        <v>2328</v>
      </c>
      <c r="E52" s="1288" t="s">
        <v>2330</v>
      </c>
      <c r="F52" s="1284" t="s">
        <v>2331</v>
      </c>
      <c r="G52" s="912" t="s">
        <v>2332</v>
      </c>
      <c r="H52" s="172"/>
      <c r="I52" s="91"/>
      <c r="J52" s="693" t="s">
        <v>1382</v>
      </c>
      <c r="K52" s="172">
        <f t="shared" si="703"/>
        <v>4</v>
      </c>
      <c r="L52" s="82">
        <f t="shared" si="704"/>
        <v>2.625</v>
      </c>
      <c r="M52" s="848">
        <f t="shared" si="705"/>
        <v>8.3710655792466459E-3</v>
      </c>
      <c r="N52" s="1027">
        <f t="shared" si="721"/>
        <v>313.58015</v>
      </c>
      <c r="R52" s="60"/>
      <c r="S52" s="55"/>
      <c r="T52" s="380"/>
      <c r="U52" s="55"/>
      <c r="V52" s="61"/>
      <c r="W52" s="62"/>
      <c r="X52" s="62"/>
      <c r="Y52" s="62"/>
      <c r="Z52" s="62"/>
      <c r="AA52" s="62"/>
      <c r="AB52" s="62"/>
      <c r="AC52" s="62"/>
      <c r="AD52" s="62"/>
      <c r="AE52" s="62"/>
      <c r="AF52" s="62"/>
      <c r="AZ52" s="62"/>
      <c r="BA52" s="62"/>
      <c r="BC52" s="38"/>
      <c r="BD52" s="38"/>
      <c r="BE52" s="38"/>
      <c r="BF52" s="38"/>
      <c r="BG52" s="38"/>
      <c r="BH52" s="38"/>
      <c r="BI52" s="38"/>
      <c r="BJ52" s="38"/>
      <c r="BK52" s="38"/>
      <c r="CF52" s="39"/>
      <c r="CG52" s="62"/>
      <c r="CH52" s="62"/>
      <c r="CI52" s="62"/>
      <c r="CJ52" s="62"/>
      <c r="CP52" s="154"/>
      <c r="CQ52" s="38"/>
      <c r="CR52" s="38"/>
      <c r="CS52" s="38"/>
      <c r="CT52" s="38"/>
      <c r="CU52" s="38"/>
      <c r="CV52" s="38"/>
      <c r="CW52" s="38"/>
      <c r="CX52" s="38"/>
      <c r="CY52" s="39"/>
      <c r="CZ52" s="39"/>
      <c r="DA52" s="62"/>
      <c r="DB52" s="62"/>
      <c r="DD52" s="150" t="s">
        <v>1378</v>
      </c>
      <c r="DE52" s="793">
        <f t="shared" si="752"/>
        <v>11</v>
      </c>
      <c r="DF52" s="1405">
        <f t="shared" si="753"/>
        <v>0.31428571428571428</v>
      </c>
      <c r="DG52" s="62"/>
      <c r="DH52" s="154"/>
      <c r="DI52" s="62"/>
      <c r="DJ52" s="62"/>
      <c r="DK52" s="62"/>
      <c r="DL52" s="62"/>
      <c r="DM52" s="62"/>
      <c r="DN52" s="62"/>
      <c r="DO52" s="62"/>
      <c r="DP52" s="62"/>
      <c r="DQ52" s="39"/>
      <c r="DR52" s="39"/>
      <c r="DS52" s="62"/>
      <c r="DT52" s="62"/>
      <c r="DU52" s="39"/>
      <c r="DV52" s="62"/>
      <c r="DW52" s="40"/>
      <c r="DX52" s="40"/>
      <c r="DY52" s="355"/>
      <c r="DZ52" s="40"/>
      <c r="EB52" s="38"/>
      <c r="EC52" s="380">
        <f t="shared" ca="1" si="83"/>
        <v>0</v>
      </c>
      <c r="ED52" s="73">
        <v>35</v>
      </c>
      <c r="EE52" s="38">
        <v>30</v>
      </c>
      <c r="EF52" s="54">
        <v>41671</v>
      </c>
      <c r="EG52" s="55">
        <f t="shared" si="393"/>
        <v>52628.5</v>
      </c>
      <c r="EH52" s="61" t="s">
        <v>122</v>
      </c>
      <c r="EI52" s="61">
        <f t="shared" ca="1" si="739"/>
        <v>36</v>
      </c>
      <c r="EJ52" s="61" t="s">
        <v>519</v>
      </c>
      <c r="EK52" s="39">
        <v>35.14</v>
      </c>
      <c r="EL52" s="39">
        <f t="shared" si="687"/>
        <v>0.14000000000000057</v>
      </c>
      <c r="EM52" s="40">
        <f t="shared" si="722"/>
        <v>4.0000000000000036E-3</v>
      </c>
      <c r="EN52" s="39">
        <f t="shared" ca="1" si="755"/>
        <v>3.8888888888889048E-3</v>
      </c>
      <c r="EO52" s="43">
        <f t="shared" ca="1" si="742"/>
        <v>1</v>
      </c>
      <c r="EP52" s="39">
        <f t="shared" ca="1" si="743"/>
        <v>38.834931522374582</v>
      </c>
      <c r="EQ52" s="39">
        <f t="shared" ca="1" si="754"/>
        <v>3.8349315223745819</v>
      </c>
      <c r="ER52" s="153">
        <f t="shared" ca="1" si="756"/>
        <v>0.10652587562151616</v>
      </c>
      <c r="ET52" s="37"/>
      <c r="EU52" s="1360">
        <f t="shared" ca="1" si="90"/>
        <v>0</v>
      </c>
      <c r="EV52" s="173">
        <v>70</v>
      </c>
      <c r="EW52" s="747">
        <v>30</v>
      </c>
      <c r="EX52" s="55">
        <v>42736</v>
      </c>
      <c r="EY52" s="55">
        <f t="shared" si="744"/>
        <v>53693.5</v>
      </c>
      <c r="EZ52" s="61">
        <f t="shared" ca="1" si="745"/>
        <v>1</v>
      </c>
      <c r="FA52" s="37" t="s">
        <v>2539</v>
      </c>
      <c r="FB52" s="39">
        <v>70</v>
      </c>
      <c r="FC52" s="39">
        <f t="shared" si="746"/>
        <v>0</v>
      </c>
      <c r="FD52" s="40">
        <f t="shared" si="747"/>
        <v>0</v>
      </c>
      <c r="FE52" s="39">
        <f t="shared" ca="1" si="758"/>
        <v>0</v>
      </c>
      <c r="FF52" s="43">
        <f t="shared" ca="1" si="748"/>
        <v>0</v>
      </c>
      <c r="FH52" s="39"/>
      <c r="FR52" s="438"/>
      <c r="FS52" s="550">
        <v>4</v>
      </c>
      <c r="FT52" s="58">
        <v>2</v>
      </c>
      <c r="FU52" s="38">
        <v>6</v>
      </c>
      <c r="FV52" s="38">
        <f t="shared" si="712"/>
        <v>1.0015000000000001</v>
      </c>
      <c r="FW52" s="39">
        <f t="shared" si="757"/>
        <v>25.301579733870028</v>
      </c>
      <c r="FX52" s="153"/>
      <c r="GD52" s="1118">
        <f ca="1">GD51/365.25</f>
        <v>1.1006160164271048</v>
      </c>
      <c r="GE52" s="459" t="s">
        <v>474</v>
      </c>
      <c r="GF52" s="1109">
        <f ca="1">MEDIAN(GF28:GF48)</f>
        <v>1868891.93</v>
      </c>
      <c r="GG52" s="115"/>
    </row>
    <row r="53" spans="3:189" ht="13.5" thickBot="1">
      <c r="D53" s="361" t="s">
        <v>163</v>
      </c>
      <c r="E53" s="793">
        <f ca="1">INT(G50/25)</f>
        <v>16</v>
      </c>
      <c r="F53" s="96">
        <f ca="1">25*E53*H48</f>
        <v>0.68467238100586614</v>
      </c>
      <c r="G53" s="357">
        <f ca="1">25*E53*EB23</f>
        <v>14.105969536551033</v>
      </c>
      <c r="H53" s="96"/>
      <c r="I53" s="96"/>
      <c r="J53" s="366"/>
      <c r="K53" s="698">
        <f>SUM(K41:K52)</f>
        <v>242</v>
      </c>
      <c r="L53" s="88">
        <f>SUM(L41:L52)</f>
        <v>313.58015</v>
      </c>
      <c r="M53" s="1027"/>
      <c r="N53" s="1027"/>
      <c r="P53" s="153"/>
      <c r="W53" s="62"/>
      <c r="X53" s="62"/>
      <c r="Y53" s="62"/>
      <c r="Z53" s="62"/>
      <c r="AA53" s="62"/>
      <c r="AB53" s="62"/>
      <c r="AC53" s="62"/>
      <c r="AD53" s="62"/>
      <c r="AE53" s="62"/>
      <c r="AF53" s="62"/>
      <c r="AZ53" s="62"/>
      <c r="BA53" s="62"/>
      <c r="BC53" s="38"/>
      <c r="BD53" s="38"/>
      <c r="BE53" s="38"/>
      <c r="BF53" s="38"/>
      <c r="BG53" s="38"/>
      <c r="BH53" s="38"/>
      <c r="BI53" s="38"/>
      <c r="BJ53" s="38"/>
      <c r="BK53" s="38"/>
      <c r="CF53" s="39"/>
      <c r="CG53" s="62"/>
      <c r="CH53" s="62"/>
      <c r="CI53" s="62"/>
      <c r="CJ53" s="62"/>
      <c r="CP53" s="154"/>
      <c r="CQ53" s="38"/>
      <c r="CR53" s="1"/>
      <c r="CS53" s="747"/>
      <c r="CT53" s="38"/>
      <c r="CU53" s="38"/>
      <c r="CV53" s="38"/>
      <c r="CW53" s="38"/>
      <c r="CX53" s="38"/>
      <c r="CY53" s="39"/>
      <c r="CZ53" s="39"/>
      <c r="DA53" s="62"/>
      <c r="DB53" s="62"/>
      <c r="DD53" s="150" t="s">
        <v>1379</v>
      </c>
      <c r="DE53" s="793">
        <f t="shared" si="752"/>
        <v>0</v>
      </c>
      <c r="DF53" s="1405">
        <f t="shared" si="753"/>
        <v>0</v>
      </c>
      <c r="DG53" s="62"/>
      <c r="DH53" s="154"/>
      <c r="DI53" s="62"/>
      <c r="DJ53" s="62"/>
      <c r="DK53" s="62"/>
      <c r="DL53" s="62"/>
      <c r="DM53" s="62"/>
      <c r="DN53" s="62"/>
      <c r="DO53" s="62"/>
      <c r="DP53" s="62"/>
      <c r="DQ53" s="39"/>
      <c r="DR53" s="39"/>
      <c r="DS53" s="38"/>
      <c r="DT53" s="38"/>
      <c r="DU53" s="39"/>
      <c r="DV53" s="38"/>
      <c r="DW53" s="40"/>
      <c r="DX53" s="40"/>
      <c r="DY53" s="355"/>
      <c r="DZ53" s="40"/>
      <c r="EB53" s="38"/>
      <c r="EC53" s="380">
        <f t="shared" ca="1" si="83"/>
        <v>0</v>
      </c>
      <c r="ED53" s="73">
        <v>50</v>
      </c>
      <c r="EE53" s="38">
        <v>30</v>
      </c>
      <c r="EF53" s="54">
        <v>41671</v>
      </c>
      <c r="EG53" s="55">
        <f t="shared" si="393"/>
        <v>52628.5</v>
      </c>
      <c r="EH53" s="61" t="s">
        <v>122</v>
      </c>
      <c r="EI53" s="61">
        <f t="shared" ca="1" si="739"/>
        <v>36</v>
      </c>
      <c r="EJ53" s="61" t="s">
        <v>520</v>
      </c>
      <c r="EK53" s="39">
        <v>50.2</v>
      </c>
      <c r="EL53" s="39">
        <f>EK53-ED53</f>
        <v>0.20000000000000284</v>
      </c>
      <c r="EM53" s="40">
        <f>EK53/ED53-1</f>
        <v>4.0000000000000036E-3</v>
      </c>
      <c r="EN53" s="39">
        <f t="shared" ca="1" si="755"/>
        <v>5.5555555555556347E-3</v>
      </c>
      <c r="EO53" s="43">
        <f t="shared" ca="1" si="742"/>
        <v>1</v>
      </c>
      <c r="EP53" s="39">
        <f t="shared" ca="1" si="743"/>
        <v>55.478473603392267</v>
      </c>
      <c r="EQ53" s="39">
        <f t="shared" ca="1" si="754"/>
        <v>5.478473603392267</v>
      </c>
      <c r="ER53" s="153">
        <f t="shared" ca="1" si="756"/>
        <v>0.15217982231645186</v>
      </c>
      <c r="ET53" s="37"/>
      <c r="EU53" s="1360">
        <f t="shared" ca="1" si="90"/>
        <v>0</v>
      </c>
      <c r="EV53" s="173">
        <v>70</v>
      </c>
      <c r="EW53" s="747">
        <v>30</v>
      </c>
      <c r="EX53" s="55">
        <v>42736</v>
      </c>
      <c r="EY53" s="55">
        <f t="shared" si="744"/>
        <v>53693.5</v>
      </c>
      <c r="EZ53" s="61">
        <f t="shared" ca="1" si="745"/>
        <v>1</v>
      </c>
      <c r="FA53" s="37" t="s">
        <v>2538</v>
      </c>
      <c r="FB53" s="39">
        <v>70</v>
      </c>
      <c r="FC53" s="39">
        <f t="shared" si="746"/>
        <v>0</v>
      </c>
      <c r="FD53" s="40">
        <f t="shared" si="747"/>
        <v>0</v>
      </c>
      <c r="FE53" s="39">
        <f t="shared" ca="1" si="758"/>
        <v>0</v>
      </c>
      <c r="FF53" s="43">
        <f t="shared" ca="1" si="748"/>
        <v>0</v>
      </c>
      <c r="FH53" s="39"/>
      <c r="FR53" s="438"/>
      <c r="FS53" s="55"/>
      <c r="FV53" s="144"/>
      <c r="FW53" s="144"/>
      <c r="FX53" s="153"/>
      <c r="GD53" s="1119" t="s">
        <v>2145</v>
      </c>
      <c r="GE53" s="1111"/>
      <c r="GF53" s="819"/>
      <c r="GG53" s="808"/>
    </row>
    <row r="54" spans="3:189">
      <c r="D54" s="361" t="s">
        <v>164</v>
      </c>
      <c r="E54" s="793">
        <f ca="1">INT(G50/25)</f>
        <v>16</v>
      </c>
      <c r="F54" s="96">
        <f ca="1">25*E54*H49</f>
        <v>2.9150166536876667</v>
      </c>
      <c r="G54" s="357"/>
      <c r="H54" s="96"/>
      <c r="I54" s="91"/>
      <c r="J54" s="391"/>
      <c r="K54" s="793"/>
      <c r="L54" s="82"/>
      <c r="M54" s="1027"/>
      <c r="P54" s="52"/>
      <c r="Q54" s="52"/>
      <c r="R54" s="1"/>
      <c r="W54" s="62"/>
      <c r="X54" s="62"/>
      <c r="Y54" s="62"/>
      <c r="Z54" s="62"/>
      <c r="AA54" s="62"/>
      <c r="AB54" s="62"/>
      <c r="AC54" s="62"/>
      <c r="AD54" s="62"/>
      <c r="AE54" s="62"/>
      <c r="AF54" s="62"/>
      <c r="AZ54" s="62"/>
      <c r="BA54" s="62"/>
      <c r="BC54" s="38"/>
      <c r="BD54" s="38"/>
      <c r="BE54" s="38"/>
      <c r="BF54" s="38"/>
      <c r="BG54" s="38"/>
      <c r="BH54" s="38"/>
      <c r="BI54" s="38"/>
      <c r="BJ54" s="38"/>
      <c r="BK54" s="38"/>
      <c r="BW54" s="42"/>
      <c r="BX54" s="155"/>
      <c r="BY54" s="42"/>
      <c r="BZ54" s="57"/>
      <c r="CA54" s="57"/>
      <c r="CB54" s="42"/>
      <c r="CC54" s="161"/>
      <c r="CD54" s="164"/>
      <c r="CE54" s="42"/>
      <c r="CF54" s="39"/>
      <c r="CG54" s="62"/>
      <c r="CH54" s="62"/>
      <c r="CI54" s="62"/>
      <c r="CJ54" s="62"/>
      <c r="CP54" s="154"/>
      <c r="CQ54" s="38"/>
      <c r="CR54" s="38"/>
      <c r="CS54" s="38"/>
      <c r="CT54" s="38"/>
      <c r="CU54" s="38"/>
      <c r="CV54" s="38"/>
      <c r="CW54" s="38"/>
      <c r="CX54" s="62"/>
      <c r="CY54" s="39"/>
      <c r="CZ54" s="39"/>
      <c r="DA54" s="62"/>
      <c r="DB54" s="62"/>
      <c r="DD54" s="150" t="s">
        <v>1380</v>
      </c>
      <c r="DE54" s="793">
        <f t="shared" si="752"/>
        <v>4</v>
      </c>
      <c r="DF54" s="1405">
        <f t="shared" si="753"/>
        <v>0.11428571428571428</v>
      </c>
      <c r="DG54" s="62"/>
      <c r="DH54" s="154"/>
      <c r="DI54" s="62"/>
      <c r="DJ54" s="62"/>
      <c r="DK54" s="62"/>
      <c r="DL54" s="62"/>
      <c r="DM54" s="62"/>
      <c r="DN54" s="62"/>
      <c r="DO54" s="62"/>
      <c r="DP54" s="62"/>
      <c r="DQ54" s="39"/>
      <c r="DR54" s="39"/>
      <c r="DS54" s="62"/>
      <c r="DT54" s="62"/>
      <c r="DU54" s="39"/>
      <c r="DV54" s="62"/>
      <c r="DW54" s="40"/>
      <c r="DX54" s="40"/>
      <c r="DY54" s="355"/>
      <c r="DZ54" s="40"/>
      <c r="EB54" s="38"/>
      <c r="EC54" s="380">
        <f t="shared" ca="1" si="83"/>
        <v>0</v>
      </c>
      <c r="ED54" s="73">
        <v>35</v>
      </c>
      <c r="EE54" s="38">
        <v>30</v>
      </c>
      <c r="EF54" s="54">
        <v>41640</v>
      </c>
      <c r="EG54" s="55">
        <f t="shared" si="393"/>
        <v>52597.5</v>
      </c>
      <c r="EH54" s="61" t="s">
        <v>122</v>
      </c>
      <c r="EI54" s="61">
        <f t="shared" ca="1" si="739"/>
        <v>37</v>
      </c>
      <c r="EJ54" s="61" t="s">
        <v>495</v>
      </c>
      <c r="EK54" s="39">
        <v>35.14</v>
      </c>
      <c r="EL54" s="39">
        <f t="shared" si="687"/>
        <v>0.14000000000000057</v>
      </c>
      <c r="EM54" s="40">
        <f t="shared" si="722"/>
        <v>4.0000000000000036E-3</v>
      </c>
      <c r="EN54" s="39">
        <f t="shared" ca="1" si="755"/>
        <v>3.7837837837837993E-3</v>
      </c>
      <c r="EO54" s="43">
        <f t="shared" ca="1" si="742"/>
        <v>1</v>
      </c>
      <c r="EP54" s="39">
        <f t="shared" ca="1" si="743"/>
        <v>38.947253323724446</v>
      </c>
      <c r="EQ54" s="39">
        <f t="shared" ca="1" si="754"/>
        <v>3.9472533237244463</v>
      </c>
      <c r="ER54" s="153">
        <f t="shared" ca="1" si="756"/>
        <v>0.10668252226282288</v>
      </c>
      <c r="ET54" s="37"/>
      <c r="EU54" s="1360">
        <f t="shared" ca="1" si="90"/>
        <v>0</v>
      </c>
      <c r="EV54" s="173">
        <v>70</v>
      </c>
      <c r="EW54" s="747">
        <v>30</v>
      </c>
      <c r="EX54" s="55">
        <v>42736</v>
      </c>
      <c r="EY54" s="55">
        <f t="shared" si="744"/>
        <v>53693.5</v>
      </c>
      <c r="EZ54" s="61">
        <f t="shared" ca="1" si="745"/>
        <v>1</v>
      </c>
      <c r="FA54" s="37" t="s">
        <v>2537</v>
      </c>
      <c r="FB54" s="39">
        <v>70</v>
      </c>
      <c r="FC54" s="39">
        <f t="shared" si="746"/>
        <v>0</v>
      </c>
      <c r="FD54" s="40">
        <f t="shared" si="747"/>
        <v>0</v>
      </c>
      <c r="FE54" s="39">
        <f t="shared" ca="1" si="758"/>
        <v>0</v>
      </c>
      <c r="FF54" s="43">
        <f t="shared" ca="1" si="748"/>
        <v>0</v>
      </c>
      <c r="FH54" s="39"/>
      <c r="FR54" s="438"/>
      <c r="FS54" s="550">
        <v>5</v>
      </c>
      <c r="FT54" s="58">
        <v>1</v>
      </c>
      <c r="FU54" s="38">
        <v>1</v>
      </c>
      <c r="FV54" s="38">
        <f t="shared" ref="FV54:FV65" si="759">(1+$FY$2/2)^(FU54/6)</f>
        <v>1.0002498438930771</v>
      </c>
      <c r="FW54" s="39">
        <f>$FW$52*FV54</f>
        <v>25.30790117905174</v>
      </c>
      <c r="FX54" s="153"/>
      <c r="GE54" s="144"/>
    </row>
    <row r="55" spans="3:189" ht="13.5" thickBot="1">
      <c r="D55" s="361" t="s">
        <v>9</v>
      </c>
      <c r="E55" s="793">
        <f ca="1">INT(G50/100)</f>
        <v>4</v>
      </c>
      <c r="F55" s="96">
        <f ca="1">100*E55*H45</f>
        <v>7.720930232558139</v>
      </c>
      <c r="G55" s="82"/>
      <c r="H55" s="96"/>
      <c r="I55" s="91"/>
      <c r="J55" s="391"/>
      <c r="K55" s="793"/>
      <c r="L55" s="82"/>
      <c r="M55" s="1027"/>
      <c r="P55" s="381"/>
      <c r="Q55" s="381"/>
      <c r="R55" s="38"/>
      <c r="W55" s="62"/>
      <c r="X55" s="62"/>
      <c r="Y55" s="62"/>
      <c r="Z55" s="62"/>
      <c r="AA55" s="62"/>
      <c r="AB55" s="62"/>
      <c r="AC55" s="62"/>
      <c r="AD55" s="62"/>
      <c r="AE55" s="62"/>
      <c r="AF55" s="62"/>
      <c r="AZ55" s="62"/>
      <c r="BA55" s="62"/>
      <c r="BC55" s="38"/>
      <c r="BD55" s="38"/>
      <c r="BE55" s="38"/>
      <c r="BF55" s="38"/>
      <c r="BG55" s="38"/>
      <c r="BH55" s="38"/>
      <c r="BI55" s="38"/>
      <c r="BJ55" s="38"/>
      <c r="BK55" s="38"/>
      <c r="BZ55" s="53"/>
      <c r="CA55" s="53"/>
      <c r="CF55" s="39"/>
      <c r="CG55" s="62"/>
      <c r="CH55" s="62"/>
      <c r="CI55" s="62"/>
      <c r="CJ55" s="62"/>
      <c r="CO55" s="38"/>
      <c r="CP55" s="154"/>
      <c r="CQ55" s="38"/>
      <c r="CR55" s="38"/>
      <c r="CS55" s="38"/>
      <c r="CT55" s="38"/>
      <c r="CU55" s="38"/>
      <c r="CV55" s="38"/>
      <c r="CW55" s="38"/>
      <c r="CX55" s="62"/>
      <c r="CY55" s="39"/>
      <c r="CZ55" s="39"/>
      <c r="DA55" s="62"/>
      <c r="DB55" s="62"/>
      <c r="DD55" s="150" t="s">
        <v>1381</v>
      </c>
      <c r="DE55" s="793">
        <f t="shared" si="752"/>
        <v>0</v>
      </c>
      <c r="DF55" s="1405">
        <f t="shared" si="753"/>
        <v>0</v>
      </c>
      <c r="DG55" s="62"/>
      <c r="DH55" s="154"/>
      <c r="DI55" s="62"/>
      <c r="DJ55" s="62"/>
      <c r="DK55" s="62"/>
      <c r="DL55" s="62"/>
      <c r="DM55" s="62"/>
      <c r="DN55" s="62"/>
      <c r="DO55" s="62"/>
      <c r="DP55" s="62"/>
      <c r="DQ55" s="39"/>
      <c r="DR55" s="39"/>
      <c r="EB55" s="38"/>
      <c r="EC55" s="380">
        <f t="shared" ca="1" si="83"/>
        <v>0</v>
      </c>
      <c r="ED55" s="73">
        <v>25</v>
      </c>
      <c r="EE55" s="38">
        <v>30</v>
      </c>
      <c r="EF55" s="54">
        <v>41609</v>
      </c>
      <c r="EG55" s="55">
        <f t="shared" si="393"/>
        <v>52566.5</v>
      </c>
      <c r="EH55" s="61" t="s">
        <v>122</v>
      </c>
      <c r="EI55" s="61">
        <f t="shared" ca="1" si="739"/>
        <v>38</v>
      </c>
      <c r="EJ55" s="61" t="s">
        <v>488</v>
      </c>
      <c r="EK55" s="39">
        <v>25.12</v>
      </c>
      <c r="EL55" s="39">
        <f t="shared" ref="EL55:EL88" si="760">EK55-ED55</f>
        <v>0.12000000000000099</v>
      </c>
      <c r="EM55" s="40">
        <f t="shared" ref="EM55:EM88" si="761">EK55/ED55-1</f>
        <v>4.8000000000001375E-3</v>
      </c>
      <c r="EN55" s="39">
        <f t="shared" ca="1" si="755"/>
        <v>3.1578947368421316E-3</v>
      </c>
      <c r="EO55" s="43">
        <f t="shared" ca="1" si="742"/>
        <v>1</v>
      </c>
      <c r="EP55" s="39">
        <f t="shared" ca="1" si="743"/>
        <v>27.899928565755587</v>
      </c>
      <c r="EQ55" s="39">
        <f t="shared" ca="1" si="754"/>
        <v>2.8999285657555873</v>
      </c>
      <c r="ER55" s="153">
        <f t="shared" ca="1" si="756"/>
        <v>7.6313909625147031E-2</v>
      </c>
      <c r="ET55" s="37"/>
      <c r="EU55" s="1360">
        <f t="shared" ca="1" si="90"/>
        <v>0</v>
      </c>
      <c r="EV55" s="173">
        <v>60</v>
      </c>
      <c r="EW55" s="747">
        <v>30</v>
      </c>
      <c r="EX55" s="55">
        <v>42705</v>
      </c>
      <c r="EY55" s="55">
        <f t="shared" ref="EY55:EY119" si="762">EX55+EW55*365.25</f>
        <v>53662.5</v>
      </c>
      <c r="EZ55" s="61">
        <f t="shared" ref="EZ55:EZ118" ca="1" si="763">IF(EX55&gt;$G$1,0,DATEDIF(EX55,$G$1,"M"))</f>
        <v>2</v>
      </c>
      <c r="FA55" s="37" t="s">
        <v>1594</v>
      </c>
      <c r="FB55" s="39">
        <v>60</v>
      </c>
      <c r="FC55" s="39">
        <f t="shared" ref="FC55:FC109" si="764">FB55-EV55</f>
        <v>0</v>
      </c>
      <c r="FD55" s="40">
        <f t="shared" ref="FD55:FD109" si="765">FB55/EV55-1</f>
        <v>0</v>
      </c>
      <c r="FE55" s="39">
        <f t="shared" ref="FE55:FE59" ca="1" si="766">FC55/EZ55</f>
        <v>0</v>
      </c>
      <c r="FF55" s="43">
        <f t="shared" ref="FF55:FF118" ca="1" si="767">IF(EX55&lt;$G$1-365.25,1,0)</f>
        <v>0</v>
      </c>
      <c r="FR55" s="438"/>
      <c r="FS55" s="550">
        <v>5</v>
      </c>
      <c r="FT55" s="58">
        <v>1</v>
      </c>
      <c r="FU55" s="38">
        <v>2</v>
      </c>
      <c r="FV55" s="38">
        <f t="shared" si="759"/>
        <v>1.0004997502081252</v>
      </c>
      <c r="FW55" s="39">
        <f t="shared" ref="FW55:FW59" si="768">$FW$52*FV55</f>
        <v>25.314224203607925</v>
      </c>
      <c r="FX55" s="153"/>
      <c r="GE55" s="144"/>
    </row>
    <row r="56" spans="3:189" ht="13.5" thickBot="1">
      <c r="D56" s="366" t="s">
        <v>2329</v>
      </c>
      <c r="E56" s="698">
        <f ca="1">INT(G50/100)</f>
        <v>4</v>
      </c>
      <c r="F56" s="102">
        <f ca="1">100*E56*H46</f>
        <v>11.683098591549294</v>
      </c>
      <c r="G56" s="88"/>
      <c r="H56" s="96"/>
      <c r="I56" s="91"/>
      <c r="J56" s="1289" t="s">
        <v>9</v>
      </c>
      <c r="K56" s="1290">
        <f>BV27/L53</f>
        <v>0.26468512117237014</v>
      </c>
      <c r="L56" s="106" t="s">
        <v>1433</v>
      </c>
      <c r="M56" s="1027"/>
      <c r="P56" s="488"/>
      <c r="Q56" s="381"/>
      <c r="R56" s="382"/>
      <c r="W56" s="62"/>
      <c r="X56" s="62"/>
      <c r="Y56" s="62"/>
      <c r="Z56" s="62"/>
      <c r="AA56" s="62"/>
      <c r="AB56" s="62"/>
      <c r="AC56" s="62"/>
      <c r="AD56" s="62"/>
      <c r="AE56" s="62"/>
      <c r="AF56" s="62"/>
      <c r="AZ56" s="62"/>
      <c r="BA56" s="62"/>
      <c r="BC56" s="38"/>
      <c r="BD56" s="38"/>
      <c r="BE56" s="38"/>
      <c r="BF56" s="38"/>
      <c r="BG56" s="38"/>
      <c r="BH56" s="38"/>
      <c r="BI56" s="38"/>
      <c r="BJ56" s="38"/>
      <c r="BK56" s="38"/>
      <c r="CF56" s="39"/>
      <c r="CG56" s="62"/>
      <c r="CH56" s="62"/>
      <c r="CI56" s="62"/>
      <c r="CJ56" s="62"/>
      <c r="CO56" s="38"/>
      <c r="CP56" s="154"/>
      <c r="CQ56" s="38"/>
      <c r="CR56" s="38"/>
      <c r="CS56" s="38"/>
      <c r="CT56" s="38"/>
      <c r="CU56" s="38"/>
      <c r="CV56" s="38"/>
      <c r="CW56" s="1"/>
      <c r="CX56" s="62"/>
      <c r="CY56" s="39"/>
      <c r="CZ56" s="39"/>
      <c r="DA56" s="38"/>
      <c r="DB56" s="38"/>
      <c r="DD56" s="150" t="s">
        <v>1382</v>
      </c>
      <c r="DE56" s="793">
        <f t="shared" si="752"/>
        <v>2</v>
      </c>
      <c r="DF56" s="1405">
        <f t="shared" si="753"/>
        <v>5.7142857142857141E-2</v>
      </c>
      <c r="DG56" s="62"/>
      <c r="DH56" s="154"/>
      <c r="DI56" s="62"/>
      <c r="DJ56" s="62"/>
      <c r="DK56" s="62"/>
      <c r="DL56" s="62"/>
      <c r="DM56" s="62"/>
      <c r="DN56" s="62"/>
      <c r="DO56" s="62"/>
      <c r="DP56" s="62"/>
      <c r="DQ56" s="39"/>
      <c r="DR56" s="39"/>
      <c r="EB56" s="38"/>
      <c r="EC56" s="380">
        <f t="shared" ca="1" si="83"/>
        <v>0</v>
      </c>
      <c r="ED56" s="73">
        <v>25</v>
      </c>
      <c r="EE56" s="38">
        <v>30</v>
      </c>
      <c r="EF56" s="54">
        <v>41609</v>
      </c>
      <c r="EG56" s="55">
        <f t="shared" si="393"/>
        <v>52566.5</v>
      </c>
      <c r="EH56" s="61" t="s">
        <v>122</v>
      </c>
      <c r="EI56" s="61">
        <f t="shared" ca="1" si="739"/>
        <v>38</v>
      </c>
      <c r="EJ56" s="61" t="s">
        <v>483</v>
      </c>
      <c r="EK56" s="39">
        <v>25.12</v>
      </c>
      <c r="EL56" s="39">
        <f>EK56-ED56</f>
        <v>0.12000000000000099</v>
      </c>
      <c r="EM56" s="40">
        <f>EK56/ED56-1</f>
        <v>4.8000000000001375E-3</v>
      </c>
      <c r="EN56" s="39">
        <f t="shared" ca="1" si="755"/>
        <v>3.1578947368421316E-3</v>
      </c>
      <c r="EO56" s="43">
        <f t="shared" ca="1" si="742"/>
        <v>1</v>
      </c>
      <c r="EP56" s="39">
        <f t="shared" ca="1" si="743"/>
        <v>27.899928565755587</v>
      </c>
      <c r="EQ56" s="39">
        <f t="shared" ca="1" si="754"/>
        <v>2.8999285657555873</v>
      </c>
      <c r="ER56" s="153">
        <f t="shared" ca="1" si="756"/>
        <v>7.6313909625147031E-2</v>
      </c>
      <c r="ET56" s="37"/>
      <c r="EU56" s="1360">
        <f t="shared" ca="1" si="90"/>
        <v>0</v>
      </c>
      <c r="EV56" s="173">
        <v>60</v>
      </c>
      <c r="EW56" s="747">
        <v>30</v>
      </c>
      <c r="EX56" s="55">
        <v>42705</v>
      </c>
      <c r="EY56" s="55">
        <f t="shared" si="762"/>
        <v>53662.5</v>
      </c>
      <c r="EZ56" s="61">
        <f t="shared" ca="1" si="763"/>
        <v>2</v>
      </c>
      <c r="FA56" s="37" t="s">
        <v>1595</v>
      </c>
      <c r="FB56" s="39">
        <v>60</v>
      </c>
      <c r="FC56" s="39">
        <f t="shared" si="764"/>
        <v>0</v>
      </c>
      <c r="FD56" s="40">
        <f t="shared" si="765"/>
        <v>0</v>
      </c>
      <c r="FE56" s="39">
        <f t="shared" ca="1" si="766"/>
        <v>0</v>
      </c>
      <c r="FF56" s="43">
        <f t="shared" ca="1" si="767"/>
        <v>0</v>
      </c>
      <c r="FR56" s="438"/>
      <c r="FS56" s="550">
        <v>5</v>
      </c>
      <c r="FT56" s="58">
        <v>1</v>
      </c>
      <c r="FU56" s="38">
        <v>3</v>
      </c>
      <c r="FV56" s="38">
        <f t="shared" si="759"/>
        <v>1.0007497189607399</v>
      </c>
      <c r="FW56" s="39">
        <f t="shared" si="768"/>
        <v>25.320548807933182</v>
      </c>
      <c r="FX56" s="153"/>
      <c r="GE56" s="144"/>
    </row>
    <row r="57" spans="3:189" ht="13.5" thickBot="1">
      <c r="C57" s="38"/>
      <c r="D57" s="361"/>
      <c r="E57" s="793"/>
      <c r="F57" s="96"/>
      <c r="G57" s="96"/>
      <c r="H57" s="96"/>
      <c r="I57" s="91"/>
      <c r="J57" s="693" t="s">
        <v>867</v>
      </c>
      <c r="K57" s="387">
        <f>CN27/L53</f>
        <v>0.66131418076048498</v>
      </c>
      <c r="L57" s="82">
        <f>L53/365.25</f>
        <v>0.85853566050650243</v>
      </c>
      <c r="M57" s="1027"/>
      <c r="P57" s="488"/>
      <c r="Q57" s="390"/>
      <c r="R57" s="153"/>
      <c r="W57" s="62"/>
      <c r="X57" s="62"/>
      <c r="Y57" s="62"/>
      <c r="Z57" s="62"/>
      <c r="AA57" s="62"/>
      <c r="AB57" s="62"/>
      <c r="AC57" s="62"/>
      <c r="AD57" s="62"/>
      <c r="AE57" s="62"/>
      <c r="AF57" s="62"/>
      <c r="AZ57" s="62"/>
      <c r="BA57" s="62"/>
      <c r="BC57" s="38"/>
      <c r="BD57" s="38"/>
      <c r="BE57" s="38"/>
      <c r="BF57" s="38"/>
      <c r="BG57" s="38"/>
      <c r="BH57" s="38"/>
      <c r="BI57" s="38"/>
      <c r="BJ57" s="38"/>
      <c r="BK57" s="38"/>
      <c r="CF57" s="39"/>
      <c r="CG57" s="62"/>
      <c r="CH57" s="62"/>
      <c r="CI57" s="62"/>
      <c r="CJ57" s="62"/>
      <c r="CO57" s="38"/>
      <c r="CP57" s="154"/>
      <c r="CQ57" s="38"/>
      <c r="CR57" s="38"/>
      <c r="CS57" s="38"/>
      <c r="CT57" s="38"/>
      <c r="CU57" s="38"/>
      <c r="CV57" s="38"/>
      <c r="CW57" s="38"/>
      <c r="CX57" s="62"/>
      <c r="CY57" s="39"/>
      <c r="CZ57" s="39"/>
      <c r="DA57" s="62"/>
      <c r="DB57" s="62"/>
      <c r="DD57" s="101" t="s">
        <v>8</v>
      </c>
      <c r="DE57" s="698">
        <f>SUM(DE45:DE56)</f>
        <v>70</v>
      </c>
      <c r="DF57" s="1406"/>
      <c r="DG57" s="62"/>
      <c r="DH57" s="154"/>
      <c r="DI57" s="62"/>
      <c r="DJ57" s="62"/>
      <c r="DK57" s="62"/>
      <c r="DL57" s="62"/>
      <c r="DM57" s="62"/>
      <c r="DN57" s="62"/>
      <c r="DO57" s="62"/>
      <c r="DP57" s="62"/>
      <c r="DQ57" s="39"/>
      <c r="DR57" s="39"/>
      <c r="EB57" s="38"/>
      <c r="EC57" s="380">
        <f t="shared" ca="1" si="83"/>
        <v>0</v>
      </c>
      <c r="ED57" s="73">
        <v>25</v>
      </c>
      <c r="EE57" s="38">
        <v>30</v>
      </c>
      <c r="EF57" s="54">
        <v>41579</v>
      </c>
      <c r="EG57" s="55">
        <f t="shared" si="393"/>
        <v>52536.5</v>
      </c>
      <c r="EH57" s="61" t="s">
        <v>122</v>
      </c>
      <c r="EI57" s="61">
        <f t="shared" ca="1" si="739"/>
        <v>39</v>
      </c>
      <c r="EJ57" s="61" t="s">
        <v>463</v>
      </c>
      <c r="EK57" s="39">
        <v>25.12</v>
      </c>
      <c r="EL57" s="39">
        <f t="shared" si="760"/>
        <v>0.12000000000000099</v>
      </c>
      <c r="EM57" s="40">
        <f t="shared" si="761"/>
        <v>4.8000000000001375E-3</v>
      </c>
      <c r="EN57" s="39">
        <f t="shared" ca="1" si="755"/>
        <v>3.0769230769231025E-3</v>
      </c>
      <c r="EO57" s="43">
        <f t="shared" ca="1" si="742"/>
        <v>1</v>
      </c>
      <c r="EP57" s="39">
        <f t="shared" ca="1" si="743"/>
        <v>27.980623190702531</v>
      </c>
      <c r="EQ57" s="39">
        <f t="shared" ca="1" si="754"/>
        <v>2.9806231907025307</v>
      </c>
      <c r="ER57" s="153">
        <f t="shared" ca="1" si="756"/>
        <v>7.6426235659039249E-2</v>
      </c>
      <c r="ES57" s="153"/>
      <c r="ET57" s="37"/>
      <c r="EU57" s="1360">
        <f t="shared" ca="1" si="90"/>
        <v>0</v>
      </c>
      <c r="EV57" s="173">
        <v>60</v>
      </c>
      <c r="EW57" s="747">
        <v>30</v>
      </c>
      <c r="EX57" s="55">
        <v>42705</v>
      </c>
      <c r="EY57" s="55">
        <f t="shared" si="762"/>
        <v>53662.5</v>
      </c>
      <c r="EZ57" s="61">
        <f t="shared" ca="1" si="763"/>
        <v>2</v>
      </c>
      <c r="FA57" s="37" t="s">
        <v>1596</v>
      </c>
      <c r="FB57" s="39">
        <v>60</v>
      </c>
      <c r="FC57" s="39">
        <f t="shared" si="764"/>
        <v>0</v>
      </c>
      <c r="FD57" s="40">
        <f t="shared" si="765"/>
        <v>0</v>
      </c>
      <c r="FE57" s="39">
        <f t="shared" ca="1" si="766"/>
        <v>0</v>
      </c>
      <c r="FF57" s="43">
        <f t="shared" ca="1" si="767"/>
        <v>0</v>
      </c>
      <c r="FR57" s="438"/>
      <c r="FS57" s="550">
        <v>5</v>
      </c>
      <c r="FT57" s="58">
        <v>1</v>
      </c>
      <c r="FU57" s="38">
        <v>4</v>
      </c>
      <c r="FV57" s="38">
        <f t="shared" si="759"/>
        <v>1.0009997501665211</v>
      </c>
      <c r="FW57" s="39">
        <f t="shared" si="768"/>
        <v>25.326874992422212</v>
      </c>
      <c r="FX57" s="153"/>
      <c r="GE57" s="144"/>
    </row>
    <row r="58" spans="3:189">
      <c r="D58" s="361" t="s">
        <v>56</v>
      </c>
      <c r="E58" s="97">
        <f ca="1">J14/SUM(E11,O3)</f>
        <v>5.8549936773051887E-3</v>
      </c>
      <c r="F58" s="96"/>
      <c r="G58" s="96"/>
      <c r="H58" s="96"/>
      <c r="I58" s="91"/>
      <c r="J58" s="693" t="s">
        <v>300</v>
      </c>
      <c r="K58" s="387">
        <f>DF27/L53</f>
        <v>7.4000698067144891E-2</v>
      </c>
      <c r="L58" s="138"/>
      <c r="M58" s="1027"/>
      <c r="P58" s="488"/>
      <c r="Q58" s="390"/>
      <c r="R58" s="153"/>
      <c r="W58" s="62"/>
      <c r="X58" s="62"/>
      <c r="Y58" s="62"/>
      <c r="Z58" s="62"/>
      <c r="AA58" s="62"/>
      <c r="AB58" s="62"/>
      <c r="AC58" s="62"/>
      <c r="AD58" s="62"/>
      <c r="AE58" s="62"/>
      <c r="AF58" s="62"/>
      <c r="AZ58" s="62"/>
      <c r="BA58" s="62"/>
      <c r="BC58" s="38"/>
      <c r="BD58" s="38"/>
      <c r="BE58" s="38"/>
      <c r="BF58" s="38"/>
      <c r="BG58" s="38"/>
      <c r="BH58" s="38"/>
      <c r="BI58" s="38"/>
      <c r="BJ58" s="38"/>
      <c r="BK58" s="38"/>
      <c r="BT58" s="38"/>
      <c r="BU58" s="38"/>
      <c r="CC58" s="160"/>
      <c r="CD58" s="165"/>
      <c r="CE58" s="38"/>
      <c r="CF58" s="39"/>
      <c r="CG58" s="62"/>
      <c r="CH58" s="62"/>
      <c r="CI58" s="62"/>
      <c r="CJ58" s="62"/>
      <c r="CL58" s="38"/>
      <c r="CM58" s="38"/>
      <c r="CN58" s="38"/>
      <c r="CO58" s="62"/>
      <c r="CP58" s="62"/>
      <c r="CQ58" s="480"/>
      <c r="CR58" s="62"/>
      <c r="CS58" s="62"/>
      <c r="CT58" s="62"/>
      <c r="CU58" s="62"/>
      <c r="CV58" s="62"/>
      <c r="CW58" s="62"/>
      <c r="CX58" s="62"/>
      <c r="CY58" s="39"/>
      <c r="CZ58" s="39"/>
      <c r="DE58" s="214"/>
      <c r="DF58" s="171"/>
      <c r="DG58" s="62"/>
      <c r="DH58" s="154"/>
      <c r="DI58" s="62"/>
      <c r="DJ58" s="62"/>
      <c r="DK58" s="62"/>
      <c r="DL58" s="62"/>
      <c r="DM58" s="62"/>
      <c r="DN58" s="62"/>
      <c r="DO58" s="62"/>
      <c r="DP58" s="62"/>
      <c r="DQ58" s="39"/>
      <c r="DR58" s="39"/>
      <c r="EB58" s="38"/>
      <c r="EC58" s="380">
        <f t="shared" ca="1" si="83"/>
        <v>0</v>
      </c>
      <c r="ED58" s="73">
        <v>25</v>
      </c>
      <c r="EE58" s="38">
        <v>30</v>
      </c>
      <c r="EF58" s="54">
        <v>41548</v>
      </c>
      <c r="EG58" s="55">
        <f t="shared" si="393"/>
        <v>52505.5</v>
      </c>
      <c r="EH58" s="61" t="s">
        <v>122</v>
      </c>
      <c r="EI58" s="61">
        <f t="shared" ca="1" si="739"/>
        <v>40</v>
      </c>
      <c r="EJ58" s="61" t="s">
        <v>436</v>
      </c>
      <c r="EK58" s="39">
        <v>25.12</v>
      </c>
      <c r="EL58" s="39">
        <f t="shared" si="760"/>
        <v>0.12000000000000099</v>
      </c>
      <c r="EM58" s="40">
        <f t="shared" si="761"/>
        <v>4.8000000000001375E-3</v>
      </c>
      <c r="EN58" s="39">
        <f t="shared" ca="1" si="755"/>
        <v>3.0000000000000248E-3</v>
      </c>
      <c r="EO58" s="43">
        <f t="shared" ca="1" si="742"/>
        <v>1</v>
      </c>
      <c r="EP58" s="39">
        <f t="shared" ca="1" si="743"/>
        <v>28.061551207734333</v>
      </c>
      <c r="EQ58" s="39">
        <f t="shared" ca="1" si="754"/>
        <v>3.0615512077343325</v>
      </c>
      <c r="ER58" s="153">
        <f t="shared" ca="1" si="756"/>
        <v>7.6538780193358316E-2</v>
      </c>
      <c r="ET58" s="37"/>
      <c r="EU58" s="1360">
        <f t="shared" ca="1" si="90"/>
        <v>0</v>
      </c>
      <c r="EV58" s="173">
        <v>60</v>
      </c>
      <c r="EW58" s="747">
        <v>30</v>
      </c>
      <c r="EX58" s="55">
        <v>42705</v>
      </c>
      <c r="EY58" s="55">
        <f t="shared" si="762"/>
        <v>53662.5</v>
      </c>
      <c r="EZ58" s="61">
        <f t="shared" ca="1" si="763"/>
        <v>2</v>
      </c>
      <c r="FA58" s="37" t="s">
        <v>1597</v>
      </c>
      <c r="FB58" s="39">
        <v>60</v>
      </c>
      <c r="FC58" s="39">
        <f t="shared" si="764"/>
        <v>0</v>
      </c>
      <c r="FD58" s="40">
        <f t="shared" si="765"/>
        <v>0</v>
      </c>
      <c r="FE58" s="39">
        <f t="shared" ca="1" si="766"/>
        <v>0</v>
      </c>
      <c r="FF58" s="43">
        <f t="shared" ca="1" si="767"/>
        <v>0</v>
      </c>
      <c r="FI58" s="67"/>
      <c r="FR58" s="438"/>
      <c r="FS58" s="550">
        <v>5</v>
      </c>
      <c r="FT58" s="58">
        <v>1</v>
      </c>
      <c r="FU58" s="38">
        <v>5</v>
      </c>
      <c r="FV58" s="38">
        <f t="shared" si="759"/>
        <v>1.001249843841072</v>
      </c>
      <c r="FW58" s="39">
        <f t="shared" si="768"/>
        <v>25.333202757469795</v>
      </c>
      <c r="FX58" s="153"/>
      <c r="GE58" s="144"/>
    </row>
    <row r="59" spans="3:189" ht="10.5" customHeight="1">
      <c r="D59" s="361" t="s">
        <v>54</v>
      </c>
      <c r="E59" s="97">
        <f>J15/SUM(X3,BB3)</f>
        <v>2.0518099999999322E-3</v>
      </c>
      <c r="F59" s="96"/>
      <c r="G59" s="96"/>
      <c r="H59" s="96"/>
      <c r="I59" s="91"/>
      <c r="J59" s="150"/>
      <c r="K59" s="97">
        <f>SUM(K56:K58)</f>
        <v>1</v>
      </c>
      <c r="L59" s="138"/>
      <c r="P59" s="488"/>
      <c r="Q59" s="390"/>
      <c r="R59" s="153"/>
      <c r="W59" s="62"/>
      <c r="X59" s="62"/>
      <c r="Y59" s="62"/>
      <c r="Z59" s="62"/>
      <c r="AA59" s="62"/>
      <c r="AB59" s="62"/>
      <c r="AC59" s="62"/>
      <c r="AD59" s="62"/>
      <c r="AE59" s="62"/>
      <c r="AF59" s="62"/>
      <c r="AZ59" s="62"/>
      <c r="BA59" s="62"/>
      <c r="BB59" s="38"/>
      <c r="BC59" s="38"/>
      <c r="BD59" s="38"/>
      <c r="BE59" s="38"/>
      <c r="BF59" s="38"/>
      <c r="BG59" s="38"/>
      <c r="BH59" s="38"/>
      <c r="BI59" s="38"/>
      <c r="BJ59" s="38"/>
      <c r="BK59" s="38"/>
      <c r="BT59" s="38"/>
      <c r="BU59" s="38"/>
      <c r="CC59" s="160"/>
      <c r="CD59" s="165"/>
      <c r="CE59" s="38"/>
      <c r="CF59" s="39"/>
      <c r="CG59" s="62"/>
      <c r="CH59" s="62"/>
      <c r="CI59" s="62"/>
      <c r="CJ59" s="62"/>
      <c r="CK59" s="38"/>
      <c r="CL59" s="38"/>
      <c r="CM59" s="38"/>
      <c r="CN59" s="38"/>
      <c r="CO59" s="62"/>
      <c r="CP59" s="154"/>
      <c r="CQ59" s="62"/>
      <c r="CR59" s="62"/>
      <c r="CS59" s="62"/>
      <c r="CT59" s="62"/>
      <c r="CU59" s="62"/>
      <c r="CV59" s="62"/>
      <c r="CW59" s="478"/>
      <c r="CX59" s="478"/>
      <c r="CY59" s="478"/>
      <c r="CZ59" s="478"/>
      <c r="DC59" s="38"/>
      <c r="DD59" s="38"/>
      <c r="DE59" s="53"/>
      <c r="DF59" s="171"/>
      <c r="DG59" s="62"/>
      <c r="DH59" s="62"/>
      <c r="DI59" s="62"/>
      <c r="DJ59" s="62"/>
      <c r="DK59" s="62"/>
      <c r="DL59" s="62"/>
      <c r="DM59" s="62"/>
      <c r="DN59" s="62"/>
      <c r="DO59" s="39"/>
      <c r="DP59" s="39"/>
      <c r="DQ59" s="38"/>
      <c r="DR59" s="38"/>
      <c r="EA59" s="38"/>
      <c r="EB59" s="38"/>
      <c r="EC59" s="380">
        <f t="shared" ca="1" si="83"/>
        <v>0</v>
      </c>
      <c r="ED59" s="73">
        <v>25</v>
      </c>
      <c r="EE59" s="38">
        <v>30</v>
      </c>
      <c r="EF59" s="54">
        <v>41518</v>
      </c>
      <c r="EG59" s="55">
        <f t="shared" si="393"/>
        <v>52475.5</v>
      </c>
      <c r="EH59" s="61" t="s">
        <v>122</v>
      </c>
      <c r="EI59" s="61">
        <f t="shared" ca="1" si="739"/>
        <v>41</v>
      </c>
      <c r="EJ59" s="61" t="s">
        <v>425</v>
      </c>
      <c r="EK59" s="39">
        <v>25.12</v>
      </c>
      <c r="EL59" s="39">
        <f>EK59-ED59</f>
        <v>0.12000000000000099</v>
      </c>
      <c r="EM59" s="40">
        <f>EK59/ED59-1</f>
        <v>4.8000000000001375E-3</v>
      </c>
      <c r="EN59" s="39">
        <f t="shared" ca="1" si="755"/>
        <v>2.9268292682927072E-3</v>
      </c>
      <c r="EO59" s="43">
        <f t="shared" ca="1" si="742"/>
        <v>1</v>
      </c>
      <c r="EP59" s="39">
        <f t="shared" ca="1" si="743"/>
        <v>28.142713291888082</v>
      </c>
      <c r="EQ59" s="39">
        <f t="shared" ca="1" si="754"/>
        <v>3.1427132918880822</v>
      </c>
      <c r="ER59" s="153">
        <f t="shared" ca="1" si="756"/>
        <v>7.6651543704587377E-2</v>
      </c>
      <c r="ET59" s="37"/>
      <c r="EU59" s="1360">
        <f t="shared" ca="1" si="90"/>
        <v>0</v>
      </c>
      <c r="EV59" s="173">
        <v>60</v>
      </c>
      <c r="EW59" s="747">
        <v>30</v>
      </c>
      <c r="EX59" s="55">
        <v>42705</v>
      </c>
      <c r="EY59" s="55">
        <f t="shared" si="762"/>
        <v>53662.5</v>
      </c>
      <c r="EZ59" s="61">
        <f t="shared" ca="1" si="763"/>
        <v>2</v>
      </c>
      <c r="FA59" s="37" t="s">
        <v>1598</v>
      </c>
      <c r="FB59" s="39">
        <v>60</v>
      </c>
      <c r="FC59" s="39">
        <f t="shared" si="764"/>
        <v>0</v>
      </c>
      <c r="FD59" s="40">
        <f t="shared" si="765"/>
        <v>0</v>
      </c>
      <c r="FE59" s="39">
        <f t="shared" ca="1" si="766"/>
        <v>0</v>
      </c>
      <c r="FF59" s="43">
        <f t="shared" ca="1" si="767"/>
        <v>0</v>
      </c>
      <c r="FR59" s="438"/>
      <c r="FS59" s="550">
        <v>5</v>
      </c>
      <c r="FT59" s="58">
        <v>1</v>
      </c>
      <c r="FU59" s="38">
        <v>6</v>
      </c>
      <c r="FV59" s="38">
        <f t="shared" si="759"/>
        <v>1.0015000000000001</v>
      </c>
      <c r="FW59" s="39">
        <f t="shared" si="768"/>
        <v>25.339532103470834</v>
      </c>
      <c r="FX59" s="153"/>
      <c r="GE59" s="144"/>
    </row>
    <row r="60" spans="3:189" ht="13.5" thickBot="1">
      <c r="D60" s="361" t="s">
        <v>882</v>
      </c>
      <c r="E60" s="97">
        <f>J16/SUM(AH3,BV3,CN3,DF3)</f>
        <v>2.0403382727272726E-2</v>
      </c>
      <c r="F60" s="96"/>
      <c r="G60" s="96"/>
      <c r="H60" s="96"/>
      <c r="I60" s="91"/>
      <c r="J60" s="101"/>
      <c r="K60" s="141"/>
      <c r="L60" s="377"/>
      <c r="P60" s="488"/>
      <c r="Q60" s="390"/>
      <c r="R60" s="153"/>
      <c r="W60" s="62"/>
      <c r="X60" s="62"/>
      <c r="Y60" s="62"/>
      <c r="Z60" s="62"/>
      <c r="AA60" s="62"/>
      <c r="AB60" s="62"/>
      <c r="AC60" s="62"/>
      <c r="AD60" s="62"/>
      <c r="AE60" s="62"/>
      <c r="AF60" s="62"/>
      <c r="AZ60" s="62"/>
      <c r="BA60" s="62"/>
      <c r="BB60" s="38"/>
      <c r="BC60" s="38"/>
      <c r="BD60" s="38"/>
      <c r="BE60" s="38"/>
      <c r="BF60" s="38"/>
      <c r="BG60" s="38"/>
      <c r="BH60" s="38"/>
      <c r="BI60" s="38"/>
      <c r="BJ60" s="38"/>
      <c r="BK60" s="38"/>
      <c r="BT60" s="38"/>
      <c r="BU60" s="38"/>
      <c r="CC60" s="160"/>
      <c r="CD60" s="165"/>
      <c r="CE60" s="38"/>
      <c r="CF60" s="39"/>
      <c r="CG60" s="62"/>
      <c r="CH60" s="62"/>
      <c r="CI60" s="38"/>
      <c r="CJ60" s="38"/>
      <c r="CK60" s="38"/>
      <c r="CL60" s="38"/>
      <c r="CM60" s="38"/>
      <c r="CN60" s="38"/>
      <c r="CO60" s="62"/>
      <c r="CP60" s="472"/>
      <c r="CQ60" s="473"/>
      <c r="CR60" s="62"/>
      <c r="CS60" s="62"/>
      <c r="CT60" s="62"/>
      <c r="CU60" s="62"/>
      <c r="CV60" s="480"/>
      <c r="CW60" s="478"/>
      <c r="CX60" s="478"/>
      <c r="CY60" s="478"/>
      <c r="CZ60" s="478"/>
      <c r="DC60" s="38"/>
      <c r="DD60" s="38"/>
      <c r="DE60" s="53"/>
      <c r="DF60" s="171"/>
      <c r="DG60" s="62"/>
      <c r="DH60" s="62"/>
      <c r="DI60" s="62"/>
      <c r="DJ60" s="62"/>
      <c r="DK60" s="62"/>
      <c r="DL60" s="62"/>
      <c r="DM60" s="62"/>
      <c r="DN60" s="62"/>
      <c r="DO60" s="39"/>
      <c r="DP60" s="39"/>
      <c r="DQ60" s="62"/>
      <c r="DR60" s="62"/>
      <c r="EA60" s="38"/>
      <c r="EB60" s="38"/>
      <c r="EC60" s="380">
        <f t="shared" ca="1" si="83"/>
        <v>0</v>
      </c>
      <c r="ED60" s="73">
        <v>50</v>
      </c>
      <c r="EE60" s="38">
        <v>30</v>
      </c>
      <c r="EF60" s="54">
        <v>41518</v>
      </c>
      <c r="EG60" s="55">
        <f t="shared" si="393"/>
        <v>52475.5</v>
      </c>
      <c r="EH60" s="61" t="s">
        <v>122</v>
      </c>
      <c r="EI60" s="61">
        <f t="shared" ca="1" si="739"/>
        <v>41</v>
      </c>
      <c r="EJ60" s="61" t="s">
        <v>421</v>
      </c>
      <c r="EK60" s="39">
        <v>50.24</v>
      </c>
      <c r="EL60" s="39">
        <f t="shared" si="760"/>
        <v>0.24000000000000199</v>
      </c>
      <c r="EM60" s="40">
        <f t="shared" si="761"/>
        <v>4.8000000000001375E-3</v>
      </c>
      <c r="EN60" s="39">
        <f t="shared" ca="1" si="755"/>
        <v>5.8536585365854144E-3</v>
      </c>
      <c r="EO60" s="43">
        <f t="shared" ca="1" si="742"/>
        <v>1</v>
      </c>
      <c r="EP60" s="39">
        <f t="shared" ca="1" si="743"/>
        <v>56.285426583776164</v>
      </c>
      <c r="EQ60" s="39">
        <f t="shared" ca="1" si="754"/>
        <v>6.2854265837761645</v>
      </c>
      <c r="ER60" s="153">
        <f t="shared" ca="1" si="756"/>
        <v>0.15330308740917475</v>
      </c>
      <c r="ET60" s="37"/>
      <c r="EU60" s="1360">
        <f t="shared" ca="1" si="90"/>
        <v>0</v>
      </c>
      <c r="EV60" s="173">
        <v>60</v>
      </c>
      <c r="EW60" s="747">
        <v>30</v>
      </c>
      <c r="EX60" s="55">
        <v>42675</v>
      </c>
      <c r="EY60" s="55">
        <f t="shared" si="762"/>
        <v>53632.5</v>
      </c>
      <c r="EZ60" s="61">
        <f t="shared" ca="1" si="763"/>
        <v>3</v>
      </c>
      <c r="FA60" s="37" t="s">
        <v>1590</v>
      </c>
      <c r="FB60" s="39">
        <v>60</v>
      </c>
      <c r="FC60" s="39">
        <f t="shared" si="764"/>
        <v>0</v>
      </c>
      <c r="FD60" s="40">
        <f t="shared" si="765"/>
        <v>0</v>
      </c>
      <c r="FE60" s="39">
        <f t="shared" ref="FE60:FE63" ca="1" si="769">FC60/EZ60</f>
        <v>0</v>
      </c>
      <c r="FF60" s="43">
        <f t="shared" ca="1" si="767"/>
        <v>0</v>
      </c>
      <c r="FR60" s="438"/>
      <c r="FS60" s="550">
        <v>5</v>
      </c>
      <c r="FT60" s="58">
        <v>2</v>
      </c>
      <c r="FU60" s="38">
        <v>1</v>
      </c>
      <c r="FV60" s="38">
        <f t="shared" si="759"/>
        <v>1.0002498438930771</v>
      </c>
      <c r="FW60" s="39">
        <f>$FW$59*FV60</f>
        <v>25.345863030820318</v>
      </c>
      <c r="FX60" s="153"/>
      <c r="GE60" s="144"/>
    </row>
    <row r="61" spans="3:189">
      <c r="D61" s="361" t="s">
        <v>57</v>
      </c>
      <c r="E61" s="97">
        <f>I17/AQ3</f>
        <v>8.0899999999999757E-3</v>
      </c>
      <c r="F61" s="817"/>
      <c r="G61" s="817"/>
      <c r="H61" s="114"/>
      <c r="I61" s="91"/>
      <c r="J61" s="91"/>
      <c r="K61" s="91"/>
      <c r="L61" s="151"/>
      <c r="P61" s="390"/>
      <c r="Q61" s="390"/>
      <c r="R61" s="153"/>
      <c r="W61" s="62"/>
      <c r="X61" s="62"/>
      <c r="Y61" s="62"/>
      <c r="Z61" s="62"/>
      <c r="AA61" s="62"/>
      <c r="AB61" s="62"/>
      <c r="AC61" s="62"/>
      <c r="AD61" s="62"/>
      <c r="AE61" s="62"/>
      <c r="AF61" s="62"/>
      <c r="AZ61" s="62"/>
      <c r="BA61" s="62"/>
      <c r="BB61" s="38"/>
      <c r="BC61" s="38"/>
      <c r="BD61" s="38"/>
      <c r="BE61" s="38"/>
      <c r="BF61" s="38"/>
      <c r="BG61" s="38"/>
      <c r="BH61" s="38"/>
      <c r="BI61" s="38"/>
      <c r="BJ61" s="38"/>
      <c r="BK61" s="38"/>
      <c r="BT61" s="38"/>
      <c r="BU61" s="38"/>
      <c r="BZ61" s="53"/>
      <c r="CA61" s="53"/>
      <c r="CC61" s="160"/>
      <c r="CD61" s="165"/>
      <c r="CE61" s="38"/>
      <c r="CF61" s="39"/>
      <c r="CG61" s="62"/>
      <c r="CH61" s="62"/>
      <c r="CI61" s="62"/>
      <c r="CJ61" s="62"/>
      <c r="CK61" s="38"/>
      <c r="CL61" s="38"/>
      <c r="CM61" s="38"/>
      <c r="CN61" s="38"/>
      <c r="CO61" s="62"/>
      <c r="CP61" s="472"/>
      <c r="CQ61" s="474"/>
      <c r="CR61" s="62"/>
      <c r="CS61" s="62"/>
      <c r="CT61" s="62"/>
      <c r="CU61" s="62"/>
      <c r="CV61" s="154"/>
      <c r="CW61" s="478"/>
      <c r="CX61" s="478"/>
      <c r="CY61" s="478"/>
      <c r="CZ61" s="478"/>
      <c r="DC61" s="38"/>
      <c r="DD61" s="38"/>
      <c r="DE61" s="53"/>
      <c r="DF61" s="171"/>
      <c r="DG61" s="62"/>
      <c r="DH61" s="62"/>
      <c r="DI61" s="62"/>
      <c r="DJ61" s="62"/>
      <c r="DK61" s="62"/>
      <c r="DL61" s="62"/>
      <c r="DM61" s="62"/>
      <c r="DN61" s="62"/>
      <c r="DO61" s="39"/>
      <c r="DP61" s="39"/>
      <c r="DQ61" s="53"/>
      <c r="DR61" s="53"/>
      <c r="EA61" s="38"/>
      <c r="EB61" s="38"/>
      <c r="EC61" s="380">
        <f t="shared" ca="1" si="83"/>
        <v>0</v>
      </c>
      <c r="ED61" s="73">
        <v>50</v>
      </c>
      <c r="EE61" s="38">
        <v>30</v>
      </c>
      <c r="EF61" s="54">
        <v>41518</v>
      </c>
      <c r="EG61" s="55">
        <f t="shared" si="393"/>
        <v>52475.5</v>
      </c>
      <c r="EH61" s="61" t="s">
        <v>122</v>
      </c>
      <c r="EI61" s="61">
        <f t="shared" ca="1" si="739"/>
        <v>41</v>
      </c>
      <c r="EJ61" s="61" t="s">
        <v>426</v>
      </c>
      <c r="EK61" s="39">
        <v>50.24</v>
      </c>
      <c r="EL61" s="39">
        <f>EK61-ED61</f>
        <v>0.24000000000000199</v>
      </c>
      <c r="EM61" s="40">
        <f>EK61/ED61-1</f>
        <v>4.8000000000001375E-3</v>
      </c>
      <c r="EN61" s="39">
        <f t="shared" ca="1" si="755"/>
        <v>5.8536585365854144E-3</v>
      </c>
      <c r="EO61" s="43">
        <f t="shared" ca="1" si="742"/>
        <v>1</v>
      </c>
      <c r="EP61" s="39">
        <f t="shared" ca="1" si="743"/>
        <v>56.285426583776164</v>
      </c>
      <c r="EQ61" s="39">
        <f t="shared" ca="1" si="754"/>
        <v>6.2854265837761645</v>
      </c>
      <c r="ER61" s="153">
        <f t="shared" ca="1" si="756"/>
        <v>0.15330308740917475</v>
      </c>
      <c r="ET61" s="37"/>
      <c r="EU61" s="1360">
        <f t="shared" ca="1" si="90"/>
        <v>0</v>
      </c>
      <c r="EV61" s="173">
        <v>60</v>
      </c>
      <c r="EW61" s="747">
        <v>30</v>
      </c>
      <c r="EX61" s="55">
        <v>42675</v>
      </c>
      <c r="EY61" s="55">
        <f t="shared" si="762"/>
        <v>53632.5</v>
      </c>
      <c r="EZ61" s="61">
        <f t="shared" ca="1" si="763"/>
        <v>3</v>
      </c>
      <c r="FA61" s="37" t="s">
        <v>1591</v>
      </c>
      <c r="FB61" s="39">
        <v>60</v>
      </c>
      <c r="FC61" s="39">
        <f t="shared" si="764"/>
        <v>0</v>
      </c>
      <c r="FD61" s="40">
        <f t="shared" si="765"/>
        <v>0</v>
      </c>
      <c r="FE61" s="39">
        <f t="shared" ca="1" si="769"/>
        <v>0</v>
      </c>
      <c r="FF61" s="43">
        <f t="shared" ca="1" si="767"/>
        <v>0</v>
      </c>
      <c r="FR61" s="438"/>
      <c r="FS61" s="550">
        <v>5</v>
      </c>
      <c r="FT61" s="58">
        <v>2</v>
      </c>
      <c r="FU61" s="38">
        <v>2</v>
      </c>
      <c r="FV61" s="38">
        <f t="shared" si="759"/>
        <v>1.0004997502081252</v>
      </c>
      <c r="FW61" s="39">
        <f t="shared" ref="FW61:FW65" si="770">$FW$59*FV61</f>
        <v>25.352195539913339</v>
      </c>
      <c r="FX61" s="153"/>
      <c r="GE61" s="144"/>
    </row>
    <row r="62" spans="3:189" ht="13.5" thickBot="1">
      <c r="D62" s="366"/>
      <c r="E62" s="353"/>
      <c r="F62" s="1040"/>
      <c r="G62" s="1039"/>
      <c r="H62" s="819"/>
      <c r="I62" s="141"/>
      <c r="J62" s="141"/>
      <c r="K62" s="141"/>
      <c r="L62" s="377"/>
      <c r="P62" s="390"/>
      <c r="Q62" s="390"/>
      <c r="R62" s="153"/>
      <c r="W62" s="62"/>
      <c r="X62" s="62"/>
      <c r="Y62" s="62"/>
      <c r="Z62" s="62"/>
      <c r="AA62" s="62"/>
      <c r="AB62" s="62"/>
      <c r="AC62" s="62"/>
      <c r="AD62" s="62"/>
      <c r="AE62" s="62"/>
      <c r="AF62" s="62"/>
      <c r="AZ62" s="62"/>
      <c r="BA62" s="62"/>
      <c r="BB62" s="38"/>
      <c r="BC62" s="38"/>
      <c r="BD62" s="38"/>
      <c r="BE62" s="38"/>
      <c r="BF62" s="38"/>
      <c r="BG62" s="38"/>
      <c r="BH62" s="38"/>
      <c r="BI62" s="38"/>
      <c r="BJ62" s="38"/>
      <c r="BK62" s="38"/>
      <c r="BT62" s="38"/>
      <c r="BU62" s="38"/>
      <c r="BZ62" s="53"/>
      <c r="CA62" s="53"/>
      <c r="CC62" s="160"/>
      <c r="CD62" s="165"/>
      <c r="CE62" s="38"/>
      <c r="CF62" s="39"/>
      <c r="CG62" s="62"/>
      <c r="CH62" s="62"/>
      <c r="CK62" s="38"/>
      <c r="CL62" s="38"/>
      <c r="CM62" s="38"/>
      <c r="CN62" s="38"/>
      <c r="CO62" s="39"/>
      <c r="CP62" s="472"/>
      <c r="CQ62" s="475"/>
      <c r="CR62" s="62"/>
      <c r="CS62" s="62"/>
      <c r="CT62" s="62"/>
      <c r="CU62" s="62"/>
      <c r="CV62" s="62"/>
      <c r="CW62" s="479"/>
      <c r="CX62" s="478"/>
      <c r="CY62" s="478"/>
      <c r="CZ62" s="478"/>
      <c r="DC62" s="38"/>
      <c r="DD62" s="38"/>
      <c r="DE62" s="53"/>
      <c r="DF62" s="171"/>
      <c r="DG62" s="62"/>
      <c r="DH62" s="62"/>
      <c r="DI62" s="62"/>
      <c r="DJ62" s="62"/>
      <c r="DK62" s="62"/>
      <c r="DL62" s="62"/>
      <c r="DM62" s="62"/>
      <c r="DN62" s="62"/>
      <c r="DO62" s="39"/>
      <c r="DP62" s="39"/>
      <c r="DQ62" s="53"/>
      <c r="DR62" s="53"/>
      <c r="EA62" s="38"/>
      <c r="EB62" s="38"/>
      <c r="EC62" s="380">
        <f t="shared" ca="1" si="83"/>
        <v>0</v>
      </c>
      <c r="ED62" s="73">
        <v>25</v>
      </c>
      <c r="EE62" s="38">
        <v>30</v>
      </c>
      <c r="EF62" s="54">
        <v>41487</v>
      </c>
      <c r="EG62" s="55">
        <f t="shared" si="393"/>
        <v>52444.5</v>
      </c>
      <c r="EH62" s="61" t="s">
        <v>122</v>
      </c>
      <c r="EI62" s="61">
        <f t="shared" ca="1" si="739"/>
        <v>42</v>
      </c>
      <c r="EJ62" s="61" t="s">
        <v>393</v>
      </c>
      <c r="EK62" s="39">
        <v>25.14</v>
      </c>
      <c r="EL62" s="39">
        <f>EK62-ED62</f>
        <v>0.14000000000000057</v>
      </c>
      <c r="EM62" s="40">
        <f>EK62/ED62-1</f>
        <v>5.6000000000000494E-3</v>
      </c>
      <c r="EN62" s="39">
        <f t="shared" ca="1" si="755"/>
        <v>3.333333333333347E-3</v>
      </c>
      <c r="EO62" s="43">
        <f t="shared" ca="1" si="742"/>
        <v>1</v>
      </c>
      <c r="EP62" s="39">
        <f t="shared" ca="1" si="743"/>
        <v>28.224110120153291</v>
      </c>
      <c r="EQ62" s="39">
        <f t="shared" ca="1" si="754"/>
        <v>3.2241101201532913</v>
      </c>
      <c r="ER62" s="153">
        <f t="shared" ca="1" si="756"/>
        <v>7.6764526670316455E-2</v>
      </c>
      <c r="ET62" s="37"/>
      <c r="EU62" s="1360">
        <f t="shared" ca="1" si="90"/>
        <v>0</v>
      </c>
      <c r="EV62" s="173">
        <v>60</v>
      </c>
      <c r="EW62" s="747">
        <v>30</v>
      </c>
      <c r="EX62" s="55">
        <v>42675</v>
      </c>
      <c r="EY62" s="55">
        <f t="shared" si="762"/>
        <v>53632.5</v>
      </c>
      <c r="EZ62" s="61">
        <f t="shared" ca="1" si="763"/>
        <v>3</v>
      </c>
      <c r="FA62" s="37" t="s">
        <v>1592</v>
      </c>
      <c r="FB62" s="39">
        <v>60</v>
      </c>
      <c r="FC62" s="39">
        <f t="shared" si="764"/>
        <v>0</v>
      </c>
      <c r="FD62" s="40">
        <f t="shared" si="765"/>
        <v>0</v>
      </c>
      <c r="FE62" s="39">
        <f t="shared" ca="1" si="769"/>
        <v>0</v>
      </c>
      <c r="FF62" s="43">
        <f t="shared" ca="1" si="767"/>
        <v>0</v>
      </c>
      <c r="FR62" s="438"/>
      <c r="FS62" s="550">
        <v>5</v>
      </c>
      <c r="FT62" s="58">
        <v>2</v>
      </c>
      <c r="FU62" s="38">
        <v>3</v>
      </c>
      <c r="FV62" s="38">
        <f t="shared" si="759"/>
        <v>1.0007497189607399</v>
      </c>
      <c r="FW62" s="39">
        <f t="shared" si="770"/>
        <v>25.358529631145085</v>
      </c>
      <c r="FX62" s="153"/>
      <c r="GE62" s="144"/>
    </row>
    <row r="63" spans="3:189" ht="13.5" thickBot="1">
      <c r="D63" s="391"/>
      <c r="E63" s="197"/>
      <c r="F63" s="96"/>
      <c r="G63" s="38"/>
      <c r="I63" s="123"/>
      <c r="P63" s="517"/>
      <c r="Q63" s="40"/>
      <c r="R63" s="153"/>
      <c r="W63" s="62"/>
      <c r="X63" s="62"/>
      <c r="Y63" s="62"/>
      <c r="Z63" s="62"/>
      <c r="AA63" s="62"/>
      <c r="AB63" s="62"/>
      <c r="AC63" s="62"/>
      <c r="AD63" s="62"/>
      <c r="AE63" s="62"/>
      <c r="AF63" s="62"/>
      <c r="AZ63" s="62"/>
      <c r="BA63" s="62"/>
      <c r="BB63" s="38"/>
      <c r="BC63" s="38"/>
      <c r="BD63" s="38"/>
      <c r="BE63" s="38"/>
      <c r="BF63" s="38"/>
      <c r="BG63" s="38"/>
      <c r="BH63" s="38"/>
      <c r="BI63" s="38"/>
      <c r="BJ63" s="38"/>
      <c r="BK63" s="38"/>
      <c r="BT63" s="38"/>
      <c r="BU63" s="38"/>
      <c r="BZ63" s="53"/>
      <c r="CA63" s="53"/>
      <c r="CC63" s="160"/>
      <c r="CD63" s="165"/>
      <c r="CE63" s="38"/>
      <c r="CF63" s="39"/>
      <c r="CG63" s="62"/>
      <c r="CH63" s="62"/>
      <c r="CK63" s="38"/>
      <c r="CL63" s="38"/>
      <c r="CM63" s="38"/>
      <c r="CN63" s="38"/>
      <c r="CO63" s="39"/>
      <c r="CP63" s="472"/>
      <c r="CQ63" s="476"/>
      <c r="CR63" s="62"/>
      <c r="CS63" s="62"/>
      <c r="CT63" s="62"/>
      <c r="CU63" s="62"/>
      <c r="CV63" s="39"/>
      <c r="CW63" s="52"/>
      <c r="CY63" s="204"/>
      <c r="CZ63" s="38"/>
      <c r="DC63" s="38"/>
      <c r="DD63" s="38"/>
      <c r="DE63" s="53"/>
      <c r="DF63" s="171"/>
      <c r="DG63" s="62"/>
      <c r="DH63" s="62"/>
      <c r="DI63" s="62"/>
      <c r="DJ63" s="62"/>
      <c r="DK63" s="62"/>
      <c r="DL63" s="62"/>
      <c r="DM63" s="62"/>
      <c r="DN63" s="62"/>
      <c r="DO63" s="39"/>
      <c r="DP63" s="39"/>
      <c r="DQ63" s="53"/>
      <c r="DR63" s="53"/>
      <c r="EA63" s="38"/>
      <c r="EB63" s="38"/>
      <c r="EC63" s="380">
        <f t="shared" ca="1" si="83"/>
        <v>0</v>
      </c>
      <c r="ED63" s="73">
        <v>25</v>
      </c>
      <c r="EE63" s="38">
        <v>30</v>
      </c>
      <c r="EF63" s="54">
        <v>41487</v>
      </c>
      <c r="EG63" s="55">
        <f t="shared" si="393"/>
        <v>52444.5</v>
      </c>
      <c r="EH63" s="61" t="s">
        <v>122</v>
      </c>
      <c r="EI63" s="61">
        <f t="shared" ca="1" si="739"/>
        <v>42</v>
      </c>
      <c r="EJ63" s="61" t="s">
        <v>402</v>
      </c>
      <c r="EK63" s="39">
        <v>25.14</v>
      </c>
      <c r="EL63" s="39">
        <f t="shared" si="760"/>
        <v>0.14000000000000057</v>
      </c>
      <c r="EM63" s="40">
        <f t="shared" si="761"/>
        <v>5.6000000000000494E-3</v>
      </c>
      <c r="EN63" s="39">
        <f t="shared" ca="1" si="755"/>
        <v>3.333333333333347E-3</v>
      </c>
      <c r="EO63" s="43">
        <f t="shared" ca="1" si="742"/>
        <v>1</v>
      </c>
      <c r="EP63" s="39">
        <f t="shared" ca="1" si="743"/>
        <v>28.224110120153291</v>
      </c>
      <c r="EQ63" s="39">
        <f t="shared" ca="1" si="754"/>
        <v>3.2241101201532913</v>
      </c>
      <c r="ER63" s="153">
        <f t="shared" ca="1" si="756"/>
        <v>7.6764526670316455E-2</v>
      </c>
      <c r="ET63" s="37"/>
      <c r="EU63" s="1360">
        <f t="shared" ca="1" si="90"/>
        <v>0</v>
      </c>
      <c r="EV63" s="173">
        <v>60</v>
      </c>
      <c r="EW63" s="747">
        <v>30</v>
      </c>
      <c r="EX63" s="55">
        <v>42675</v>
      </c>
      <c r="EY63" s="55">
        <f t="shared" si="762"/>
        <v>53632.5</v>
      </c>
      <c r="EZ63" s="61">
        <f t="shared" ca="1" si="763"/>
        <v>3</v>
      </c>
      <c r="FA63" s="37" t="s">
        <v>1593</v>
      </c>
      <c r="FB63" s="39">
        <v>60</v>
      </c>
      <c r="FC63" s="39">
        <f t="shared" si="764"/>
        <v>0</v>
      </c>
      <c r="FD63" s="40">
        <f t="shared" si="765"/>
        <v>0</v>
      </c>
      <c r="FE63" s="39">
        <f t="shared" ca="1" si="769"/>
        <v>0</v>
      </c>
      <c r="FF63" s="43">
        <f t="shared" ca="1" si="767"/>
        <v>0</v>
      </c>
      <c r="FR63" s="438"/>
      <c r="FS63" s="550">
        <v>5</v>
      </c>
      <c r="FT63" s="58">
        <v>2</v>
      </c>
      <c r="FU63" s="38">
        <v>4</v>
      </c>
      <c r="FV63" s="38">
        <f t="shared" si="759"/>
        <v>1.0009997501665211</v>
      </c>
      <c r="FW63" s="39">
        <f t="shared" si="770"/>
        <v>25.364865304910847</v>
      </c>
      <c r="FX63" s="67"/>
      <c r="GE63" s="144"/>
    </row>
    <row r="64" spans="3:189">
      <c r="C64" s="52" t="s">
        <v>2304</v>
      </c>
      <c r="D64" s="545" t="s">
        <v>697</v>
      </c>
      <c r="E64" s="76" t="s">
        <v>713</v>
      </c>
      <c r="F64" s="76" t="s">
        <v>719</v>
      </c>
      <c r="G64" s="76" t="s">
        <v>718</v>
      </c>
      <c r="H64" s="682" t="s">
        <v>720</v>
      </c>
      <c r="I64" s="683" t="s">
        <v>694</v>
      </c>
      <c r="P64" s="517"/>
      <c r="Q64" s="40"/>
      <c r="R64" s="153"/>
      <c r="W64" s="62"/>
      <c r="X64" s="62"/>
      <c r="Y64" s="62"/>
      <c r="Z64" s="62"/>
      <c r="AA64" s="62"/>
      <c r="AB64" s="62"/>
      <c r="AC64" s="62"/>
      <c r="AD64" s="62"/>
      <c r="AE64" s="62"/>
      <c r="AF64" s="62"/>
      <c r="AZ64" s="62"/>
      <c r="BA64" s="62"/>
      <c r="BB64" s="38"/>
      <c r="BC64" s="38"/>
      <c r="BD64" s="38"/>
      <c r="BE64" s="38"/>
      <c r="BF64" s="38"/>
      <c r="BG64" s="38"/>
      <c r="BH64" s="38"/>
      <c r="BI64" s="38"/>
      <c r="BJ64" s="38"/>
      <c r="BK64" s="38"/>
      <c r="BT64" s="38"/>
      <c r="BU64" s="38"/>
      <c r="CC64" s="160"/>
      <c r="CD64" s="165"/>
      <c r="CE64" s="38"/>
      <c r="CF64" s="39"/>
      <c r="CG64" s="62"/>
      <c r="CH64" s="62"/>
      <c r="CK64" s="38"/>
      <c r="CL64" s="38"/>
      <c r="CM64" s="38"/>
      <c r="CN64" s="38"/>
      <c r="CO64" s="39"/>
      <c r="CP64" s="472"/>
      <c r="CQ64" s="474"/>
      <c r="CR64" s="62"/>
      <c r="CS64" s="62"/>
      <c r="CT64" s="62"/>
      <c r="CU64" s="62"/>
      <c r="CV64" s="62"/>
      <c r="CY64" s="204"/>
      <c r="CZ64" s="62"/>
      <c r="DC64" s="38"/>
      <c r="DD64" s="38"/>
      <c r="DE64" s="53"/>
      <c r="DF64" s="171"/>
      <c r="DG64" s="62"/>
      <c r="DH64" s="62"/>
      <c r="DI64" s="62"/>
      <c r="DJ64" s="62"/>
      <c r="DK64" s="62"/>
      <c r="DL64" s="62"/>
      <c r="DM64" s="62"/>
      <c r="DN64" s="62"/>
      <c r="DO64" s="39"/>
      <c r="DP64" s="39"/>
      <c r="DQ64" s="53"/>
      <c r="DR64" s="53"/>
      <c r="EA64" s="38"/>
      <c r="EB64" s="38"/>
      <c r="EC64" s="380">
        <f t="shared" ca="1" si="83"/>
        <v>0</v>
      </c>
      <c r="ED64" s="73">
        <v>50</v>
      </c>
      <c r="EE64" s="38">
        <v>30</v>
      </c>
      <c r="EF64" s="54">
        <v>41487</v>
      </c>
      <c r="EG64" s="55">
        <f t="shared" si="393"/>
        <v>52444.5</v>
      </c>
      <c r="EH64" s="61" t="s">
        <v>122</v>
      </c>
      <c r="EI64" s="61">
        <f t="shared" ca="1" si="739"/>
        <v>42</v>
      </c>
      <c r="EJ64" s="61" t="s">
        <v>403</v>
      </c>
      <c r="EK64" s="39">
        <v>50.28</v>
      </c>
      <c r="EL64" s="39">
        <f>EK64-ED64</f>
        <v>0.28000000000000114</v>
      </c>
      <c r="EM64" s="40">
        <f>EK64/ED64-1</f>
        <v>5.6000000000000494E-3</v>
      </c>
      <c r="EN64" s="39">
        <f t="shared" ca="1" si="755"/>
        <v>6.666666666666694E-3</v>
      </c>
      <c r="EO64" s="43">
        <f t="shared" ca="1" si="742"/>
        <v>1</v>
      </c>
      <c r="EP64" s="39">
        <f t="shared" ca="1" si="743"/>
        <v>56.448220240306583</v>
      </c>
      <c r="EQ64" s="39">
        <f t="shared" ca="1" si="754"/>
        <v>6.4482202403065827</v>
      </c>
      <c r="ER64" s="153">
        <f t="shared" ca="1" si="756"/>
        <v>0.15352905334063291</v>
      </c>
      <c r="ET64" s="37"/>
      <c r="EU64" s="1360">
        <f t="shared" ca="1" si="90"/>
        <v>0</v>
      </c>
      <c r="EV64" s="173">
        <v>60</v>
      </c>
      <c r="EW64" s="747">
        <v>30</v>
      </c>
      <c r="EX64" s="55">
        <v>42644</v>
      </c>
      <c r="EY64" s="55">
        <f t="shared" si="762"/>
        <v>53601.5</v>
      </c>
      <c r="EZ64" s="61">
        <f t="shared" ca="1" si="763"/>
        <v>4</v>
      </c>
      <c r="FA64" s="37" t="s">
        <v>1586</v>
      </c>
      <c r="FB64" s="39">
        <v>60.02</v>
      </c>
      <c r="FC64" s="39">
        <f t="shared" si="764"/>
        <v>2.0000000000003126E-2</v>
      </c>
      <c r="FD64" s="40">
        <f t="shared" si="765"/>
        <v>3.3333333333329662E-4</v>
      </c>
      <c r="FE64" s="39">
        <f t="shared" ref="FE64:FE67" ca="1" si="771">FC64/EZ64</f>
        <v>5.0000000000007816E-3</v>
      </c>
      <c r="FF64" s="43">
        <f t="shared" ca="1" si="767"/>
        <v>0</v>
      </c>
      <c r="FR64" s="438"/>
      <c r="FS64" s="550">
        <v>5</v>
      </c>
      <c r="FT64" s="58">
        <v>2</v>
      </c>
      <c r="FU64" s="38">
        <v>5</v>
      </c>
      <c r="FV64" s="38">
        <f t="shared" si="759"/>
        <v>1.001249843841072</v>
      </c>
      <c r="FW64" s="39">
        <f t="shared" si="770"/>
        <v>25.371202561606001</v>
      </c>
      <c r="FX64" s="153"/>
      <c r="GE64" s="144"/>
    </row>
    <row r="65" spans="2:187">
      <c r="C65" s="679">
        <f>F65/E65</f>
        <v>3.812553002074688E-4</v>
      </c>
      <c r="D65" s="192" t="s">
        <v>715</v>
      </c>
      <c r="E65" s="104">
        <v>99.961888999999999</v>
      </c>
      <c r="F65" s="484">
        <f>100-E65</f>
        <v>3.8111000000000672E-2</v>
      </c>
      <c r="G65" s="81">
        <v>25</v>
      </c>
      <c r="H65" s="680">
        <f>F65*G65+F65</f>
        <v>0.99088600000001748</v>
      </c>
      <c r="I65" s="684">
        <f>RANK(H65,$H$65:$H$68)</f>
        <v>4</v>
      </c>
      <c r="P65" s="517"/>
      <c r="Q65" s="40"/>
      <c r="R65" s="153"/>
      <c r="W65" s="38"/>
      <c r="X65" s="38"/>
      <c r="Y65" s="38"/>
      <c r="Z65" s="38"/>
      <c r="AA65" s="38"/>
      <c r="AB65" s="38"/>
      <c r="AC65" s="38"/>
      <c r="AD65" s="38"/>
      <c r="AE65" s="38"/>
      <c r="AF65" s="38"/>
      <c r="AZ65" s="62"/>
      <c r="BA65" s="38"/>
      <c r="BB65" s="38"/>
      <c r="BC65" s="38"/>
      <c r="BD65" s="38"/>
      <c r="BE65" s="38"/>
      <c r="BF65" s="38"/>
      <c r="BG65" s="38"/>
      <c r="BH65" s="38"/>
      <c r="BI65" s="38"/>
      <c r="BJ65" s="38"/>
      <c r="BK65" s="38"/>
      <c r="BT65" s="38"/>
      <c r="BU65" s="38"/>
      <c r="CC65" s="160"/>
      <c r="CD65" s="165"/>
      <c r="CE65" s="38"/>
      <c r="CF65" s="39"/>
      <c r="CG65" s="62"/>
      <c r="CH65" s="62"/>
      <c r="CK65" s="38"/>
      <c r="CL65" s="38"/>
      <c r="CM65" s="38"/>
      <c r="CN65" s="38"/>
      <c r="CO65" s="39"/>
      <c r="CP65" s="472"/>
      <c r="CQ65" s="474"/>
      <c r="CR65" s="62"/>
      <c r="CS65" s="62"/>
      <c r="CT65" s="62"/>
      <c r="CU65" s="62"/>
      <c r="CV65" s="39"/>
      <c r="CW65" s="52"/>
      <c r="CY65" s="204"/>
      <c r="CZ65" s="53"/>
      <c r="DC65" s="38"/>
      <c r="DD65" s="38"/>
      <c r="DE65" s="53"/>
      <c r="DF65" s="171"/>
      <c r="DG65" s="62"/>
      <c r="DH65" s="62"/>
      <c r="DI65" s="62"/>
      <c r="DJ65" s="62"/>
      <c r="DK65" s="62"/>
      <c r="DL65" s="62"/>
      <c r="DM65" s="62"/>
      <c r="DN65" s="62"/>
      <c r="DO65" s="39"/>
      <c r="DP65" s="39"/>
      <c r="DQ65" s="53"/>
      <c r="DR65" s="53"/>
      <c r="EA65" s="38"/>
      <c r="EC65" s="380">
        <f t="shared" ca="1" si="83"/>
        <v>0</v>
      </c>
      <c r="ED65" s="73">
        <v>25</v>
      </c>
      <c r="EE65" s="38">
        <v>30</v>
      </c>
      <c r="EF65" s="54">
        <v>41456</v>
      </c>
      <c r="EG65" s="55">
        <f t="shared" si="393"/>
        <v>52413.5</v>
      </c>
      <c r="EH65" s="61" t="s">
        <v>122</v>
      </c>
      <c r="EI65" s="61">
        <f t="shared" ca="1" si="739"/>
        <v>43</v>
      </c>
      <c r="EJ65" s="61" t="s">
        <v>364</v>
      </c>
      <c r="EK65" s="39">
        <v>25.14</v>
      </c>
      <c r="EL65" s="39">
        <f t="shared" si="760"/>
        <v>0.14000000000000057</v>
      </c>
      <c r="EM65" s="40">
        <f t="shared" si="761"/>
        <v>5.6000000000000494E-3</v>
      </c>
      <c r="EN65" s="39">
        <f t="shared" ca="1" si="755"/>
        <v>3.2558139534883852E-3</v>
      </c>
      <c r="EO65" s="43">
        <f t="shared" ca="1" si="742"/>
        <v>1</v>
      </c>
      <c r="EP65" s="39">
        <f t="shared" ca="1" si="743"/>
        <v>28.305742371477489</v>
      </c>
      <c r="EQ65" s="39">
        <f t="shared" ca="1" si="754"/>
        <v>3.3057423714774892</v>
      </c>
      <c r="ER65" s="153">
        <f t="shared" ca="1" si="756"/>
        <v>7.6877729569243936E-2</v>
      </c>
      <c r="ET65" s="37"/>
      <c r="EU65" s="1360">
        <f t="shared" ca="1" si="90"/>
        <v>0</v>
      </c>
      <c r="EV65" s="173">
        <v>60</v>
      </c>
      <c r="EW65" s="747">
        <v>30</v>
      </c>
      <c r="EX65" s="55">
        <v>42644</v>
      </c>
      <c r="EY65" s="55">
        <f t="shared" si="762"/>
        <v>53601.5</v>
      </c>
      <c r="EZ65" s="61">
        <f t="shared" ca="1" si="763"/>
        <v>4</v>
      </c>
      <c r="FA65" s="37" t="s">
        <v>1587</v>
      </c>
      <c r="FB65" s="39">
        <v>60.02</v>
      </c>
      <c r="FC65" s="39">
        <f t="shared" si="764"/>
        <v>2.0000000000003126E-2</v>
      </c>
      <c r="FD65" s="40">
        <f t="shared" si="765"/>
        <v>3.3333333333329662E-4</v>
      </c>
      <c r="FE65" s="39">
        <f t="shared" ca="1" si="771"/>
        <v>5.0000000000007816E-3</v>
      </c>
      <c r="FF65" s="43">
        <f t="shared" ca="1" si="767"/>
        <v>0</v>
      </c>
      <c r="FR65" s="438"/>
      <c r="FS65" s="550">
        <v>5</v>
      </c>
      <c r="FT65" s="58">
        <v>2</v>
      </c>
      <c r="FU65" s="38">
        <v>6</v>
      </c>
      <c r="FV65" s="38">
        <f t="shared" si="759"/>
        <v>1.0015000000000001</v>
      </c>
      <c r="FW65" s="39">
        <f t="shared" si="770"/>
        <v>25.37754140162604</v>
      </c>
      <c r="FX65" s="153"/>
      <c r="GE65" s="144"/>
    </row>
    <row r="66" spans="2:187">
      <c r="C66" s="679">
        <f>F66/E66</f>
        <v>1.303506918341298E-3</v>
      </c>
      <c r="D66" s="192" t="s">
        <v>714</v>
      </c>
      <c r="E66" s="104">
        <v>99.869819000000007</v>
      </c>
      <c r="F66" s="484">
        <f t="shared" ref="F66:F68" si="772">100-E66</f>
        <v>0.13018099999999322</v>
      </c>
      <c r="G66" s="486">
        <v>7</v>
      </c>
      <c r="H66" s="680">
        <f>F66*G66+F66</f>
        <v>1.0414479999999458</v>
      </c>
      <c r="I66" s="684">
        <f>RANK(H66,$H$65:$H$68)</f>
        <v>3</v>
      </c>
      <c r="J66" s="28"/>
      <c r="P66" s="517"/>
      <c r="Q66" s="40"/>
      <c r="R66" s="153"/>
      <c r="W66" s="62"/>
      <c r="X66" s="62"/>
      <c r="Y66" s="62"/>
      <c r="Z66" s="62"/>
      <c r="AA66" s="62"/>
      <c r="AB66" s="62"/>
      <c r="AC66" s="62"/>
      <c r="AD66" s="62"/>
      <c r="AE66" s="62"/>
      <c r="AF66" s="62"/>
      <c r="AZ66" s="62"/>
      <c r="BA66" s="62"/>
      <c r="BB66" s="38"/>
      <c r="BC66" s="38"/>
      <c r="BD66" s="38"/>
      <c r="BE66" s="38"/>
      <c r="BF66" s="38"/>
      <c r="BG66" s="38"/>
      <c r="BH66" s="38"/>
      <c r="BI66" s="38"/>
      <c r="BJ66" s="38"/>
      <c r="BK66" s="38"/>
      <c r="BT66" s="38"/>
      <c r="BU66" s="38"/>
      <c r="BW66" s="62"/>
      <c r="BY66" s="62"/>
      <c r="BZ66" s="62"/>
      <c r="CA66" s="62"/>
      <c r="CB66" s="62"/>
      <c r="CC66" s="160"/>
      <c r="CD66" s="165"/>
      <c r="CE66" s="62"/>
      <c r="CF66" s="39"/>
      <c r="CG66" s="62"/>
      <c r="CH66" s="62"/>
      <c r="CK66" s="38"/>
      <c r="CL66" s="38"/>
      <c r="CM66" s="38"/>
      <c r="CN66" s="38"/>
      <c r="CO66" s="39"/>
      <c r="CP66" s="472"/>
      <c r="CQ66" s="474"/>
      <c r="CR66" s="62"/>
      <c r="CS66" s="62"/>
      <c r="CT66" s="62"/>
      <c r="CU66" s="62"/>
      <c r="CV66" s="62"/>
      <c r="CY66" s="392"/>
      <c r="CZ66" s="53"/>
      <c r="DC66" s="38"/>
      <c r="DD66" s="38"/>
      <c r="DE66" s="53"/>
      <c r="DF66" s="171"/>
      <c r="DG66" s="62"/>
      <c r="DH66" s="62"/>
      <c r="DI66" s="62"/>
      <c r="DJ66" s="62"/>
      <c r="DK66" s="62"/>
      <c r="DL66" s="62"/>
      <c r="DM66" s="62"/>
      <c r="DN66" s="62"/>
      <c r="DO66" s="39"/>
      <c r="DP66" s="39"/>
      <c r="DQ66" s="53"/>
      <c r="DR66" s="53"/>
      <c r="EA66" s="38"/>
      <c r="EC66" s="380">
        <f t="shared" ca="1" si="83"/>
        <v>0</v>
      </c>
      <c r="ED66" s="73">
        <v>25</v>
      </c>
      <c r="EE66" s="38">
        <v>30</v>
      </c>
      <c r="EF66" s="54">
        <v>41426</v>
      </c>
      <c r="EG66" s="55">
        <f t="shared" si="393"/>
        <v>52383.5</v>
      </c>
      <c r="EH66" s="61" t="s">
        <v>122</v>
      </c>
      <c r="EI66" s="61">
        <f t="shared" ca="1" si="739"/>
        <v>44</v>
      </c>
      <c r="EJ66" s="61" t="s">
        <v>325</v>
      </c>
      <c r="EK66" s="39">
        <v>25.14</v>
      </c>
      <c r="EL66" s="39">
        <f t="shared" si="760"/>
        <v>0.14000000000000057</v>
      </c>
      <c r="EM66" s="40">
        <f t="shared" si="761"/>
        <v>5.6000000000000494E-3</v>
      </c>
      <c r="EN66" s="39">
        <f t="shared" ca="1" si="755"/>
        <v>3.1818181818181949E-3</v>
      </c>
      <c r="EO66" s="43">
        <f t="shared" ca="1" si="742"/>
        <v>1</v>
      </c>
      <c r="EP66" s="39">
        <f t="shared" ca="1" si="743"/>
        <v>28.387610726771946</v>
      </c>
      <c r="EQ66" s="39">
        <f t="shared" ca="1" si="754"/>
        <v>3.3876107267719462</v>
      </c>
      <c r="ER66" s="153">
        <f t="shared" ca="1" si="756"/>
        <v>7.6991152881180594E-2</v>
      </c>
      <c r="ET66" s="37"/>
      <c r="EU66" s="1360">
        <f t="shared" ca="1" si="90"/>
        <v>0</v>
      </c>
      <c r="EV66" s="173">
        <v>60</v>
      </c>
      <c r="EW66" s="747">
        <v>30</v>
      </c>
      <c r="EX66" s="55">
        <v>42644</v>
      </c>
      <c r="EY66" s="55">
        <f t="shared" si="762"/>
        <v>53601.5</v>
      </c>
      <c r="EZ66" s="61">
        <f t="shared" ca="1" si="763"/>
        <v>4</v>
      </c>
      <c r="FA66" s="37" t="s">
        <v>1588</v>
      </c>
      <c r="FB66" s="39">
        <v>60.02</v>
      </c>
      <c r="FC66" s="39">
        <f t="shared" si="764"/>
        <v>2.0000000000003126E-2</v>
      </c>
      <c r="FD66" s="40">
        <f t="shared" si="765"/>
        <v>3.3333333333329662E-4</v>
      </c>
      <c r="FE66" s="39">
        <f t="shared" ca="1" si="771"/>
        <v>5.0000000000007816E-3</v>
      </c>
      <c r="FF66" s="43">
        <f t="shared" ca="1" si="767"/>
        <v>0</v>
      </c>
      <c r="FR66" s="438"/>
      <c r="FS66" s="55"/>
      <c r="FV66" s="144"/>
      <c r="FW66" s="144"/>
      <c r="FX66" s="153"/>
      <c r="GE66" s="144"/>
    </row>
    <row r="67" spans="2:187">
      <c r="C67" s="679">
        <f>F67/E67</f>
        <v>3.1697354765800809E-3</v>
      </c>
      <c r="D67" s="192" t="s">
        <v>716</v>
      </c>
      <c r="E67" s="104">
        <v>99.684027999999998</v>
      </c>
      <c r="F67" s="484">
        <f t="shared" si="772"/>
        <v>0.31597200000000214</v>
      </c>
      <c r="G67" s="81">
        <v>3</v>
      </c>
      <c r="H67" s="680">
        <f>F67*G67+F67</f>
        <v>1.2638880000000086</v>
      </c>
      <c r="I67" s="684">
        <f>RANK(H67,$H$65:$H$68)</f>
        <v>2</v>
      </c>
      <c r="J67" s="28"/>
      <c r="R67" s="153"/>
      <c r="AZ67" s="62"/>
      <c r="BB67" s="38"/>
      <c r="BC67" s="38"/>
      <c r="BD67" s="38"/>
      <c r="BE67" s="38"/>
      <c r="BF67" s="38"/>
      <c r="BG67" s="38"/>
      <c r="BH67" s="38"/>
      <c r="BI67" s="38"/>
      <c r="BJ67" s="38"/>
      <c r="BK67" s="38"/>
      <c r="BT67" s="38"/>
      <c r="BU67" s="38"/>
      <c r="BW67" s="62"/>
      <c r="BY67" s="62"/>
      <c r="BZ67" s="62"/>
      <c r="CA67" s="62"/>
      <c r="CB67" s="62"/>
      <c r="CC67" s="160"/>
      <c r="CD67" s="165"/>
      <c r="CE67" s="62"/>
      <c r="CF67" s="39"/>
      <c r="CG67" s="62"/>
      <c r="CH67" s="62"/>
      <c r="CK67" s="38"/>
      <c r="CL67" s="38"/>
      <c r="CM67" s="38"/>
      <c r="CN67" s="38"/>
      <c r="CO67" s="39"/>
      <c r="CP67" s="39"/>
      <c r="CQ67" s="62"/>
      <c r="CR67" s="62"/>
      <c r="CS67" s="62"/>
      <c r="CT67" s="62"/>
      <c r="CU67" s="62"/>
      <c r="CV67" s="39"/>
      <c r="CY67" s="392"/>
      <c r="CZ67" s="53"/>
      <c r="DC67" s="38"/>
      <c r="DD67" s="38"/>
      <c r="DE67" s="53"/>
      <c r="DF67" s="171"/>
      <c r="DG67" s="62"/>
      <c r="DH67" s="62"/>
      <c r="DI67" s="62"/>
      <c r="DJ67" s="62"/>
      <c r="DK67" s="62"/>
      <c r="DL67" s="62"/>
      <c r="DM67" s="62"/>
      <c r="DN67" s="62"/>
      <c r="DO67" s="153"/>
      <c r="DP67" s="153"/>
      <c r="DQ67" s="53"/>
      <c r="DR67" s="53"/>
      <c r="EA67" s="38"/>
      <c r="EC67" s="380">
        <f t="shared" ref="EC67:EC88" ca="1" si="773">IF(EF67&lt;$G$1-5*365.25,1,0)</f>
        <v>0</v>
      </c>
      <c r="ED67" s="73">
        <v>25</v>
      </c>
      <c r="EE67" s="38">
        <v>30</v>
      </c>
      <c r="EF67" s="54">
        <v>41395</v>
      </c>
      <c r="EG67" s="55">
        <f t="shared" si="393"/>
        <v>52352.5</v>
      </c>
      <c r="EH67" s="61" t="s">
        <v>122</v>
      </c>
      <c r="EI67" s="61">
        <f t="shared" ca="1" si="739"/>
        <v>45</v>
      </c>
      <c r="EJ67" s="61" t="s">
        <v>305</v>
      </c>
      <c r="EK67" s="39">
        <v>25.14</v>
      </c>
      <c r="EL67" s="39">
        <f t="shared" si="760"/>
        <v>0.14000000000000057</v>
      </c>
      <c r="EM67" s="40">
        <f t="shared" si="761"/>
        <v>5.6000000000000494E-3</v>
      </c>
      <c r="EN67" s="39">
        <f t="shared" ca="1" si="755"/>
        <v>3.1111111111111239E-3</v>
      </c>
      <c r="EO67" s="43">
        <f t="shared" ca="1" si="742"/>
        <v>1</v>
      </c>
      <c r="EP67" s="39">
        <f t="shared" ca="1" si="743"/>
        <v>28.469715868917302</v>
      </c>
      <c r="EQ67" s="39">
        <f t="shared" ca="1" si="754"/>
        <v>3.4697158689173015</v>
      </c>
      <c r="ER67" s="153">
        <f t="shared" ca="1" si="756"/>
        <v>7.7104797087051147E-2</v>
      </c>
      <c r="ET67" s="37"/>
      <c r="EU67" s="1360">
        <f t="shared" ref="EU67:EU130" ca="1" si="774">IF(EX67&lt;$G$1-5*365.25,1,0)</f>
        <v>0</v>
      </c>
      <c r="EV67" s="173">
        <v>60</v>
      </c>
      <c r="EW67" s="747">
        <v>30</v>
      </c>
      <c r="EX67" s="55">
        <v>42644</v>
      </c>
      <c r="EY67" s="55">
        <f t="shared" si="762"/>
        <v>53601.5</v>
      </c>
      <c r="EZ67" s="61">
        <f t="shared" ca="1" si="763"/>
        <v>4</v>
      </c>
      <c r="FA67" s="37" t="s">
        <v>1589</v>
      </c>
      <c r="FB67" s="39">
        <v>60.02</v>
      </c>
      <c r="FC67" s="39">
        <f t="shared" si="764"/>
        <v>2.0000000000003126E-2</v>
      </c>
      <c r="FD67" s="40">
        <f t="shared" si="765"/>
        <v>3.3333333333329662E-4</v>
      </c>
      <c r="FE67" s="39">
        <f t="shared" ca="1" si="771"/>
        <v>5.0000000000007816E-3</v>
      </c>
      <c r="FF67" s="43">
        <f t="shared" ca="1" si="767"/>
        <v>0</v>
      </c>
      <c r="FR67" s="438"/>
      <c r="FS67" s="550">
        <v>6</v>
      </c>
      <c r="FT67" s="58">
        <v>1</v>
      </c>
      <c r="FU67" s="38">
        <v>1</v>
      </c>
      <c r="FV67" s="38">
        <f t="shared" ref="FV67:FV78" si="775">(1+$FY$2/2)^(FU67/6)</f>
        <v>1.0002498438930771</v>
      </c>
      <c r="FW67" s="39">
        <f>$FW$65*FV67</f>
        <v>25.383881825366547</v>
      </c>
      <c r="FX67" s="153"/>
      <c r="GE67" s="144"/>
    </row>
    <row r="68" spans="2:187">
      <c r="C68" s="679">
        <f>F68/E68</f>
        <v>8.1559818935185401E-3</v>
      </c>
      <c r="D68" s="687" t="s">
        <v>717</v>
      </c>
      <c r="E68" s="688">
        <v>99.191000000000003</v>
      </c>
      <c r="F68" s="689">
        <f t="shared" si="772"/>
        <v>0.8089999999999975</v>
      </c>
      <c r="G68" s="690">
        <v>1</v>
      </c>
      <c r="H68" s="691">
        <f>F68*G68+F68</f>
        <v>1.617999999999995</v>
      </c>
      <c r="I68" s="692">
        <f>RANK(H68,$H$65:$H$68)</f>
        <v>1</v>
      </c>
      <c r="J68" s="28"/>
      <c r="R68" s="153"/>
      <c r="AZ68" s="62"/>
      <c r="BB68" s="38"/>
      <c r="BC68" s="38"/>
      <c r="BD68" s="38"/>
      <c r="BE68" s="38"/>
      <c r="BF68" s="38"/>
      <c r="BG68" s="38"/>
      <c r="BH68" s="38"/>
      <c r="BI68" s="38"/>
      <c r="BJ68" s="38"/>
      <c r="BK68" s="38"/>
      <c r="BL68" s="38"/>
      <c r="BM68" s="38"/>
      <c r="BN68" s="38"/>
      <c r="BO68" s="38"/>
      <c r="BP68" s="38"/>
      <c r="BQ68" s="38"/>
      <c r="BT68" s="38"/>
      <c r="BU68" s="38"/>
      <c r="BW68" s="62"/>
      <c r="BY68" s="62"/>
      <c r="BZ68" s="62"/>
      <c r="CA68" s="62"/>
      <c r="CB68" s="62"/>
      <c r="CC68" s="160"/>
      <c r="CD68" s="165"/>
      <c r="CE68" s="62"/>
      <c r="CF68" s="39"/>
      <c r="CG68" s="62"/>
      <c r="CH68" s="62"/>
      <c r="CK68" s="38"/>
      <c r="CL68" s="38"/>
      <c r="CM68" s="38"/>
      <c r="CN68" s="38"/>
      <c r="CO68" s="39"/>
      <c r="CP68" s="39"/>
      <c r="CQ68" s="62"/>
      <c r="CR68" s="62"/>
      <c r="CS68" s="62"/>
      <c r="CT68" s="62"/>
      <c r="CU68" s="62"/>
      <c r="CV68" s="62"/>
      <c r="CY68" s="392"/>
      <c r="CZ68" s="53"/>
      <c r="DC68" s="38"/>
      <c r="DD68" s="38"/>
      <c r="DE68" s="53"/>
      <c r="DF68" s="171"/>
      <c r="DG68" s="62"/>
      <c r="DH68" s="62"/>
      <c r="DI68" s="62"/>
      <c r="DJ68" s="62"/>
      <c r="DK68" s="62"/>
      <c r="DL68" s="62"/>
      <c r="DM68" s="62"/>
      <c r="DN68" s="62"/>
      <c r="DO68" s="153"/>
      <c r="DP68" s="153"/>
      <c r="DQ68" s="53"/>
      <c r="DR68" s="53"/>
      <c r="EA68" s="38"/>
      <c r="EC68" s="380">
        <f t="shared" ca="1" si="773"/>
        <v>0</v>
      </c>
      <c r="ED68" s="73">
        <v>25</v>
      </c>
      <c r="EE68" s="38">
        <v>30</v>
      </c>
      <c r="EF68" s="54">
        <v>41395</v>
      </c>
      <c r="EG68" s="55">
        <f t="shared" si="393"/>
        <v>52352.5</v>
      </c>
      <c r="EH68" s="61" t="s">
        <v>122</v>
      </c>
      <c r="EI68" s="61">
        <f t="shared" ca="1" si="739"/>
        <v>45</v>
      </c>
      <c r="EJ68" s="1" t="s">
        <v>314</v>
      </c>
      <c r="EK68" s="39">
        <v>25.14</v>
      </c>
      <c r="EL68" s="39">
        <f t="shared" si="760"/>
        <v>0.14000000000000057</v>
      </c>
      <c r="EM68" s="40">
        <f t="shared" si="761"/>
        <v>5.6000000000000494E-3</v>
      </c>
      <c r="EN68" s="39">
        <f t="shared" ca="1" si="755"/>
        <v>3.1111111111111239E-3</v>
      </c>
      <c r="EO68" s="43">
        <f t="shared" ca="1" si="742"/>
        <v>1</v>
      </c>
      <c r="EP68" s="39">
        <f t="shared" ca="1" si="743"/>
        <v>28.469715868917302</v>
      </c>
      <c r="EQ68" s="39">
        <f t="shared" ca="1" si="754"/>
        <v>3.4697158689173015</v>
      </c>
      <c r="ER68" s="153">
        <f t="shared" ca="1" si="756"/>
        <v>7.7104797087051147E-2</v>
      </c>
      <c r="ET68" s="37"/>
      <c r="EU68" s="1360">
        <f t="shared" ca="1" si="774"/>
        <v>0</v>
      </c>
      <c r="EV68" s="173">
        <v>60</v>
      </c>
      <c r="EW68" s="747">
        <v>30</v>
      </c>
      <c r="EX68" s="55">
        <v>42614</v>
      </c>
      <c r="EY68" s="55">
        <f t="shared" si="762"/>
        <v>53571.5</v>
      </c>
      <c r="EZ68" s="61">
        <f t="shared" ca="1" si="763"/>
        <v>5</v>
      </c>
      <c r="FA68" s="37" t="s">
        <v>1581</v>
      </c>
      <c r="FB68" s="39">
        <v>60.02</v>
      </c>
      <c r="FC68" s="39">
        <f t="shared" si="764"/>
        <v>2.0000000000003126E-2</v>
      </c>
      <c r="FD68" s="40">
        <f t="shared" si="765"/>
        <v>3.3333333333329662E-4</v>
      </c>
      <c r="FE68" s="39">
        <f t="shared" ref="FE68:FE131" ca="1" si="776">FC68/EZ68</f>
        <v>4.0000000000006255E-3</v>
      </c>
      <c r="FF68" s="43">
        <f t="shared" ca="1" si="767"/>
        <v>0</v>
      </c>
      <c r="FR68" s="438"/>
      <c r="FS68" s="550">
        <v>6</v>
      </c>
      <c r="FT68" s="58">
        <v>1</v>
      </c>
      <c r="FU68" s="38">
        <v>2</v>
      </c>
      <c r="FV68" s="38">
        <f t="shared" si="775"/>
        <v>1.0004997502081252</v>
      </c>
      <c r="FW68" s="39">
        <f t="shared" ref="FW68:FW72" si="777">$FW$65*FV68</f>
        <v>25.39022383322321</v>
      </c>
      <c r="FX68" s="153"/>
      <c r="GE68" s="144"/>
    </row>
    <row r="69" spans="2:187">
      <c r="C69" s="679"/>
      <c r="D69" s="487" t="s">
        <v>697</v>
      </c>
      <c r="E69" s="1251" t="s">
        <v>1370</v>
      </c>
      <c r="F69" s="136" t="s">
        <v>719</v>
      </c>
      <c r="G69" s="136" t="s">
        <v>718</v>
      </c>
      <c r="H69" s="681" t="s">
        <v>720</v>
      </c>
      <c r="I69" s="685" t="s">
        <v>694</v>
      </c>
      <c r="J69" s="28"/>
      <c r="R69" s="153"/>
      <c r="AZ69" s="62"/>
      <c r="BB69" s="38"/>
      <c r="BC69" s="38"/>
      <c r="BD69" s="38"/>
      <c r="BE69" s="38"/>
      <c r="BF69" s="38"/>
      <c r="BG69" s="38"/>
      <c r="BH69" s="38"/>
      <c r="BI69" s="38"/>
      <c r="BJ69" s="38"/>
      <c r="BK69" s="38"/>
      <c r="BL69" s="38"/>
      <c r="BM69" s="38"/>
      <c r="BN69" s="38"/>
      <c r="BO69" s="38"/>
      <c r="BP69" s="38"/>
      <c r="BQ69" s="38"/>
      <c r="BT69" s="38"/>
      <c r="BU69" s="38"/>
      <c r="BW69" s="62"/>
      <c r="BY69" s="62"/>
      <c r="BZ69" s="62"/>
      <c r="CA69" s="62"/>
      <c r="CB69" s="62"/>
      <c r="CC69" s="160"/>
      <c r="CD69" s="165"/>
      <c r="CE69" s="62"/>
      <c r="CG69" s="62"/>
      <c r="CH69" s="62"/>
      <c r="CK69" s="38"/>
      <c r="CL69" s="38"/>
      <c r="CM69" s="38"/>
      <c r="CN69" s="38"/>
      <c r="CO69" s="39"/>
      <c r="CP69" s="472"/>
      <c r="CQ69" s="473"/>
      <c r="CR69" s="62"/>
      <c r="CS69" s="62"/>
      <c r="CT69" s="62"/>
      <c r="CU69" s="62"/>
      <c r="CV69" s="154"/>
      <c r="CY69" s="392"/>
      <c r="CZ69" s="53"/>
      <c r="DC69" s="38"/>
      <c r="DD69" s="38"/>
      <c r="DE69" s="53"/>
      <c r="DF69" s="171"/>
      <c r="DG69" s="62"/>
      <c r="DH69" s="62"/>
      <c r="DI69" s="62"/>
      <c r="DJ69" s="62"/>
      <c r="DK69" s="62"/>
      <c r="DL69" s="62"/>
      <c r="DM69" s="62"/>
      <c r="DN69" s="38"/>
      <c r="DO69" s="153"/>
      <c r="DP69" s="153"/>
      <c r="DQ69" s="53"/>
      <c r="DR69" s="53"/>
      <c r="EA69" s="38"/>
      <c r="EC69" s="380">
        <f t="shared" ca="1" si="773"/>
        <v>0</v>
      </c>
      <c r="ED69" s="73">
        <v>25</v>
      </c>
      <c r="EE69" s="38">
        <v>30</v>
      </c>
      <c r="EF69" s="54">
        <v>41365</v>
      </c>
      <c r="EG69" s="55">
        <f t="shared" si="393"/>
        <v>52322.5</v>
      </c>
      <c r="EH69" s="61" t="s">
        <v>122</v>
      </c>
      <c r="EI69" s="61">
        <f t="shared" ca="1" si="739"/>
        <v>46</v>
      </c>
      <c r="EJ69" s="61" t="s">
        <v>295</v>
      </c>
      <c r="EK69" s="39">
        <v>25.14</v>
      </c>
      <c r="EL69" s="39">
        <f t="shared" si="760"/>
        <v>0.14000000000000057</v>
      </c>
      <c r="EM69" s="40">
        <f t="shared" si="761"/>
        <v>5.6000000000000494E-3</v>
      </c>
      <c r="EN69" s="39">
        <f t="shared" ca="1" si="755"/>
        <v>3.0434782608695777E-3</v>
      </c>
      <c r="EO69" s="43">
        <f t="shared" ca="1" si="742"/>
        <v>1</v>
      </c>
      <c r="EP69" s="39">
        <f t="shared" ca="1" si="743"/>
        <v>28.552058482769294</v>
      </c>
      <c r="EQ69" s="39">
        <f t="shared" ca="1" si="754"/>
        <v>3.5520584827692936</v>
      </c>
      <c r="ER69" s="153">
        <f t="shared" ca="1" si="756"/>
        <v>7.7218662668897681E-2</v>
      </c>
      <c r="ET69" s="37"/>
      <c r="EU69" s="1360">
        <f t="shared" ca="1" si="774"/>
        <v>0</v>
      </c>
      <c r="EV69" s="173">
        <v>60</v>
      </c>
      <c r="EW69" s="747">
        <v>30</v>
      </c>
      <c r="EX69" s="55">
        <v>42614</v>
      </c>
      <c r="EY69" s="55">
        <f t="shared" si="762"/>
        <v>53571.5</v>
      </c>
      <c r="EZ69" s="61">
        <f t="shared" ca="1" si="763"/>
        <v>5</v>
      </c>
      <c r="FA69" s="37" t="s">
        <v>1582</v>
      </c>
      <c r="FB69" s="39">
        <v>60.02</v>
      </c>
      <c r="FC69" s="39">
        <f t="shared" si="764"/>
        <v>2.0000000000003126E-2</v>
      </c>
      <c r="FD69" s="40">
        <f t="shared" si="765"/>
        <v>3.3333333333329662E-4</v>
      </c>
      <c r="FE69" s="39">
        <f t="shared" ca="1" si="776"/>
        <v>4.0000000000006255E-3</v>
      </c>
      <c r="FF69" s="43">
        <f t="shared" ca="1" si="767"/>
        <v>0</v>
      </c>
      <c r="FR69" s="438"/>
      <c r="FS69" s="550">
        <v>6</v>
      </c>
      <c r="FT69" s="58">
        <v>1</v>
      </c>
      <c r="FU69" s="38">
        <v>3</v>
      </c>
      <c r="FV69" s="38">
        <f t="shared" si="775"/>
        <v>1.0007497189607399</v>
      </c>
      <c r="FW69" s="39">
        <f t="shared" si="777"/>
        <v>25.396567425591801</v>
      </c>
      <c r="FX69" s="153"/>
      <c r="GE69" s="144"/>
    </row>
    <row r="70" spans="2:187">
      <c r="C70" s="679">
        <f>F70/E70</f>
        <v>4.0016006402567283E-4</v>
      </c>
      <c r="D70" s="192" t="s">
        <v>715</v>
      </c>
      <c r="E70" s="544">
        <f>ROUND(E65,2)</f>
        <v>99.96</v>
      </c>
      <c r="F70" s="544">
        <f>100-E70</f>
        <v>4.0000000000006253E-2</v>
      </c>
      <c r="G70" s="81">
        <v>25</v>
      </c>
      <c r="H70" s="484">
        <f>F70*G70+F70</f>
        <v>1.0400000000001626</v>
      </c>
      <c r="I70" s="684">
        <f>RANK(H70,$H$70:$H$73)</f>
        <v>3</v>
      </c>
      <c r="J70" s="42" t="s">
        <v>2184</v>
      </c>
      <c r="R70" s="153"/>
      <c r="AZ70" s="38"/>
      <c r="BB70" s="38"/>
      <c r="BC70" s="38"/>
      <c r="BD70" s="38"/>
      <c r="BE70" s="38"/>
      <c r="BF70" s="38"/>
      <c r="BG70" s="38"/>
      <c r="BH70" s="38"/>
      <c r="BI70" s="38"/>
      <c r="BJ70" s="38"/>
      <c r="BK70" s="38"/>
      <c r="BL70" s="38"/>
      <c r="BM70" s="38"/>
      <c r="BN70" s="38"/>
      <c r="BO70" s="38"/>
      <c r="BP70" s="38"/>
      <c r="BQ70" s="38"/>
      <c r="BT70" s="38"/>
      <c r="BU70" s="38"/>
      <c r="BW70" s="62"/>
      <c r="BY70" s="62"/>
      <c r="BZ70" s="62"/>
      <c r="CA70" s="62"/>
      <c r="CB70" s="62"/>
      <c r="CC70" s="160"/>
      <c r="CD70" s="165"/>
      <c r="CE70" s="62"/>
      <c r="CG70" s="62"/>
      <c r="CH70" s="62"/>
      <c r="CK70" s="38"/>
      <c r="CL70" s="38"/>
      <c r="CM70" s="38"/>
      <c r="CN70" s="38"/>
      <c r="CO70" s="62"/>
      <c r="CP70" s="477"/>
      <c r="CQ70" s="239"/>
      <c r="CR70" s="62"/>
      <c r="CS70" s="62"/>
      <c r="CT70" s="62"/>
      <c r="CU70" s="62"/>
      <c r="CV70" s="62"/>
      <c r="CY70" s="392"/>
      <c r="CZ70" s="53"/>
      <c r="DC70" s="38"/>
      <c r="DD70" s="38"/>
      <c r="DE70" s="53"/>
      <c r="DF70" s="171"/>
      <c r="DG70" s="62"/>
      <c r="DH70" s="62"/>
      <c r="DI70" s="62"/>
      <c r="DJ70" s="62"/>
      <c r="DK70" s="62"/>
      <c r="DL70" s="62"/>
      <c r="DM70" s="62"/>
      <c r="DN70" s="62"/>
      <c r="DO70" s="153"/>
      <c r="DP70" s="153"/>
      <c r="DQ70" s="53"/>
      <c r="DR70" s="53"/>
      <c r="EA70" s="38"/>
      <c r="EC70" s="380">
        <f t="shared" ca="1" si="773"/>
        <v>0</v>
      </c>
      <c r="ED70" s="73">
        <v>25</v>
      </c>
      <c r="EE70" s="38">
        <v>30</v>
      </c>
      <c r="EF70" s="54">
        <v>41334</v>
      </c>
      <c r="EG70" s="55">
        <f t="shared" si="393"/>
        <v>52291.5</v>
      </c>
      <c r="EH70" s="61" t="s">
        <v>122</v>
      </c>
      <c r="EI70" s="61">
        <f t="shared" ca="1" si="739"/>
        <v>47</v>
      </c>
      <c r="EJ70" s="61" t="s">
        <v>250</v>
      </c>
      <c r="EK70" s="39">
        <v>25.14</v>
      </c>
      <c r="EL70" s="39">
        <f t="shared" si="760"/>
        <v>0.14000000000000057</v>
      </c>
      <c r="EM70" s="40">
        <f t="shared" si="761"/>
        <v>5.6000000000000494E-3</v>
      </c>
      <c r="EN70" s="39">
        <f t="shared" ca="1" si="755"/>
        <v>2.9787234042553314E-3</v>
      </c>
      <c r="EO70" s="43">
        <f t="shared" ca="1" si="742"/>
        <v>1</v>
      </c>
      <c r="EP70" s="39">
        <f t="shared" ca="1" si="743"/>
        <v>28.634639255164469</v>
      </c>
      <c r="EQ70" s="39">
        <f t="shared" ca="1" si="754"/>
        <v>3.6346392551644691</v>
      </c>
      <c r="ER70" s="153">
        <f t="shared" ca="1" si="756"/>
        <v>7.7332750109882317E-2</v>
      </c>
      <c r="ET70" s="37"/>
      <c r="EU70" s="1360">
        <f t="shared" ca="1" si="774"/>
        <v>0</v>
      </c>
      <c r="EV70" s="173">
        <v>60</v>
      </c>
      <c r="EW70" s="747">
        <v>30</v>
      </c>
      <c r="EX70" s="55">
        <v>42614</v>
      </c>
      <c r="EY70" s="55">
        <f t="shared" si="762"/>
        <v>53571.5</v>
      </c>
      <c r="EZ70" s="61">
        <f t="shared" ca="1" si="763"/>
        <v>5</v>
      </c>
      <c r="FA70" s="37" t="s">
        <v>1583</v>
      </c>
      <c r="FB70" s="39">
        <v>60.02</v>
      </c>
      <c r="FC70" s="39">
        <f t="shared" si="764"/>
        <v>2.0000000000003126E-2</v>
      </c>
      <c r="FD70" s="40">
        <f t="shared" si="765"/>
        <v>3.3333333333329662E-4</v>
      </c>
      <c r="FE70" s="39">
        <f t="shared" ca="1" si="776"/>
        <v>4.0000000000006255E-3</v>
      </c>
      <c r="FF70" s="43">
        <f t="shared" ca="1" si="767"/>
        <v>0</v>
      </c>
      <c r="FR70" s="438"/>
      <c r="FS70" s="550">
        <v>6</v>
      </c>
      <c r="FT70" s="58">
        <v>1</v>
      </c>
      <c r="FU70" s="38">
        <v>4</v>
      </c>
      <c r="FV70" s="38">
        <f t="shared" si="775"/>
        <v>1.0009997501665211</v>
      </c>
      <c r="FW70" s="39">
        <f t="shared" si="777"/>
        <v>25.402912602868213</v>
      </c>
      <c r="FX70" s="153"/>
      <c r="GE70" s="144"/>
    </row>
    <row r="71" spans="2:187">
      <c r="C71" s="679">
        <f>F71/E71</f>
        <v>1.3016921998597721E-3</v>
      </c>
      <c r="D71" s="192" t="s">
        <v>714</v>
      </c>
      <c r="E71" s="544">
        <f>ROUND(E66,2)</f>
        <v>99.87</v>
      </c>
      <c r="F71" s="544">
        <f>100-E71</f>
        <v>0.12999999999999545</v>
      </c>
      <c r="G71" s="486">
        <v>7</v>
      </c>
      <c r="H71" s="484">
        <f>F71*G71+F71</f>
        <v>1.0399999999999636</v>
      </c>
      <c r="I71" s="684">
        <f>RANK(H71,$H$70:$H$73)</f>
        <v>4</v>
      </c>
      <c r="J71" s="1200">
        <f>H70-F70</f>
        <v>1.0000000000001563</v>
      </c>
      <c r="R71" s="153"/>
      <c r="AG71" s="38"/>
      <c r="AH71" s="38"/>
      <c r="AI71" s="38"/>
      <c r="AJ71" s="38"/>
      <c r="AK71" s="38"/>
      <c r="AL71" s="38"/>
      <c r="AM71" s="38"/>
      <c r="AN71" s="38"/>
      <c r="AO71" s="38"/>
      <c r="AP71" s="38"/>
      <c r="AQ71" s="38"/>
      <c r="AR71" s="38"/>
      <c r="AS71" s="38"/>
      <c r="AT71" s="38"/>
      <c r="AU71" s="38"/>
      <c r="AV71" s="38"/>
      <c r="AW71" s="38"/>
      <c r="AX71" s="38"/>
      <c r="AY71" s="38"/>
      <c r="AZ71" s="62"/>
      <c r="BB71" s="38"/>
      <c r="BC71" s="38"/>
      <c r="BD71" s="38"/>
      <c r="BE71" s="38"/>
      <c r="BF71" s="38"/>
      <c r="BG71" s="38"/>
      <c r="BH71" s="38"/>
      <c r="BI71" s="38"/>
      <c r="BJ71" s="38"/>
      <c r="BK71" s="38"/>
      <c r="BL71" s="38"/>
      <c r="BM71" s="38"/>
      <c r="BN71" s="38"/>
      <c r="BO71" s="38"/>
      <c r="BP71" s="38"/>
      <c r="BQ71" s="38"/>
      <c r="BR71" s="38"/>
      <c r="BS71" s="38"/>
      <c r="BT71" s="38"/>
      <c r="BU71" s="38"/>
      <c r="BW71" s="62"/>
      <c r="BY71" s="62"/>
      <c r="BZ71" s="62"/>
      <c r="CA71" s="62"/>
      <c r="CB71" s="62"/>
      <c r="CC71" s="160"/>
      <c r="CD71" s="165"/>
      <c r="CE71" s="62"/>
      <c r="CG71" s="62"/>
      <c r="CH71" s="62"/>
      <c r="CK71" s="38"/>
      <c r="CL71" s="38"/>
      <c r="CM71" s="38"/>
      <c r="CN71" s="38"/>
      <c r="CO71" s="62"/>
      <c r="CP71" s="472"/>
      <c r="CQ71" s="474"/>
      <c r="CR71" s="62"/>
      <c r="CS71" s="62"/>
      <c r="CT71" s="62"/>
      <c r="CU71" s="62"/>
      <c r="CV71" s="62"/>
      <c r="CY71" s="392"/>
      <c r="CZ71" s="53"/>
      <c r="DC71" s="38"/>
      <c r="DD71" s="38"/>
      <c r="DE71" s="53"/>
      <c r="DF71" s="171"/>
      <c r="DG71" s="62"/>
      <c r="DH71" s="62"/>
      <c r="DI71" s="62"/>
      <c r="DJ71" s="62"/>
      <c r="DK71" s="62"/>
      <c r="DL71" s="62"/>
      <c r="DM71" s="62"/>
      <c r="DO71" s="153"/>
      <c r="DP71" s="153"/>
      <c r="DQ71" s="53"/>
      <c r="DR71" s="53"/>
      <c r="EA71" s="38"/>
      <c r="EC71" s="380">
        <f t="shared" ca="1" si="773"/>
        <v>0</v>
      </c>
      <c r="ED71" s="73">
        <v>25</v>
      </c>
      <c r="EE71" s="38">
        <v>30</v>
      </c>
      <c r="EF71" s="54">
        <v>41306</v>
      </c>
      <c r="EG71" s="55">
        <f t="shared" si="393"/>
        <v>52263.5</v>
      </c>
      <c r="EH71" s="61" t="s">
        <v>122</v>
      </c>
      <c r="EI71" s="61">
        <f t="shared" ca="1" si="739"/>
        <v>48</v>
      </c>
      <c r="EJ71" s="61" t="s">
        <v>237</v>
      </c>
      <c r="EK71" s="39">
        <v>25.16</v>
      </c>
      <c r="EL71" s="39">
        <f t="shared" si="760"/>
        <v>0.16000000000000014</v>
      </c>
      <c r="EM71" s="40">
        <f t="shared" si="761"/>
        <v>6.3999999999999613E-3</v>
      </c>
      <c r="EN71" s="39">
        <f t="shared" ca="1" si="755"/>
        <v>3.3333333333333361E-3</v>
      </c>
      <c r="EO71" s="43">
        <f t="shared" ca="1" si="742"/>
        <v>1</v>
      </c>
      <c r="EP71" s="39">
        <f t="shared" ca="1" si="743"/>
        <v>28.717458874925882</v>
      </c>
      <c r="EQ71" s="39">
        <f t="shared" ca="1" si="754"/>
        <v>3.7174588749258817</v>
      </c>
      <c r="ER71" s="153">
        <f t="shared" ca="1" si="756"/>
        <v>7.7447059894289197E-2</v>
      </c>
      <c r="ET71" s="37"/>
      <c r="EU71" s="1360">
        <f t="shared" ca="1" si="774"/>
        <v>0</v>
      </c>
      <c r="EV71" s="173">
        <v>60</v>
      </c>
      <c r="EW71" s="747">
        <v>30</v>
      </c>
      <c r="EX71" s="55">
        <v>42614</v>
      </c>
      <c r="EY71" s="55">
        <f t="shared" si="762"/>
        <v>53571.5</v>
      </c>
      <c r="EZ71" s="61">
        <f t="shared" ca="1" si="763"/>
        <v>5</v>
      </c>
      <c r="FA71" s="37" t="s">
        <v>1584</v>
      </c>
      <c r="FB71" s="39">
        <v>60.02</v>
      </c>
      <c r="FC71" s="39">
        <f t="shared" si="764"/>
        <v>2.0000000000003126E-2</v>
      </c>
      <c r="FD71" s="40">
        <f t="shared" si="765"/>
        <v>3.3333333333329662E-4</v>
      </c>
      <c r="FE71" s="39">
        <f t="shared" ca="1" si="776"/>
        <v>4.0000000000006255E-3</v>
      </c>
      <c r="FF71" s="43">
        <f t="shared" ca="1" si="767"/>
        <v>0</v>
      </c>
      <c r="FR71" s="438"/>
      <c r="FS71" s="550">
        <v>6</v>
      </c>
      <c r="FT71" s="58">
        <v>1</v>
      </c>
      <c r="FU71" s="38">
        <v>5</v>
      </c>
      <c r="FV71" s="38">
        <f t="shared" si="775"/>
        <v>1.001249843841072</v>
      </c>
      <c r="FW71" s="39">
        <f t="shared" si="777"/>
        <v>25.40925936544841</v>
      </c>
      <c r="FX71" s="153"/>
      <c r="GE71" s="144"/>
    </row>
    <row r="72" spans="2:187">
      <c r="C72" s="679">
        <f>F72/E72</f>
        <v>3.210272873194153E-3</v>
      </c>
      <c r="D72" s="192" t="s">
        <v>716</v>
      </c>
      <c r="E72" s="544">
        <f>ROUND(E67,2)</f>
        <v>99.68</v>
      </c>
      <c r="F72" s="544">
        <f>100-E72</f>
        <v>0.31999999999999318</v>
      </c>
      <c r="G72" s="81">
        <v>3</v>
      </c>
      <c r="H72" s="484">
        <f>F72*G72+F72</f>
        <v>1.2799999999999727</v>
      </c>
      <c r="I72" s="684">
        <f>RANK(H72,$H$70:$H$73)</f>
        <v>2</v>
      </c>
      <c r="J72" s="1200">
        <f>H71-F71</f>
        <v>0.90999999999996817</v>
      </c>
      <c r="R72" s="153"/>
      <c r="AG72" s="38"/>
      <c r="AH72" s="38"/>
      <c r="AI72" s="38"/>
      <c r="AJ72" s="38"/>
      <c r="AK72" s="38"/>
      <c r="AL72" s="38"/>
      <c r="AM72" s="38"/>
      <c r="AN72" s="38"/>
      <c r="AO72" s="38"/>
      <c r="AP72" s="38"/>
      <c r="AQ72" s="38"/>
      <c r="AR72" s="38"/>
      <c r="AS72" s="38"/>
      <c r="AT72" s="38"/>
      <c r="AU72" s="38"/>
      <c r="AV72" s="38"/>
      <c r="AW72" s="38"/>
      <c r="AX72" s="38"/>
      <c r="AY72" s="38"/>
      <c r="BB72" s="38"/>
      <c r="BC72" s="38"/>
      <c r="BD72" s="38"/>
      <c r="BE72" s="38"/>
      <c r="BF72" s="38"/>
      <c r="BG72" s="38"/>
      <c r="BH72" s="38"/>
      <c r="BI72" s="38"/>
      <c r="BJ72" s="38"/>
      <c r="BK72" s="38"/>
      <c r="BL72" s="38"/>
      <c r="BM72" s="38"/>
      <c r="BN72" s="38"/>
      <c r="BO72" s="38"/>
      <c r="BP72" s="38"/>
      <c r="BQ72" s="38"/>
      <c r="BR72" s="38"/>
      <c r="BS72" s="38"/>
      <c r="BT72" s="38"/>
      <c r="BU72" s="38"/>
      <c r="BW72" s="62"/>
      <c r="BY72" s="62"/>
      <c r="BZ72" s="62"/>
      <c r="CA72" s="62"/>
      <c r="CB72" s="62"/>
      <c r="CC72" s="160"/>
      <c r="CD72" s="165"/>
      <c r="CE72" s="62"/>
      <c r="CG72" s="38"/>
      <c r="CH72" s="38"/>
      <c r="CK72" s="38"/>
      <c r="CL72" s="38"/>
      <c r="CM72" s="38"/>
      <c r="CN72" s="38"/>
      <c r="CO72" s="62"/>
      <c r="CP72" s="472"/>
      <c r="CQ72" s="475"/>
      <c r="CR72" s="62"/>
      <c r="CS72" s="62"/>
      <c r="CT72" s="62"/>
      <c r="CU72" s="62"/>
      <c r="CV72" s="481"/>
      <c r="CY72" s="392"/>
      <c r="CZ72" s="53"/>
      <c r="DC72" s="38"/>
      <c r="DD72" s="38"/>
      <c r="DE72" s="53"/>
      <c r="DF72" s="171"/>
      <c r="DG72" s="62"/>
      <c r="DH72" s="62"/>
      <c r="DI72" s="62"/>
      <c r="DJ72" s="62"/>
      <c r="DK72" s="62"/>
      <c r="DL72" s="62"/>
      <c r="DM72" s="62"/>
      <c r="DO72" s="153"/>
      <c r="DP72" s="153"/>
      <c r="DQ72" s="53"/>
      <c r="DR72" s="53"/>
      <c r="EA72" s="38"/>
      <c r="EC72" s="380">
        <f t="shared" ca="1" si="773"/>
        <v>0</v>
      </c>
      <c r="ED72" s="73">
        <v>25</v>
      </c>
      <c r="EE72" s="38">
        <v>30</v>
      </c>
      <c r="EF72" s="54">
        <v>41306</v>
      </c>
      <c r="EG72" s="55">
        <f t="shared" si="393"/>
        <v>52263.5</v>
      </c>
      <c r="EH72" s="61" t="s">
        <v>122</v>
      </c>
      <c r="EI72" s="61">
        <f t="shared" ca="1" si="739"/>
        <v>48</v>
      </c>
      <c r="EJ72" s="61" t="s">
        <v>239</v>
      </c>
      <c r="EK72" s="39">
        <v>25.16</v>
      </c>
      <c r="EL72" s="39">
        <f t="shared" si="760"/>
        <v>0.16000000000000014</v>
      </c>
      <c r="EM72" s="40">
        <f t="shared" si="761"/>
        <v>6.3999999999999613E-3</v>
      </c>
      <c r="EN72" s="39">
        <f t="shared" ca="1" si="755"/>
        <v>3.3333333333333361E-3</v>
      </c>
      <c r="EO72" s="43">
        <f t="shared" ca="1" si="742"/>
        <v>1</v>
      </c>
      <c r="EP72" s="39">
        <f t="shared" ca="1" si="743"/>
        <v>28.717458874925882</v>
      </c>
      <c r="EQ72" s="39">
        <f t="shared" ca="1" si="754"/>
        <v>3.7174588749258817</v>
      </c>
      <c r="ER72" s="153">
        <f t="shared" ca="1" si="756"/>
        <v>7.7447059894289197E-2</v>
      </c>
      <c r="ET72" s="37"/>
      <c r="EU72" s="1360">
        <f t="shared" ca="1" si="774"/>
        <v>0</v>
      </c>
      <c r="EV72" s="173">
        <v>60</v>
      </c>
      <c r="EW72" s="747">
        <v>30</v>
      </c>
      <c r="EX72" s="55">
        <v>42614</v>
      </c>
      <c r="EY72" s="55">
        <f t="shared" si="762"/>
        <v>53571.5</v>
      </c>
      <c r="EZ72" s="61">
        <f t="shared" ca="1" si="763"/>
        <v>5</v>
      </c>
      <c r="FA72" s="37" t="s">
        <v>1585</v>
      </c>
      <c r="FB72" s="39">
        <v>60.02</v>
      </c>
      <c r="FC72" s="39">
        <f t="shared" si="764"/>
        <v>2.0000000000003126E-2</v>
      </c>
      <c r="FD72" s="40">
        <f t="shared" si="765"/>
        <v>3.3333333333329662E-4</v>
      </c>
      <c r="FE72" s="39">
        <f t="shared" ca="1" si="776"/>
        <v>4.0000000000006255E-3</v>
      </c>
      <c r="FF72" s="43">
        <f t="shared" ca="1" si="767"/>
        <v>0</v>
      </c>
      <c r="FR72" s="438"/>
      <c r="FS72" s="550">
        <v>6</v>
      </c>
      <c r="FT72" s="58">
        <v>1</v>
      </c>
      <c r="FU72" s="38">
        <v>6</v>
      </c>
      <c r="FV72" s="38">
        <f t="shared" si="775"/>
        <v>1.0015000000000001</v>
      </c>
      <c r="FW72" s="39">
        <f t="shared" si="777"/>
        <v>25.41560771372848</v>
      </c>
      <c r="FX72" s="153"/>
      <c r="GE72" s="144"/>
    </row>
    <row r="73" spans="2:187" ht="13.5" thickBot="1">
      <c r="C73" s="679">
        <f>F73/E73</f>
        <v>8.1661457808247032E-3</v>
      </c>
      <c r="D73" s="546" t="s">
        <v>717</v>
      </c>
      <c r="E73" s="547">
        <f>ROUND(E68,2)</f>
        <v>99.19</v>
      </c>
      <c r="F73" s="547">
        <f>100-E73</f>
        <v>0.81000000000000227</v>
      </c>
      <c r="G73" s="87">
        <v>1</v>
      </c>
      <c r="H73" s="485">
        <f>F73*G73+F73</f>
        <v>1.6200000000000045</v>
      </c>
      <c r="I73" s="686">
        <f>RANK(H73,$H$70:$H$73)</f>
        <v>1</v>
      </c>
      <c r="J73" s="1200">
        <f>H72-F72</f>
        <v>0.95999999999997954</v>
      </c>
      <c r="R73" s="153"/>
      <c r="AG73" s="38"/>
      <c r="AH73" s="38"/>
      <c r="AI73" s="38"/>
      <c r="AJ73" s="38"/>
      <c r="AK73" s="38"/>
      <c r="AL73" s="38"/>
      <c r="AM73" s="38"/>
      <c r="AN73" s="38"/>
      <c r="AO73" s="38"/>
      <c r="AP73" s="38"/>
      <c r="AQ73" s="38"/>
      <c r="AR73" s="38"/>
      <c r="AS73" s="38"/>
      <c r="AT73" s="38"/>
      <c r="AU73" s="38"/>
      <c r="AV73" s="38"/>
      <c r="AW73" s="38"/>
      <c r="AX73" s="38"/>
      <c r="AY73" s="38"/>
      <c r="BB73" s="38"/>
      <c r="BC73" s="38"/>
      <c r="BD73" s="38"/>
      <c r="BE73" s="38"/>
      <c r="BF73" s="38"/>
      <c r="BG73" s="38"/>
      <c r="BH73" s="38"/>
      <c r="BI73" s="38"/>
      <c r="BJ73" s="38"/>
      <c r="BK73" s="38"/>
      <c r="BL73" s="38"/>
      <c r="BM73" s="38"/>
      <c r="BN73" s="38"/>
      <c r="BO73" s="38"/>
      <c r="BP73" s="38"/>
      <c r="BQ73" s="38"/>
      <c r="BR73" s="38"/>
      <c r="BS73" s="38"/>
      <c r="BT73" s="38"/>
      <c r="BU73" s="38"/>
      <c r="BW73" s="62"/>
      <c r="BY73" s="62"/>
      <c r="BZ73" s="62"/>
      <c r="CA73" s="62"/>
      <c r="CB73" s="62"/>
      <c r="CC73" s="160"/>
      <c r="CD73" s="165"/>
      <c r="CE73" s="62"/>
      <c r="CG73" s="62"/>
      <c r="CH73" s="62"/>
      <c r="CK73" s="38"/>
      <c r="CL73" s="38"/>
      <c r="CM73" s="38"/>
      <c r="CN73" s="38"/>
      <c r="CO73" s="62"/>
      <c r="CP73" s="472"/>
      <c r="CQ73" s="476"/>
      <c r="CR73" s="62"/>
      <c r="CS73" s="62"/>
      <c r="CT73" s="62"/>
      <c r="CU73" s="62"/>
      <c r="CV73" s="62"/>
      <c r="CY73" s="392"/>
      <c r="CZ73" s="53"/>
      <c r="DC73" s="38"/>
      <c r="DD73" s="38"/>
      <c r="DE73" s="38"/>
      <c r="DF73" s="154"/>
      <c r="DG73" s="38"/>
      <c r="DH73" s="38"/>
      <c r="DI73" s="38"/>
      <c r="DJ73" s="38"/>
      <c r="DK73" s="38"/>
      <c r="DL73" s="38"/>
      <c r="DM73" s="38"/>
      <c r="DO73" s="153"/>
      <c r="DP73" s="153"/>
      <c r="DQ73" s="53"/>
      <c r="DR73" s="53"/>
      <c r="EA73" s="38"/>
      <c r="EC73" s="380">
        <f t="shared" ca="1" si="773"/>
        <v>0</v>
      </c>
      <c r="ED73" s="73">
        <v>50</v>
      </c>
      <c r="EE73" s="38">
        <v>30</v>
      </c>
      <c r="EF73" s="54">
        <v>41306</v>
      </c>
      <c r="EG73" s="55">
        <f t="shared" si="393"/>
        <v>52263.5</v>
      </c>
      <c r="EH73" s="61" t="s">
        <v>122</v>
      </c>
      <c r="EI73" s="61">
        <f t="shared" ca="1" si="739"/>
        <v>48</v>
      </c>
      <c r="EJ73" s="22" t="s">
        <v>241</v>
      </c>
      <c r="EK73" s="39">
        <v>50.32</v>
      </c>
      <c r="EL73" s="39">
        <f t="shared" si="760"/>
        <v>0.32000000000000028</v>
      </c>
      <c r="EM73" s="40">
        <f t="shared" si="761"/>
        <v>6.3999999999999613E-3</v>
      </c>
      <c r="EN73" s="39">
        <f t="shared" ca="1" si="755"/>
        <v>6.6666666666666723E-3</v>
      </c>
      <c r="EO73" s="43">
        <f t="shared" ca="1" si="742"/>
        <v>1</v>
      </c>
      <c r="EP73" s="39">
        <f t="shared" ca="1" si="743"/>
        <v>57.434917749851763</v>
      </c>
      <c r="EQ73" s="39">
        <f t="shared" ca="1" si="754"/>
        <v>7.4349177498517633</v>
      </c>
      <c r="ER73" s="153">
        <f t="shared" ca="1" si="756"/>
        <v>0.15489411978857839</v>
      </c>
      <c r="ET73" s="37"/>
      <c r="EU73" s="1360">
        <f t="shared" ca="1" si="774"/>
        <v>0</v>
      </c>
      <c r="EV73" s="173">
        <v>60</v>
      </c>
      <c r="EW73" s="747">
        <v>30</v>
      </c>
      <c r="EX73" s="55">
        <v>42583</v>
      </c>
      <c r="EY73" s="55">
        <f t="shared" si="762"/>
        <v>53540.5</v>
      </c>
      <c r="EZ73" s="61">
        <f t="shared" ca="1" si="763"/>
        <v>6</v>
      </c>
      <c r="FA73" s="37" t="s">
        <v>1577</v>
      </c>
      <c r="FB73" s="39">
        <v>60.05</v>
      </c>
      <c r="FC73" s="39">
        <f t="shared" si="764"/>
        <v>4.9999999999997158E-2</v>
      </c>
      <c r="FD73" s="40">
        <f t="shared" si="765"/>
        <v>8.3333333333324155E-4</v>
      </c>
      <c r="FE73" s="39">
        <f t="shared" ca="1" si="776"/>
        <v>8.3333333333328596E-3</v>
      </c>
      <c r="FF73" s="43">
        <f t="shared" ca="1" si="767"/>
        <v>0</v>
      </c>
      <c r="FR73" s="438"/>
      <c r="FS73" s="550">
        <v>6</v>
      </c>
      <c r="FT73" s="58">
        <v>2</v>
      </c>
      <c r="FU73" s="38">
        <v>1</v>
      </c>
      <c r="FV73" s="38">
        <f t="shared" si="775"/>
        <v>1.0002498438930771</v>
      </c>
      <c r="FW73" s="39">
        <f>$FW$72*FV73</f>
        <v>25.421957648104598</v>
      </c>
      <c r="FX73" s="153"/>
      <c r="GE73" s="144"/>
    </row>
    <row r="74" spans="2:187" ht="13.5" thickBot="1">
      <c r="D74" s="391"/>
      <c r="E74" s="197"/>
      <c r="F74" s="96"/>
      <c r="G74" s="91"/>
      <c r="H74" s="96"/>
      <c r="I74" s="96"/>
      <c r="J74" s="1200">
        <f>H73-F73</f>
        <v>0.81000000000000227</v>
      </c>
      <c r="R74" s="153"/>
      <c r="AG74" s="38"/>
      <c r="AH74" s="38"/>
      <c r="AI74" s="38"/>
      <c r="AJ74" s="38"/>
      <c r="AK74" s="38"/>
      <c r="AL74" s="38"/>
      <c r="AM74" s="38"/>
      <c r="AN74" s="38"/>
      <c r="AO74" s="38"/>
      <c r="AP74" s="38"/>
      <c r="AQ74" s="38"/>
      <c r="AR74" s="38"/>
      <c r="AS74" s="38"/>
      <c r="AT74" s="38"/>
      <c r="AU74" s="38"/>
      <c r="AV74" s="38"/>
      <c r="AW74" s="38"/>
      <c r="AX74" s="38"/>
      <c r="AY74" s="38"/>
      <c r="BB74" s="38"/>
      <c r="BC74" s="38"/>
      <c r="BD74" s="38"/>
      <c r="BE74" s="38"/>
      <c r="BF74" s="38"/>
      <c r="BG74" s="38"/>
      <c r="BH74" s="38"/>
      <c r="BI74" s="38"/>
      <c r="BJ74" s="38"/>
      <c r="BK74" s="38"/>
      <c r="BL74" s="38"/>
      <c r="BM74" s="38"/>
      <c r="BN74" s="38"/>
      <c r="BO74" s="38"/>
      <c r="BP74" s="38"/>
      <c r="BQ74" s="38"/>
      <c r="BR74" s="38"/>
      <c r="BS74" s="38"/>
      <c r="BT74" s="38"/>
      <c r="BU74" s="38"/>
      <c r="BW74" s="62"/>
      <c r="BY74" s="62"/>
      <c r="BZ74" s="62"/>
      <c r="CA74" s="62"/>
      <c r="CB74" s="62"/>
      <c r="CC74" s="160"/>
      <c r="CD74" s="165"/>
      <c r="CE74" s="62"/>
      <c r="CK74" s="38"/>
      <c r="CL74" s="38"/>
      <c r="CM74" s="38"/>
      <c r="CN74" s="38"/>
      <c r="CO74" s="62"/>
      <c r="CP74" s="472"/>
      <c r="CQ74" s="474"/>
      <c r="CR74" s="62"/>
      <c r="CS74" s="62"/>
      <c r="CT74" s="62"/>
      <c r="CU74" s="62"/>
      <c r="CV74" s="62"/>
      <c r="CY74" s="392"/>
      <c r="CZ74" s="53"/>
      <c r="DC74" s="38"/>
      <c r="DD74" s="38"/>
      <c r="DE74" s="38"/>
      <c r="DF74" s="154"/>
      <c r="DG74" s="62"/>
      <c r="DH74" s="62"/>
      <c r="DI74" s="62"/>
      <c r="DJ74" s="62"/>
      <c r="DK74" s="62"/>
      <c r="DL74" s="62"/>
      <c r="DM74" s="62"/>
      <c r="DO74" s="153"/>
      <c r="DP74" s="153"/>
      <c r="DQ74" s="53"/>
      <c r="DR74" s="53"/>
      <c r="EA74" s="38"/>
      <c r="EC74" s="380">
        <f t="shared" ca="1" si="773"/>
        <v>0</v>
      </c>
      <c r="ED74" s="73">
        <v>25</v>
      </c>
      <c r="EE74" s="38">
        <v>30</v>
      </c>
      <c r="EF74" s="54">
        <v>41275</v>
      </c>
      <c r="EG74" s="55">
        <f t="shared" si="393"/>
        <v>52232.5</v>
      </c>
      <c r="EH74" s="61" t="s">
        <v>122</v>
      </c>
      <c r="EI74" s="61">
        <f t="shared" ca="1" si="739"/>
        <v>49</v>
      </c>
      <c r="EJ74" s="61" t="s">
        <v>226</v>
      </c>
      <c r="EK74" s="39">
        <v>25.16</v>
      </c>
      <c r="EL74" s="39">
        <f t="shared" si="760"/>
        <v>0.16000000000000014</v>
      </c>
      <c r="EM74" s="40">
        <f t="shared" si="761"/>
        <v>6.3999999999999613E-3</v>
      </c>
      <c r="EN74" s="39">
        <f t="shared" ca="1" si="755"/>
        <v>3.2653061224489823E-3</v>
      </c>
      <c r="EO74" s="43">
        <f t="shared" ca="1" si="742"/>
        <v>1</v>
      </c>
      <c r="EP74" s="39">
        <f t="shared" ca="1" si="743"/>
        <v>28.800518032868876</v>
      </c>
      <c r="EQ74" s="39">
        <f t="shared" ca="1" si="754"/>
        <v>3.8005180328688759</v>
      </c>
      <c r="ER74" s="153">
        <f t="shared" ca="1" si="756"/>
        <v>7.7561592507528074E-2</v>
      </c>
      <c r="ET74" s="37"/>
      <c r="EU74" s="1360">
        <f t="shared" ca="1" si="774"/>
        <v>0</v>
      </c>
      <c r="EV74" s="173">
        <v>60</v>
      </c>
      <c r="EW74" s="747">
        <v>30</v>
      </c>
      <c r="EX74" s="55">
        <v>42583</v>
      </c>
      <c r="EY74" s="55">
        <f t="shared" si="762"/>
        <v>53540.5</v>
      </c>
      <c r="EZ74" s="61">
        <f t="shared" ca="1" si="763"/>
        <v>6</v>
      </c>
      <c r="FA74" s="37" t="s">
        <v>1578</v>
      </c>
      <c r="FB74" s="39">
        <v>60.05</v>
      </c>
      <c r="FC74" s="39">
        <f t="shared" si="764"/>
        <v>4.9999999999997158E-2</v>
      </c>
      <c r="FD74" s="40">
        <f t="shared" si="765"/>
        <v>8.3333333333324155E-4</v>
      </c>
      <c r="FE74" s="39">
        <f t="shared" ca="1" si="776"/>
        <v>8.3333333333328596E-3</v>
      </c>
      <c r="FF74" s="43">
        <f t="shared" ca="1" si="767"/>
        <v>0</v>
      </c>
      <c r="FR74" s="438"/>
      <c r="FS74" s="550">
        <v>6</v>
      </c>
      <c r="FT74" s="58">
        <v>2</v>
      </c>
      <c r="FU74" s="38">
        <v>2</v>
      </c>
      <c r="FV74" s="38">
        <f t="shared" si="775"/>
        <v>1.0004997502081252</v>
      </c>
      <c r="FW74" s="39">
        <f t="shared" ref="FW74:FW78" si="778">$FW$72*FV74</f>
        <v>25.428309168973044</v>
      </c>
      <c r="FX74" s="153"/>
      <c r="GE74" s="144"/>
    </row>
    <row r="75" spans="2:187">
      <c r="D75" s="105" t="s">
        <v>160</v>
      </c>
      <c r="E75" s="111"/>
      <c r="F75" s="111"/>
      <c r="G75" s="111"/>
      <c r="H75" s="111"/>
      <c r="I75" s="112"/>
      <c r="J75" s="28"/>
      <c r="R75" s="153"/>
      <c r="AG75" s="38"/>
      <c r="AH75" s="38"/>
      <c r="AI75" s="38"/>
      <c r="AJ75" s="38"/>
      <c r="AK75" s="38"/>
      <c r="AL75" s="38"/>
      <c r="AM75" s="38"/>
      <c r="AN75" s="38"/>
      <c r="AO75" s="38"/>
      <c r="AP75" s="38"/>
      <c r="AQ75" s="38"/>
      <c r="AR75" s="38"/>
      <c r="AS75" s="38"/>
      <c r="AT75" s="38"/>
      <c r="AU75" s="38"/>
      <c r="AV75" s="38"/>
      <c r="AW75" s="38"/>
      <c r="AX75" s="38"/>
      <c r="AY75" s="38"/>
      <c r="BB75" s="38"/>
      <c r="BC75" s="38"/>
      <c r="BD75" s="38"/>
      <c r="BE75" s="38"/>
      <c r="BF75" s="38"/>
      <c r="BG75" s="38"/>
      <c r="BH75" s="38"/>
      <c r="BI75" s="38"/>
      <c r="BJ75" s="38"/>
      <c r="BK75" s="38"/>
      <c r="BL75" s="38"/>
      <c r="BM75" s="38"/>
      <c r="BN75" s="38"/>
      <c r="BO75" s="38"/>
      <c r="BP75" s="38"/>
      <c r="BQ75" s="38"/>
      <c r="BR75" s="38"/>
      <c r="BS75" s="38"/>
      <c r="BT75" s="38"/>
      <c r="BU75" s="38"/>
      <c r="BW75" s="62"/>
      <c r="BY75" s="62"/>
      <c r="BZ75" s="62"/>
      <c r="CA75" s="62"/>
      <c r="CB75" s="62"/>
      <c r="CC75" s="160"/>
      <c r="CD75" s="165"/>
      <c r="CE75" s="62"/>
      <c r="CK75" s="38"/>
      <c r="CL75" s="38"/>
      <c r="CM75" s="38"/>
      <c r="CN75" s="38"/>
      <c r="CO75" s="62"/>
      <c r="CP75" s="472"/>
      <c r="CQ75" s="474"/>
      <c r="CR75" s="62"/>
      <c r="CS75" s="62"/>
      <c r="CT75" s="62"/>
      <c r="CU75" s="62"/>
      <c r="CV75" s="62"/>
      <c r="CY75" s="392"/>
      <c r="CZ75" s="53"/>
      <c r="DC75" s="38"/>
      <c r="DD75" s="38"/>
      <c r="DE75" s="38"/>
      <c r="DF75" s="154"/>
      <c r="DH75" s="53"/>
      <c r="DO75" s="153"/>
      <c r="DP75" s="153"/>
      <c r="DQ75" s="53"/>
      <c r="DR75" s="53"/>
      <c r="EA75" s="38"/>
      <c r="EC75" s="380">
        <f t="shared" ca="1" si="773"/>
        <v>0</v>
      </c>
      <c r="ED75" s="73">
        <v>25</v>
      </c>
      <c r="EE75" s="38">
        <v>30</v>
      </c>
      <c r="EF75" s="54">
        <v>41244</v>
      </c>
      <c r="EG75" s="55">
        <f t="shared" si="393"/>
        <v>52201.5</v>
      </c>
      <c r="EH75" s="61" t="s">
        <v>122</v>
      </c>
      <c r="EI75" s="61">
        <f t="shared" ca="1" si="739"/>
        <v>50</v>
      </c>
      <c r="EJ75" s="23" t="s">
        <v>214</v>
      </c>
      <c r="EK75" s="39">
        <v>25.16</v>
      </c>
      <c r="EL75" s="39">
        <f t="shared" si="760"/>
        <v>0.16000000000000014</v>
      </c>
      <c r="EM75" s="40">
        <f t="shared" si="761"/>
        <v>6.3999999999999613E-3</v>
      </c>
      <c r="EN75" s="39">
        <f t="shared" ca="1" si="755"/>
        <v>3.2000000000000028E-3</v>
      </c>
      <c r="EO75" s="43">
        <f t="shared" ca="1" si="742"/>
        <v>1</v>
      </c>
      <c r="EP75" s="39">
        <f t="shared" ca="1" si="743"/>
        <v>28.883817421806835</v>
      </c>
      <c r="EQ75" s="39">
        <f t="shared" ca="1" si="754"/>
        <v>3.8838174218068353</v>
      </c>
      <c r="ER75" s="153">
        <f t="shared" ca="1" si="756"/>
        <v>7.7676348436136702E-2</v>
      </c>
      <c r="ET75" s="37"/>
      <c r="EU75" s="1360">
        <f t="shared" ca="1" si="774"/>
        <v>0</v>
      </c>
      <c r="EV75" s="173">
        <v>60</v>
      </c>
      <c r="EW75" s="747">
        <v>30</v>
      </c>
      <c r="EX75" s="55">
        <v>42583</v>
      </c>
      <c r="EY75" s="55">
        <f t="shared" si="762"/>
        <v>53540.5</v>
      </c>
      <c r="EZ75" s="61">
        <f t="shared" ca="1" si="763"/>
        <v>6</v>
      </c>
      <c r="FA75" s="37" t="s">
        <v>1579</v>
      </c>
      <c r="FB75" s="39">
        <v>60.05</v>
      </c>
      <c r="FC75" s="39">
        <f t="shared" si="764"/>
        <v>4.9999999999997158E-2</v>
      </c>
      <c r="FD75" s="40">
        <f t="shared" si="765"/>
        <v>8.3333333333324155E-4</v>
      </c>
      <c r="FE75" s="39">
        <f t="shared" ca="1" si="776"/>
        <v>8.3333333333328596E-3</v>
      </c>
      <c r="FF75" s="43">
        <f t="shared" ca="1" si="767"/>
        <v>0</v>
      </c>
      <c r="FR75" s="438"/>
      <c r="FS75" s="550">
        <v>6</v>
      </c>
      <c r="FT75" s="58">
        <v>2</v>
      </c>
      <c r="FU75" s="38">
        <v>3</v>
      </c>
      <c r="FV75" s="38">
        <f t="shared" si="775"/>
        <v>1.0007497189607399</v>
      </c>
      <c r="FW75" s="39">
        <f t="shared" si="778"/>
        <v>25.43466227673019</v>
      </c>
      <c r="FX75" s="67"/>
      <c r="GE75" s="144"/>
    </row>
    <row r="76" spans="2:187">
      <c r="D76" s="113"/>
      <c r="E76" s="114"/>
      <c r="F76" s="114"/>
      <c r="G76" s="114"/>
      <c r="H76" s="114"/>
      <c r="I76" s="115"/>
      <c r="R76" s="153"/>
      <c r="AG76" s="38"/>
      <c r="AH76" s="38"/>
      <c r="AI76" s="38"/>
      <c r="AJ76" s="38"/>
      <c r="AK76" s="38"/>
      <c r="AL76" s="38"/>
      <c r="AM76" s="38"/>
      <c r="AN76" s="38"/>
      <c r="AO76" s="38"/>
      <c r="AP76" s="38"/>
      <c r="AQ76" s="38"/>
      <c r="AR76" s="38"/>
      <c r="AS76" s="38"/>
      <c r="AT76" s="38"/>
      <c r="AU76" s="38"/>
      <c r="AV76" s="38"/>
      <c r="AW76" s="38"/>
      <c r="AX76" s="38"/>
      <c r="AY76" s="38"/>
      <c r="BB76" s="38"/>
      <c r="BC76" s="38"/>
      <c r="BD76" s="38"/>
      <c r="BE76" s="38"/>
      <c r="BF76" s="38"/>
      <c r="BG76" s="38"/>
      <c r="BH76" s="38"/>
      <c r="BI76" s="38"/>
      <c r="BJ76" s="38"/>
      <c r="BK76" s="38"/>
      <c r="BL76" s="38"/>
      <c r="BM76" s="38"/>
      <c r="BN76" s="38"/>
      <c r="BO76" s="38"/>
      <c r="BP76" s="38"/>
      <c r="BQ76" s="38"/>
      <c r="BR76" s="38"/>
      <c r="BS76" s="38"/>
      <c r="BT76" s="38"/>
      <c r="BU76" s="38"/>
      <c r="BW76" s="62"/>
      <c r="BY76" s="62"/>
      <c r="BZ76" s="62"/>
      <c r="CA76" s="62"/>
      <c r="CB76" s="62"/>
      <c r="CC76" s="160"/>
      <c r="CD76" s="165"/>
      <c r="CE76" s="62"/>
      <c r="CK76" s="38"/>
      <c r="CL76" s="38"/>
      <c r="CM76" s="38"/>
      <c r="CN76" s="38"/>
      <c r="CO76" s="62"/>
      <c r="CP76" s="472"/>
      <c r="CQ76" s="474"/>
      <c r="CR76" s="62"/>
      <c r="CS76" s="62"/>
      <c r="CT76" s="62"/>
      <c r="CU76" s="62"/>
      <c r="CV76" s="62"/>
      <c r="CY76" s="392"/>
      <c r="CZ76" s="53"/>
      <c r="DC76" s="38"/>
      <c r="DD76" s="38"/>
      <c r="DE76" s="38"/>
      <c r="DF76" s="154"/>
      <c r="DH76" s="53"/>
      <c r="DO76" s="153"/>
      <c r="DP76" s="153"/>
      <c r="DQ76" s="53"/>
      <c r="DR76" s="53"/>
      <c r="DS76" s="38"/>
      <c r="DT76" s="38"/>
      <c r="DU76" s="39"/>
      <c r="DV76" s="38"/>
      <c r="DW76" s="40"/>
      <c r="DX76" s="40"/>
      <c r="DY76" s="355"/>
      <c r="DZ76" s="40"/>
      <c r="EA76" s="38"/>
      <c r="EC76" s="380">
        <f t="shared" ca="1" si="773"/>
        <v>0</v>
      </c>
      <c r="ED76" s="73">
        <v>25</v>
      </c>
      <c r="EE76" s="38">
        <v>30</v>
      </c>
      <c r="EF76" s="54">
        <v>41244</v>
      </c>
      <c r="EG76" s="55">
        <f t="shared" si="393"/>
        <v>52201.5</v>
      </c>
      <c r="EH76" s="61" t="s">
        <v>122</v>
      </c>
      <c r="EI76" s="61">
        <f t="shared" ca="1" si="739"/>
        <v>50</v>
      </c>
      <c r="EJ76" s="23" t="s">
        <v>201</v>
      </c>
      <c r="EK76" s="39">
        <v>25.16</v>
      </c>
      <c r="EL76" s="39">
        <f>EK76-ED76</f>
        <v>0.16000000000000014</v>
      </c>
      <c r="EM76" s="40">
        <f>EK76/ED76-1</f>
        <v>6.3999999999999613E-3</v>
      </c>
      <c r="EN76" s="39">
        <f t="shared" ca="1" si="755"/>
        <v>3.2000000000000028E-3</v>
      </c>
      <c r="EO76" s="43">
        <f t="shared" ca="1" si="742"/>
        <v>1</v>
      </c>
      <c r="EP76" s="39">
        <f t="shared" ca="1" si="743"/>
        <v>28.883817421806835</v>
      </c>
      <c r="EQ76" s="39">
        <f t="shared" ca="1" si="754"/>
        <v>3.8838174218068353</v>
      </c>
      <c r="ER76" s="153">
        <f t="shared" ca="1" si="756"/>
        <v>7.7676348436136702E-2</v>
      </c>
      <c r="ET76" s="37"/>
      <c r="EU76" s="1360">
        <f t="shared" ca="1" si="774"/>
        <v>0</v>
      </c>
      <c r="EV76" s="173">
        <v>60</v>
      </c>
      <c r="EW76" s="747">
        <v>30</v>
      </c>
      <c r="EX76" s="55">
        <v>42583</v>
      </c>
      <c r="EY76" s="55">
        <f t="shared" si="762"/>
        <v>53540.5</v>
      </c>
      <c r="EZ76" s="61">
        <f t="shared" ca="1" si="763"/>
        <v>6</v>
      </c>
      <c r="FA76" s="37" t="s">
        <v>1580</v>
      </c>
      <c r="FB76" s="39">
        <v>60.05</v>
      </c>
      <c r="FC76" s="39">
        <f t="shared" si="764"/>
        <v>4.9999999999997158E-2</v>
      </c>
      <c r="FD76" s="40">
        <f t="shared" si="765"/>
        <v>8.3333333333324155E-4</v>
      </c>
      <c r="FE76" s="39">
        <f t="shared" ca="1" si="776"/>
        <v>8.3333333333328596E-3</v>
      </c>
      <c r="FF76" s="43">
        <f t="shared" ca="1" si="767"/>
        <v>0</v>
      </c>
      <c r="FR76" s="438"/>
      <c r="FS76" s="550">
        <v>6</v>
      </c>
      <c r="FT76" s="58">
        <v>2</v>
      </c>
      <c r="FU76" s="38">
        <v>4</v>
      </c>
      <c r="FV76" s="38">
        <f t="shared" si="775"/>
        <v>1.0009997501665211</v>
      </c>
      <c r="FW76" s="39">
        <f t="shared" si="778"/>
        <v>25.441016971772516</v>
      </c>
      <c r="FX76" s="153"/>
      <c r="GE76" s="144"/>
    </row>
    <row r="77" spans="2:187">
      <c r="D77" s="113" t="s">
        <v>110</v>
      </c>
      <c r="E77" s="104">
        <v>1</v>
      </c>
      <c r="F77" s="114"/>
      <c r="G77" s="116"/>
      <c r="H77" s="116"/>
      <c r="I77" s="117"/>
      <c r="R77" s="153"/>
      <c r="AG77" s="38"/>
      <c r="AH77" s="38"/>
      <c r="AI77" s="38"/>
      <c r="AJ77" s="38"/>
      <c r="AK77" s="38"/>
      <c r="AL77" s="38"/>
      <c r="AM77" s="38"/>
      <c r="AN77" s="38"/>
      <c r="AO77" s="38"/>
      <c r="AP77" s="38"/>
      <c r="AQ77" s="38"/>
      <c r="AR77" s="38"/>
      <c r="AS77" s="38"/>
      <c r="AT77" s="38"/>
      <c r="AU77" s="38"/>
      <c r="AV77" s="38"/>
      <c r="AW77" s="38"/>
      <c r="AX77" s="38"/>
      <c r="AY77" s="38"/>
      <c r="BB77" s="38"/>
      <c r="BC77" s="38"/>
      <c r="BD77" s="38"/>
      <c r="BE77" s="38"/>
      <c r="BF77" s="38"/>
      <c r="BG77" s="38"/>
      <c r="BH77" s="38"/>
      <c r="BI77" s="38"/>
      <c r="BJ77" s="38"/>
      <c r="BK77" s="38"/>
      <c r="BL77" s="38"/>
      <c r="BM77" s="38"/>
      <c r="BN77" s="38"/>
      <c r="BO77" s="38"/>
      <c r="BP77" s="38"/>
      <c r="BQ77" s="38"/>
      <c r="BR77" s="38"/>
      <c r="BS77" s="38"/>
      <c r="BT77" s="38"/>
      <c r="BU77" s="38"/>
      <c r="BW77" s="62"/>
      <c r="BY77" s="62"/>
      <c r="BZ77" s="62"/>
      <c r="CA77" s="62"/>
      <c r="CB77" s="62"/>
      <c r="CC77" s="160"/>
      <c r="CD77" s="165"/>
      <c r="CE77" s="62"/>
      <c r="CK77" s="38"/>
      <c r="CL77" s="38"/>
      <c r="CM77" s="38"/>
      <c r="CN77" s="38"/>
      <c r="CO77" s="62"/>
      <c r="CP77" s="3"/>
      <c r="CQ77" s="355"/>
      <c r="CR77" s="62"/>
      <c r="CS77" s="62"/>
      <c r="CT77" s="62"/>
      <c r="CU77" s="62"/>
      <c r="CV77" s="62"/>
      <c r="CY77" s="392"/>
      <c r="CZ77" s="53"/>
      <c r="DC77" s="38"/>
      <c r="DD77" s="38"/>
      <c r="DE77" s="38"/>
      <c r="DF77" s="154"/>
      <c r="DH77" s="53"/>
      <c r="DO77" s="153"/>
      <c r="DP77" s="153"/>
      <c r="DQ77" s="53"/>
      <c r="DR77" s="53"/>
      <c r="DS77" s="38"/>
      <c r="DT77" s="38"/>
      <c r="DU77" s="39"/>
      <c r="DV77" s="38"/>
      <c r="DW77" s="40"/>
      <c r="DX77" s="40"/>
      <c r="DY77" s="355"/>
      <c r="DZ77" s="40"/>
      <c r="EA77" s="38"/>
      <c r="EC77" s="380">
        <f t="shared" ca="1" si="773"/>
        <v>0</v>
      </c>
      <c r="ED77" s="73">
        <v>100</v>
      </c>
      <c r="EE77" s="38">
        <v>30</v>
      </c>
      <c r="EF77" s="54">
        <v>41244</v>
      </c>
      <c r="EG77" s="55">
        <f t="shared" si="393"/>
        <v>52201.5</v>
      </c>
      <c r="EH77" s="61" t="s">
        <v>122</v>
      </c>
      <c r="EI77" s="61">
        <f t="shared" ref="EI77:EI88" ca="1" si="779">IF(EF77&gt;$G$1,0,DATEDIF(EF77,$G$1,"M"))</f>
        <v>50</v>
      </c>
      <c r="EJ77" s="23" t="s">
        <v>218</v>
      </c>
      <c r="EK77" s="39">
        <v>100.64</v>
      </c>
      <c r="EL77" s="39">
        <f>EK77-ED77</f>
        <v>0.64000000000000057</v>
      </c>
      <c r="EM77" s="40">
        <f>EK77/ED77-1</f>
        <v>6.3999999999999613E-3</v>
      </c>
      <c r="EN77" s="39">
        <f t="shared" ca="1" si="755"/>
        <v>1.2800000000000011E-2</v>
      </c>
      <c r="EO77" s="43">
        <f t="shared" ref="EO77:EO88" ca="1" si="780">IF(EF77&lt;$G$1-365.25,1,0)</f>
        <v>1</v>
      </c>
      <c r="EP77" s="39">
        <f t="shared" ref="EP77:EP88" ca="1" si="781">ED77*(1+$EB$23)^(EI77/12)</f>
        <v>115.53526968722734</v>
      </c>
      <c r="EQ77" s="39">
        <f t="shared" ca="1" si="754"/>
        <v>15.535269687227341</v>
      </c>
      <c r="ER77" s="153">
        <f t="shared" ca="1" si="756"/>
        <v>0.31070539374454681</v>
      </c>
      <c r="ET77" s="37"/>
      <c r="EU77" s="1360">
        <f t="shared" ca="1" si="774"/>
        <v>0</v>
      </c>
      <c r="EV77" s="173">
        <v>60</v>
      </c>
      <c r="EW77" s="747">
        <v>30</v>
      </c>
      <c r="EX77" s="55">
        <v>42552</v>
      </c>
      <c r="EY77" s="55">
        <f t="shared" si="762"/>
        <v>53509.5</v>
      </c>
      <c r="EZ77" s="61">
        <f t="shared" ca="1" si="763"/>
        <v>7</v>
      </c>
      <c r="FA77" s="37" t="s">
        <v>1572</v>
      </c>
      <c r="FB77" s="39">
        <v>60.05</v>
      </c>
      <c r="FC77" s="39">
        <f t="shared" si="764"/>
        <v>4.9999999999997158E-2</v>
      </c>
      <c r="FD77" s="40">
        <f t="shared" si="765"/>
        <v>8.3333333333324155E-4</v>
      </c>
      <c r="FE77" s="39">
        <f t="shared" ca="1" si="776"/>
        <v>7.1428571428567367E-3</v>
      </c>
      <c r="FF77" s="43">
        <f t="shared" ca="1" si="767"/>
        <v>0</v>
      </c>
      <c r="FR77" s="438"/>
      <c r="FS77" s="550">
        <v>6</v>
      </c>
      <c r="FT77" s="58">
        <v>2</v>
      </c>
      <c r="FU77" s="38">
        <v>5</v>
      </c>
      <c r="FV77" s="38">
        <f t="shared" si="775"/>
        <v>1.001249843841072</v>
      </c>
      <c r="FW77" s="39">
        <f t="shared" si="778"/>
        <v>25.447373254496586</v>
      </c>
      <c r="FX77" s="153"/>
      <c r="GE77" s="144"/>
    </row>
    <row r="78" spans="2:187">
      <c r="B78" s="38"/>
      <c r="D78" s="113" t="s">
        <v>108</v>
      </c>
      <c r="E78" s="118">
        <f>100*E77</f>
        <v>100</v>
      </c>
      <c r="F78" s="114"/>
      <c r="G78" s="196"/>
      <c r="H78" s="100"/>
      <c r="I78" s="119"/>
      <c r="O78" s="153"/>
      <c r="R78" s="153"/>
      <c r="AG78" s="38"/>
      <c r="AH78" s="38"/>
      <c r="AI78" s="38"/>
      <c r="AJ78" s="38"/>
      <c r="AK78" s="38"/>
      <c r="AL78" s="38"/>
      <c r="AM78" s="38"/>
      <c r="AN78" s="38"/>
      <c r="AO78" s="38"/>
      <c r="AP78" s="38"/>
      <c r="AQ78" s="38"/>
      <c r="AR78" s="38"/>
      <c r="AS78" s="38"/>
      <c r="AT78" s="38"/>
      <c r="AU78" s="38"/>
      <c r="AV78" s="38"/>
      <c r="AW78" s="38"/>
      <c r="AX78" s="38"/>
      <c r="AY78" s="38"/>
      <c r="BB78" s="38"/>
      <c r="BC78" s="38"/>
      <c r="BD78" s="38"/>
      <c r="BE78" s="38"/>
      <c r="BF78" s="38"/>
      <c r="BG78" s="38"/>
      <c r="BH78" s="38"/>
      <c r="BI78" s="38"/>
      <c r="BJ78" s="38"/>
      <c r="BK78" s="38"/>
      <c r="BL78" s="38"/>
      <c r="BM78" s="38"/>
      <c r="BN78" s="38"/>
      <c r="BO78" s="38"/>
      <c r="BP78" s="38"/>
      <c r="BQ78" s="38"/>
      <c r="BR78" s="38"/>
      <c r="BS78" s="38"/>
      <c r="BT78" s="38"/>
      <c r="BU78" s="38"/>
      <c r="BW78" s="62"/>
      <c r="BY78" s="62"/>
      <c r="BZ78" s="62"/>
      <c r="CA78" s="62"/>
      <c r="CB78" s="62"/>
      <c r="CC78" s="160"/>
      <c r="CD78" s="165"/>
      <c r="CE78" s="62"/>
      <c r="CK78" s="38"/>
      <c r="CL78" s="38"/>
      <c r="CM78" s="38"/>
      <c r="CN78" s="38"/>
      <c r="CO78" s="62"/>
      <c r="CP78" s="355"/>
      <c r="CR78" s="62"/>
      <c r="CS78" s="62"/>
      <c r="CT78" s="62"/>
      <c r="CU78" s="62"/>
      <c r="CV78" s="62"/>
      <c r="CY78" s="392"/>
      <c r="CZ78" s="53"/>
      <c r="DC78" s="38"/>
      <c r="DD78" s="38"/>
      <c r="DE78" s="38"/>
      <c r="DF78" s="154"/>
      <c r="DH78" s="53"/>
      <c r="DO78" s="153"/>
      <c r="DP78" s="153"/>
      <c r="DQ78" s="53"/>
      <c r="DR78" s="53"/>
      <c r="DS78" s="38"/>
      <c r="DT78" s="38"/>
      <c r="DU78" s="39"/>
      <c r="DV78" s="38"/>
      <c r="DW78" s="40"/>
      <c r="DX78" s="40"/>
      <c r="DY78" s="355"/>
      <c r="DZ78" s="40"/>
      <c r="EA78" s="38"/>
      <c r="EC78" s="380">
        <f t="shared" ca="1" si="773"/>
        <v>0</v>
      </c>
      <c r="ED78" s="73">
        <v>50</v>
      </c>
      <c r="EE78" s="38">
        <v>30</v>
      </c>
      <c r="EF78" s="54">
        <v>41244</v>
      </c>
      <c r="EG78" s="55">
        <f t="shared" ref="EG78:EG88" si="782">EF78+EE78*365.25</f>
        <v>52201.5</v>
      </c>
      <c r="EH78" s="61" t="s">
        <v>122</v>
      </c>
      <c r="EI78" s="61">
        <f t="shared" ca="1" si="779"/>
        <v>50</v>
      </c>
      <c r="EJ78" s="23" t="s">
        <v>219</v>
      </c>
      <c r="EK78" s="39">
        <v>50.32</v>
      </c>
      <c r="EL78" s="39">
        <f>EK78-ED78</f>
        <v>0.32000000000000028</v>
      </c>
      <c r="EM78" s="40">
        <f>EK78/ED78-1</f>
        <v>6.3999999999999613E-3</v>
      </c>
      <c r="EN78" s="39">
        <f t="shared" ca="1" si="755"/>
        <v>6.4000000000000055E-3</v>
      </c>
      <c r="EO78" s="43">
        <f t="shared" ca="1" si="780"/>
        <v>1</v>
      </c>
      <c r="EP78" s="39">
        <f t="shared" ca="1" si="781"/>
        <v>57.767634843613671</v>
      </c>
      <c r="EQ78" s="39">
        <f t="shared" ca="1" si="754"/>
        <v>7.7676348436136706</v>
      </c>
      <c r="ER78" s="153">
        <f t="shared" ca="1" si="756"/>
        <v>0.1553526968722734</v>
      </c>
      <c r="ET78" s="37"/>
      <c r="EU78" s="1360">
        <f t="shared" ca="1" si="774"/>
        <v>0</v>
      </c>
      <c r="EV78" s="173">
        <v>60</v>
      </c>
      <c r="EW78" s="747">
        <v>30</v>
      </c>
      <c r="EX78" s="55">
        <v>42552</v>
      </c>
      <c r="EY78" s="55">
        <f t="shared" si="762"/>
        <v>53509.5</v>
      </c>
      <c r="EZ78" s="61">
        <f t="shared" ca="1" si="763"/>
        <v>7</v>
      </c>
      <c r="FA78" s="37" t="s">
        <v>1573</v>
      </c>
      <c r="FB78" s="39">
        <v>60.05</v>
      </c>
      <c r="FC78" s="39">
        <f t="shared" si="764"/>
        <v>4.9999999999997158E-2</v>
      </c>
      <c r="FD78" s="40">
        <f t="shared" si="765"/>
        <v>8.3333333333324155E-4</v>
      </c>
      <c r="FE78" s="39">
        <f t="shared" ca="1" si="776"/>
        <v>7.1428571428567367E-3</v>
      </c>
      <c r="FF78" s="43">
        <f t="shared" ca="1" si="767"/>
        <v>0</v>
      </c>
      <c r="FR78" s="438"/>
      <c r="FS78" s="550">
        <v>6</v>
      </c>
      <c r="FT78" s="58">
        <v>2</v>
      </c>
      <c r="FU78" s="38">
        <v>6</v>
      </c>
      <c r="FV78" s="38">
        <f t="shared" si="775"/>
        <v>1.0015000000000001</v>
      </c>
      <c r="FW78" s="39">
        <f t="shared" si="778"/>
        <v>25.453731125299075</v>
      </c>
      <c r="FX78" s="153"/>
      <c r="GE78" s="144"/>
    </row>
    <row r="79" spans="2:187">
      <c r="D79" s="113" t="s">
        <v>111</v>
      </c>
      <c r="E79" s="430">
        <f>E65</f>
        <v>99.961888999999999</v>
      </c>
      <c r="F79" s="100"/>
      <c r="G79" s="100"/>
      <c r="H79" s="100"/>
      <c r="I79" s="119"/>
      <c r="O79" s="153"/>
      <c r="R79" s="153"/>
      <c r="AG79" s="38"/>
      <c r="AH79" s="38"/>
      <c r="AI79" s="38"/>
      <c r="AJ79" s="38"/>
      <c r="AK79" s="38"/>
      <c r="AL79" s="38"/>
      <c r="AM79" s="38"/>
      <c r="AN79" s="38"/>
      <c r="AO79" s="38"/>
      <c r="AP79" s="38"/>
      <c r="AQ79" s="38"/>
      <c r="AR79" s="38"/>
      <c r="AS79" s="38"/>
      <c r="AT79" s="38"/>
      <c r="AU79" s="38"/>
      <c r="AV79" s="38"/>
      <c r="AW79" s="38"/>
      <c r="AX79" s="38"/>
      <c r="AY79" s="38"/>
      <c r="BB79" s="38"/>
      <c r="BC79" s="38"/>
      <c r="BD79" s="38"/>
      <c r="BE79" s="38"/>
      <c r="BF79" s="38"/>
      <c r="BG79" s="38"/>
      <c r="BH79" s="38"/>
      <c r="BI79" s="38"/>
      <c r="BJ79" s="38"/>
      <c r="BK79" s="38"/>
      <c r="BL79" s="38"/>
      <c r="BM79" s="38"/>
      <c r="BN79" s="38"/>
      <c r="BO79" s="38"/>
      <c r="BP79" s="38"/>
      <c r="BQ79" s="38"/>
      <c r="BR79" s="38"/>
      <c r="BS79" s="38"/>
      <c r="BT79" s="38"/>
      <c r="BU79" s="38"/>
      <c r="BW79" s="62"/>
      <c r="BY79" s="62"/>
      <c r="BZ79" s="62"/>
      <c r="CA79" s="62"/>
      <c r="CB79" s="62"/>
      <c r="CC79" s="160"/>
      <c r="CD79" s="165"/>
      <c r="CE79" s="62"/>
      <c r="CK79" s="38"/>
      <c r="CL79" s="38"/>
      <c r="CM79" s="38"/>
      <c r="CN79" s="38"/>
      <c r="CO79" s="38"/>
      <c r="CP79" s="355"/>
      <c r="CQ79" s="355"/>
      <c r="CR79" s="38"/>
      <c r="CS79" s="38"/>
      <c r="CT79" s="38"/>
      <c r="CU79" s="38"/>
      <c r="CV79" s="38"/>
      <c r="CY79" s="392"/>
      <c r="CZ79" s="53"/>
      <c r="DA79" s="38"/>
      <c r="DB79" s="38"/>
      <c r="DC79" s="38"/>
      <c r="DD79" s="38"/>
      <c r="DE79" s="38"/>
      <c r="DF79" s="154"/>
      <c r="DH79" s="53"/>
      <c r="DO79" s="153"/>
      <c r="DP79" s="153"/>
      <c r="DQ79" s="53"/>
      <c r="DR79" s="53"/>
      <c r="DS79" s="38"/>
      <c r="DT79" s="38"/>
      <c r="DU79" s="39"/>
      <c r="DV79" s="38"/>
      <c r="DW79" s="40"/>
      <c r="DX79" s="40"/>
      <c r="DY79" s="355"/>
      <c r="DZ79" s="40"/>
      <c r="EA79" s="38"/>
      <c r="EC79" s="380">
        <f t="shared" ca="1" si="773"/>
        <v>0</v>
      </c>
      <c r="ED79" s="73">
        <v>25</v>
      </c>
      <c r="EE79" s="38">
        <v>30</v>
      </c>
      <c r="EF79" s="54">
        <v>41214</v>
      </c>
      <c r="EG79" s="55">
        <f t="shared" si="782"/>
        <v>52171.5</v>
      </c>
      <c r="EH79" s="61" t="s">
        <v>122</v>
      </c>
      <c r="EI79" s="61">
        <f t="shared" ca="1" si="779"/>
        <v>51</v>
      </c>
      <c r="EJ79" s="61" t="s">
        <v>171</v>
      </c>
      <c r="EK79" s="39">
        <v>25.16</v>
      </c>
      <c r="EL79" s="39">
        <f>EK79-ED79</f>
        <v>0.16000000000000014</v>
      </c>
      <c r="EM79" s="40">
        <f>EK79/ED79-1</f>
        <v>6.3999999999999613E-3</v>
      </c>
      <c r="EN79" s="39">
        <f t="shared" ca="1" si="755"/>
        <v>3.1372549019607872E-3</v>
      </c>
      <c r="EO79" s="43">
        <f t="shared" ca="1" si="780"/>
        <v>1</v>
      </c>
      <c r="EP79" s="39">
        <f t="shared" ca="1" si="781"/>
        <v>28.967357736556941</v>
      </c>
      <c r="EQ79" s="39">
        <f t="shared" ref="EQ79:EQ88" ca="1" si="783">EP79-ED79</f>
        <v>3.9673577365569415</v>
      </c>
      <c r="ER79" s="153">
        <f t="shared" ca="1" si="756"/>
        <v>7.7791328167783169E-2</v>
      </c>
      <c r="ET79" s="37"/>
      <c r="EU79" s="1360">
        <f t="shared" ca="1" si="774"/>
        <v>0</v>
      </c>
      <c r="EV79" s="173">
        <v>60</v>
      </c>
      <c r="EW79" s="747">
        <v>30</v>
      </c>
      <c r="EX79" s="55">
        <v>42552</v>
      </c>
      <c r="EY79" s="55">
        <f t="shared" si="762"/>
        <v>53509.5</v>
      </c>
      <c r="EZ79" s="61">
        <f t="shared" ca="1" si="763"/>
        <v>7</v>
      </c>
      <c r="FA79" s="37" t="s">
        <v>1574</v>
      </c>
      <c r="FB79" s="39">
        <v>60.05</v>
      </c>
      <c r="FC79" s="39">
        <f t="shared" si="764"/>
        <v>4.9999999999997158E-2</v>
      </c>
      <c r="FD79" s="40">
        <f t="shared" si="765"/>
        <v>8.3333333333324155E-4</v>
      </c>
      <c r="FE79" s="39">
        <f t="shared" ca="1" si="776"/>
        <v>7.1428571428567367E-3</v>
      </c>
      <c r="FF79" s="43">
        <f t="shared" ca="1" si="767"/>
        <v>0</v>
      </c>
      <c r="FR79" s="438"/>
      <c r="FS79" s="55"/>
      <c r="FV79" s="144"/>
      <c r="FW79" s="144"/>
      <c r="FX79" s="153"/>
      <c r="GE79" s="144"/>
    </row>
    <row r="80" spans="2:187">
      <c r="D80" s="113" t="s">
        <v>107</v>
      </c>
      <c r="E80" s="120">
        <f>E77*E79</f>
        <v>99.961888999999999</v>
      </c>
      <c r="F80" s="93" t="s">
        <v>2408</v>
      </c>
      <c r="G80" s="100"/>
      <c r="H80" s="100"/>
      <c r="I80" s="119"/>
      <c r="O80" s="153"/>
      <c r="R80" s="153"/>
      <c r="AG80" s="38"/>
      <c r="AH80" s="38"/>
      <c r="AI80" s="38"/>
      <c r="AJ80" s="38"/>
      <c r="AK80" s="38"/>
      <c r="AL80" s="38"/>
      <c r="AM80" s="38"/>
      <c r="AN80" s="38"/>
      <c r="AO80" s="38"/>
      <c r="AP80" s="38"/>
      <c r="AQ80" s="38"/>
      <c r="AR80" s="38"/>
      <c r="AS80" s="38"/>
      <c r="AT80" s="38"/>
      <c r="AU80" s="38"/>
      <c r="AV80" s="38"/>
      <c r="AW80" s="38"/>
      <c r="AX80" s="38"/>
      <c r="AY80" s="38"/>
      <c r="BB80" s="38"/>
      <c r="BC80" s="38"/>
      <c r="BD80" s="38"/>
      <c r="BE80" s="38"/>
      <c r="BF80" s="38"/>
      <c r="BG80" s="38"/>
      <c r="BH80" s="38"/>
      <c r="BI80" s="38"/>
      <c r="BJ80" s="38"/>
      <c r="BK80" s="38"/>
      <c r="BL80" s="38"/>
      <c r="BM80" s="38"/>
      <c r="BN80" s="38"/>
      <c r="BO80" s="38"/>
      <c r="BP80" s="38"/>
      <c r="BQ80" s="38"/>
      <c r="BR80" s="38"/>
      <c r="BS80" s="38"/>
      <c r="BT80" s="38"/>
      <c r="BU80" s="38"/>
      <c r="BW80" s="62"/>
      <c r="BY80" s="62"/>
      <c r="BZ80" s="62"/>
      <c r="CA80" s="62"/>
      <c r="CB80" s="62"/>
      <c r="CC80" s="160"/>
      <c r="CD80" s="165"/>
      <c r="CE80" s="62"/>
      <c r="CK80" s="38"/>
      <c r="CL80" s="38"/>
      <c r="CM80" s="38"/>
      <c r="CN80" s="38"/>
      <c r="CO80" s="62"/>
      <c r="CP80" s="355"/>
      <c r="CQ80" s="355"/>
      <c r="CR80" s="62"/>
      <c r="CS80" s="62"/>
      <c r="CT80" s="62"/>
      <c r="CU80" s="62"/>
      <c r="CV80" s="62"/>
      <c r="CY80" s="392"/>
      <c r="CZ80" s="53"/>
      <c r="DA80" s="38"/>
      <c r="DB80" s="38"/>
      <c r="DC80" s="38"/>
      <c r="DD80" s="38"/>
      <c r="DE80" s="38"/>
      <c r="DF80" s="154"/>
      <c r="DH80" s="53"/>
      <c r="DO80" s="153"/>
      <c r="DP80" s="153"/>
      <c r="DQ80" s="53"/>
      <c r="DR80" s="53"/>
      <c r="DS80" s="38"/>
      <c r="DT80" s="38"/>
      <c r="DU80" s="39"/>
      <c r="DV80" s="38"/>
      <c r="DW80" s="40"/>
      <c r="DX80" s="40"/>
      <c r="DY80" s="355"/>
      <c r="DZ80" s="40"/>
      <c r="EA80" s="38"/>
      <c r="EC80" s="380">
        <f t="shared" ca="1" si="773"/>
        <v>0</v>
      </c>
      <c r="ED80" s="73">
        <v>25</v>
      </c>
      <c r="EE80" s="38">
        <v>30</v>
      </c>
      <c r="EF80" s="54">
        <v>41214</v>
      </c>
      <c r="EG80" s="55">
        <f t="shared" si="782"/>
        <v>52171.5</v>
      </c>
      <c r="EH80" s="61" t="s">
        <v>122</v>
      </c>
      <c r="EI80" s="61">
        <f t="shared" ca="1" si="779"/>
        <v>51</v>
      </c>
      <c r="EJ80" s="61" t="s">
        <v>172</v>
      </c>
      <c r="EK80" s="39">
        <v>25.16</v>
      </c>
      <c r="EL80" s="39">
        <f t="shared" si="760"/>
        <v>0.16000000000000014</v>
      </c>
      <c r="EM80" s="40">
        <f t="shared" si="761"/>
        <v>6.3999999999999613E-3</v>
      </c>
      <c r="EN80" s="39">
        <f t="shared" ref="EN80:EN88" ca="1" si="784">EL80/EI80</f>
        <v>3.1372549019607872E-3</v>
      </c>
      <c r="EO80" s="43">
        <f t="shared" ca="1" si="780"/>
        <v>1</v>
      </c>
      <c r="EP80" s="39">
        <f t="shared" ca="1" si="781"/>
        <v>28.967357736556941</v>
      </c>
      <c r="EQ80" s="39">
        <f t="shared" ca="1" si="783"/>
        <v>3.9673577365569415</v>
      </c>
      <c r="ER80" s="153">
        <f t="shared" ref="ER80:ER88" ca="1" si="785">EQ80/EI80</f>
        <v>7.7791328167783169E-2</v>
      </c>
      <c r="ET80" s="37"/>
      <c r="EU80" s="1360">
        <f t="shared" ca="1" si="774"/>
        <v>0</v>
      </c>
      <c r="EV80" s="173">
        <v>60</v>
      </c>
      <c r="EW80" s="747">
        <v>30</v>
      </c>
      <c r="EX80" s="55">
        <v>42552</v>
      </c>
      <c r="EY80" s="55">
        <f t="shared" si="762"/>
        <v>53509.5</v>
      </c>
      <c r="EZ80" s="61">
        <f t="shared" ca="1" si="763"/>
        <v>7</v>
      </c>
      <c r="FA80" s="37" t="s">
        <v>1575</v>
      </c>
      <c r="FB80" s="39">
        <v>60.05</v>
      </c>
      <c r="FC80" s="39">
        <f t="shared" si="764"/>
        <v>4.9999999999997158E-2</v>
      </c>
      <c r="FD80" s="40">
        <f t="shared" si="765"/>
        <v>8.3333333333324155E-4</v>
      </c>
      <c r="FE80" s="39">
        <f t="shared" ca="1" si="776"/>
        <v>7.1428571428567367E-3</v>
      </c>
      <c r="FF80" s="43">
        <f t="shared" ca="1" si="767"/>
        <v>0</v>
      </c>
      <c r="FR80" s="438"/>
      <c r="FS80" s="550">
        <v>7</v>
      </c>
      <c r="FT80" s="58">
        <v>1</v>
      </c>
      <c r="FU80" s="38">
        <v>1</v>
      </c>
      <c r="FV80" s="38">
        <f t="shared" ref="FV80:FV91" si="786">(1+$FY$2/2)^(FU80/6)</f>
        <v>1.0002498438930771</v>
      </c>
      <c r="FW80" s="39">
        <f>$FW$78*FV80</f>
        <v>25.460090584576758</v>
      </c>
      <c r="FX80" s="153"/>
      <c r="GE80" s="144"/>
    </row>
    <row r="81" spans="2:187" ht="13.5" thickBot="1">
      <c r="D81" s="113" t="s">
        <v>109</v>
      </c>
      <c r="E81" s="121">
        <f>E78-E80</f>
        <v>3.8111000000000672E-2</v>
      </c>
      <c r="F81" s="817">
        <f>E81/28</f>
        <v>1.3611071428571669E-3</v>
      </c>
      <c r="G81" s="114"/>
      <c r="H81" s="114"/>
      <c r="I81" s="115"/>
      <c r="O81" s="153"/>
      <c r="R81" s="153"/>
      <c r="AG81" s="38"/>
      <c r="AH81" s="38"/>
      <c r="AI81" s="38"/>
      <c r="AJ81" s="38"/>
      <c r="AK81" s="38"/>
      <c r="AL81" s="38"/>
      <c r="AM81" s="38"/>
      <c r="AN81" s="38"/>
      <c r="AO81" s="38"/>
      <c r="AP81" s="38"/>
      <c r="AQ81" s="38"/>
      <c r="AR81" s="38"/>
      <c r="AS81" s="38"/>
      <c r="AT81" s="38"/>
      <c r="AU81" s="38"/>
      <c r="AV81" s="38"/>
      <c r="AW81" s="38"/>
      <c r="AX81" s="38"/>
      <c r="AY81" s="38"/>
      <c r="BB81" s="38"/>
      <c r="BC81" s="38"/>
      <c r="BD81" s="38"/>
      <c r="BE81" s="38"/>
      <c r="BF81" s="38"/>
      <c r="BG81" s="38"/>
      <c r="BH81" s="38"/>
      <c r="BI81" s="38"/>
      <c r="BJ81" s="38"/>
      <c r="BK81" s="38"/>
      <c r="BL81" s="38"/>
      <c r="BM81" s="38"/>
      <c r="BN81" s="38"/>
      <c r="BO81" s="38"/>
      <c r="BP81" s="38"/>
      <c r="BQ81" s="38"/>
      <c r="BR81" s="38"/>
      <c r="BS81" s="38"/>
      <c r="BT81" s="38"/>
      <c r="BU81" s="38"/>
      <c r="BW81" s="62"/>
      <c r="BY81" s="62"/>
      <c r="BZ81" s="62"/>
      <c r="CA81" s="62"/>
      <c r="CB81" s="62"/>
      <c r="CC81" s="160"/>
      <c r="CD81" s="165"/>
      <c r="CE81" s="62"/>
      <c r="CK81" s="38"/>
      <c r="CL81" s="38"/>
      <c r="CM81" s="38"/>
      <c r="CN81" s="38"/>
      <c r="CY81" s="392"/>
      <c r="CZ81" s="53"/>
      <c r="DA81" s="38"/>
      <c r="DB81" s="38"/>
      <c r="DC81" s="38"/>
      <c r="DD81" s="38"/>
      <c r="DE81" s="38"/>
      <c r="DF81" s="154"/>
      <c r="DH81" s="53"/>
      <c r="DO81" s="153"/>
      <c r="DP81" s="153"/>
      <c r="DQ81" s="53"/>
      <c r="DR81" s="53"/>
      <c r="DS81" s="38"/>
      <c r="DT81" s="38"/>
      <c r="DU81" s="39"/>
      <c r="DV81" s="38"/>
      <c r="DW81" s="40"/>
      <c r="DX81" s="40"/>
      <c r="DY81" s="355"/>
      <c r="DZ81" s="40"/>
      <c r="EA81" s="38"/>
      <c r="EC81" s="380">
        <f t="shared" ca="1" si="773"/>
        <v>0</v>
      </c>
      <c r="ED81" s="73">
        <v>50</v>
      </c>
      <c r="EE81" s="38">
        <v>30</v>
      </c>
      <c r="EF81" s="54">
        <v>41214</v>
      </c>
      <c r="EG81" s="55">
        <f t="shared" si="782"/>
        <v>52171.5</v>
      </c>
      <c r="EH81" s="61" t="s">
        <v>122</v>
      </c>
      <c r="EI81" s="61">
        <f t="shared" ca="1" si="779"/>
        <v>51</v>
      </c>
      <c r="EJ81" s="61" t="s">
        <v>173</v>
      </c>
      <c r="EK81" s="39">
        <v>50.32</v>
      </c>
      <c r="EL81" s="39">
        <f t="shared" si="760"/>
        <v>0.32000000000000028</v>
      </c>
      <c r="EM81" s="40">
        <f t="shared" si="761"/>
        <v>6.3999999999999613E-3</v>
      </c>
      <c r="EN81" s="39">
        <f t="shared" ca="1" si="784"/>
        <v>6.2745098039215744E-3</v>
      </c>
      <c r="EO81" s="43">
        <f t="shared" ca="1" si="780"/>
        <v>1</v>
      </c>
      <c r="EP81" s="39">
        <f t="shared" ca="1" si="781"/>
        <v>57.934715473113883</v>
      </c>
      <c r="EQ81" s="39">
        <f t="shared" ca="1" si="783"/>
        <v>7.9347154731138829</v>
      </c>
      <c r="ER81" s="153">
        <f t="shared" ca="1" si="785"/>
        <v>0.15558265633556634</v>
      </c>
      <c r="EU81" s="1360">
        <f t="shared" ca="1" si="774"/>
        <v>0</v>
      </c>
      <c r="EV81" s="173">
        <v>60</v>
      </c>
      <c r="EW81" s="747">
        <v>30</v>
      </c>
      <c r="EX81" s="55">
        <v>42552</v>
      </c>
      <c r="EY81" s="55">
        <f t="shared" si="762"/>
        <v>53509.5</v>
      </c>
      <c r="EZ81" s="61">
        <f t="shared" ca="1" si="763"/>
        <v>7</v>
      </c>
      <c r="FA81" s="37" t="s">
        <v>1576</v>
      </c>
      <c r="FB81" s="39">
        <v>60.05</v>
      </c>
      <c r="FC81" s="39">
        <f t="shared" si="764"/>
        <v>4.9999999999997158E-2</v>
      </c>
      <c r="FD81" s="40">
        <f t="shared" si="765"/>
        <v>8.3333333333324155E-4</v>
      </c>
      <c r="FE81" s="39">
        <f t="shared" ca="1" si="776"/>
        <v>7.1428571428567367E-3</v>
      </c>
      <c r="FF81" s="43">
        <f t="shared" ca="1" si="767"/>
        <v>0</v>
      </c>
      <c r="FR81" s="438"/>
      <c r="FS81" s="550">
        <v>7</v>
      </c>
      <c r="FT81" s="58">
        <v>1</v>
      </c>
      <c r="FU81" s="38">
        <v>2</v>
      </c>
      <c r="FV81" s="38">
        <f t="shared" si="786"/>
        <v>1.0004997502081252</v>
      </c>
      <c r="FW81" s="39">
        <f t="shared" ref="FW81:FW85" si="787">$FW$78*FV81</f>
        <v>25.466451632726507</v>
      </c>
      <c r="FX81" s="153"/>
      <c r="GE81" s="144"/>
    </row>
    <row r="82" spans="2:187">
      <c r="D82" s="113" t="s">
        <v>243</v>
      </c>
      <c r="E82" s="123">
        <f>E81/E80</f>
        <v>3.812553002074688E-4</v>
      </c>
      <c r="F82" s="124"/>
      <c r="G82" s="124"/>
      <c r="H82" s="124"/>
      <c r="I82" s="125"/>
      <c r="K82" s="105" t="s">
        <v>1726</v>
      </c>
      <c r="L82" s="77" t="s">
        <v>1721</v>
      </c>
      <c r="O82" s="153"/>
      <c r="R82" s="153"/>
      <c r="AG82" s="38"/>
      <c r="AH82" s="38"/>
      <c r="AI82" s="38"/>
      <c r="AJ82" s="38"/>
      <c r="AK82" s="38"/>
      <c r="AL82" s="38"/>
      <c r="AM82" s="38"/>
      <c r="AN82" s="38"/>
      <c r="AO82" s="38"/>
      <c r="AP82" s="38"/>
      <c r="AQ82" s="38"/>
      <c r="AR82" s="38"/>
      <c r="AS82" s="38"/>
      <c r="AT82" s="38"/>
      <c r="AU82" s="38"/>
      <c r="AV82" s="38"/>
      <c r="AW82" s="38"/>
      <c r="AX82" s="38"/>
      <c r="AY82" s="38"/>
      <c r="BB82" s="38"/>
      <c r="BC82" s="38"/>
      <c r="BD82" s="38"/>
      <c r="BE82" s="38"/>
      <c r="BF82" s="38"/>
      <c r="BG82" s="38"/>
      <c r="BH82" s="38"/>
      <c r="BI82" s="38"/>
      <c r="BJ82" s="38"/>
      <c r="BK82" s="38"/>
      <c r="BL82" s="38"/>
      <c r="BM82" s="38"/>
      <c r="BN82" s="38"/>
      <c r="BO82" s="38"/>
      <c r="BP82" s="38"/>
      <c r="BQ82" s="38"/>
      <c r="BR82" s="38"/>
      <c r="BS82" s="38"/>
      <c r="BT82" s="38"/>
      <c r="BU82" s="38"/>
      <c r="BW82" s="62"/>
      <c r="BY82" s="62"/>
      <c r="BZ82" s="62"/>
      <c r="CA82" s="62"/>
      <c r="CB82" s="62"/>
      <c r="CC82" s="160"/>
      <c r="CD82" s="165"/>
      <c r="CE82" s="62"/>
      <c r="CK82" s="38"/>
      <c r="CL82" s="38"/>
      <c r="CM82" s="38"/>
      <c r="CN82" s="38"/>
      <c r="CY82" s="392"/>
      <c r="CZ82" s="53"/>
      <c r="DA82" s="38"/>
      <c r="DB82" s="38"/>
      <c r="DC82" s="38"/>
      <c r="DD82" s="38"/>
      <c r="DE82" s="38"/>
      <c r="DF82" s="154"/>
      <c r="DH82" s="53"/>
      <c r="DO82" s="153"/>
      <c r="DP82" s="153"/>
      <c r="DQ82" s="38"/>
      <c r="DR82" s="38"/>
      <c r="DS82" s="38"/>
      <c r="DT82" s="38"/>
      <c r="DU82" s="39"/>
      <c r="DV82" s="38"/>
      <c r="DW82" s="40"/>
      <c r="DX82" s="40"/>
      <c r="DY82" s="355"/>
      <c r="DZ82" s="40"/>
      <c r="EA82" s="38"/>
      <c r="EC82" s="380">
        <f t="shared" ca="1" si="773"/>
        <v>0</v>
      </c>
      <c r="ED82" s="73">
        <v>50</v>
      </c>
      <c r="EE82" s="38">
        <v>30</v>
      </c>
      <c r="EF82" s="54">
        <v>41214</v>
      </c>
      <c r="EG82" s="55">
        <f t="shared" si="782"/>
        <v>52171.5</v>
      </c>
      <c r="EH82" s="61" t="s">
        <v>122</v>
      </c>
      <c r="EI82" s="61">
        <f t="shared" ca="1" si="779"/>
        <v>51</v>
      </c>
      <c r="EJ82" s="61" t="s">
        <v>174</v>
      </c>
      <c r="EK82" s="39">
        <v>50.32</v>
      </c>
      <c r="EL82" s="39">
        <f t="shared" si="760"/>
        <v>0.32000000000000028</v>
      </c>
      <c r="EM82" s="40">
        <f t="shared" si="761"/>
        <v>6.3999999999999613E-3</v>
      </c>
      <c r="EN82" s="39">
        <f t="shared" ca="1" si="784"/>
        <v>6.2745098039215744E-3</v>
      </c>
      <c r="EO82" s="43">
        <f t="shared" ca="1" si="780"/>
        <v>1</v>
      </c>
      <c r="EP82" s="39">
        <f t="shared" ca="1" si="781"/>
        <v>57.934715473113883</v>
      </c>
      <c r="EQ82" s="39">
        <f t="shared" ca="1" si="783"/>
        <v>7.9347154731138829</v>
      </c>
      <c r="ER82" s="153">
        <f t="shared" ca="1" si="785"/>
        <v>0.15558265633556634</v>
      </c>
      <c r="EU82" s="1360">
        <f t="shared" ca="1" si="774"/>
        <v>0</v>
      </c>
      <c r="EV82" s="173">
        <v>60</v>
      </c>
      <c r="EW82" s="747">
        <v>30</v>
      </c>
      <c r="EX82" s="55">
        <v>42522</v>
      </c>
      <c r="EY82" s="55">
        <f t="shared" si="762"/>
        <v>53479.5</v>
      </c>
      <c r="EZ82" s="61">
        <f t="shared" ca="1" si="763"/>
        <v>8</v>
      </c>
      <c r="FA82" s="37" t="s">
        <v>1568</v>
      </c>
      <c r="FB82" s="39">
        <v>60.07</v>
      </c>
      <c r="FC82" s="39">
        <f t="shared" si="764"/>
        <v>7.0000000000000284E-2</v>
      </c>
      <c r="FD82" s="40">
        <f t="shared" si="765"/>
        <v>1.1666666666667602E-3</v>
      </c>
      <c r="FE82" s="39">
        <f t="shared" ca="1" si="776"/>
        <v>8.7500000000000355E-3</v>
      </c>
      <c r="FF82" s="43">
        <f t="shared" ca="1" si="767"/>
        <v>0</v>
      </c>
      <c r="FR82" s="438"/>
      <c r="FS82" s="550">
        <v>7</v>
      </c>
      <c r="FT82" s="58">
        <v>1</v>
      </c>
      <c r="FU82" s="38">
        <v>3</v>
      </c>
      <c r="FV82" s="38">
        <f t="shared" si="786"/>
        <v>1.0007497189607399</v>
      </c>
      <c r="FW82" s="39">
        <f t="shared" si="787"/>
        <v>25.472814270145289</v>
      </c>
      <c r="FX82" s="153"/>
      <c r="GE82" s="144"/>
    </row>
    <row r="83" spans="2:187">
      <c r="B83" s="472" t="s">
        <v>2382</v>
      </c>
      <c r="C83" s="38" t="s">
        <v>2384</v>
      </c>
      <c r="D83" s="113" t="s">
        <v>125</v>
      </c>
      <c r="E83" s="123">
        <f>((E78-E80)/E80)*(365/28)</f>
        <v>4.9699351634187898E-3</v>
      </c>
      <c r="F83" s="126" t="s">
        <v>128</v>
      </c>
      <c r="G83" s="114"/>
      <c r="H83" s="124"/>
      <c r="I83" s="125"/>
      <c r="K83" s="150" t="str">
        <f>IF(AND(E65&gt;E66,E66&gt;E67,E67&gt;E68),"normal",IF(AND(E65&lt;E66,E66&lt;E67,E67&lt;E68),"inverted",IF(AND(ABS(E65-E66)&lt;L83,ABS(E65-E67)&lt;L83,ABS(E65-E68)&lt;L83,ABS(E66-E67)&lt;L83,ABS(E66-E68)&lt;L83,ABS(E67-E68)&lt;L83),"flat","other")))</f>
        <v>normal</v>
      </c>
      <c r="L83" s="108">
        <v>2.5000000000000001E-3</v>
      </c>
      <c r="N83" s="424"/>
      <c r="O83" s="153"/>
      <c r="AG83" s="38"/>
      <c r="AH83" s="38"/>
      <c r="AI83" s="38"/>
      <c r="AJ83" s="38"/>
      <c r="AK83" s="38"/>
      <c r="AL83" s="38"/>
      <c r="AM83" s="38"/>
      <c r="AN83" s="38"/>
      <c r="AO83" s="38"/>
      <c r="AP83" s="38"/>
      <c r="AQ83" s="38"/>
      <c r="AR83" s="38"/>
      <c r="AS83" s="38"/>
      <c r="AT83" s="38"/>
      <c r="AU83" s="38"/>
      <c r="AV83" s="38"/>
      <c r="AW83" s="38"/>
      <c r="AX83" s="38"/>
      <c r="AY83" s="38"/>
      <c r="BB83" s="38"/>
      <c r="BC83" s="38"/>
      <c r="BD83" s="38"/>
      <c r="BE83" s="38"/>
      <c r="BF83" s="38"/>
      <c r="BG83" s="38"/>
      <c r="BH83" s="38"/>
      <c r="BI83" s="38"/>
      <c r="BJ83" s="38"/>
      <c r="BK83" s="38"/>
      <c r="BL83" s="38"/>
      <c r="BM83" s="38"/>
      <c r="BN83" s="38"/>
      <c r="BO83" s="38"/>
      <c r="BP83" s="38"/>
      <c r="BQ83" s="38"/>
      <c r="BR83" s="38"/>
      <c r="BS83" s="38"/>
      <c r="BT83" s="38"/>
      <c r="BU83" s="38"/>
      <c r="BW83" s="62"/>
      <c r="BY83" s="62"/>
      <c r="BZ83" s="62"/>
      <c r="CA83" s="62"/>
      <c r="CB83" s="62"/>
      <c r="CC83" s="160"/>
      <c r="CD83" s="165"/>
      <c r="CE83" s="62"/>
      <c r="CI83" s="38"/>
      <c r="CJ83" s="38"/>
      <c r="CK83" s="38"/>
      <c r="CL83" s="38"/>
      <c r="CM83" s="38"/>
      <c r="CN83" s="38"/>
      <c r="CY83" s="392"/>
      <c r="CZ83" s="53"/>
      <c r="DA83" s="38"/>
      <c r="DB83" s="38"/>
      <c r="DC83" s="38"/>
      <c r="DD83" s="38"/>
      <c r="DE83" s="38"/>
      <c r="DF83" s="154"/>
      <c r="DH83" s="53"/>
      <c r="DO83" s="153"/>
      <c r="DP83" s="153"/>
      <c r="DQ83" s="38"/>
      <c r="DR83" s="38"/>
      <c r="DS83" s="38"/>
      <c r="DT83" s="38"/>
      <c r="DU83" s="39"/>
      <c r="DV83" s="38"/>
      <c r="DW83" s="40"/>
      <c r="DX83" s="40"/>
      <c r="DY83" s="355"/>
      <c r="DZ83" s="40"/>
      <c r="EA83" s="38"/>
      <c r="EC83" s="380">
        <f t="shared" ca="1" si="773"/>
        <v>0</v>
      </c>
      <c r="ED83" s="73">
        <v>50</v>
      </c>
      <c r="EE83" s="38">
        <v>30</v>
      </c>
      <c r="EF83" s="54">
        <v>41214</v>
      </c>
      <c r="EG83" s="55">
        <f t="shared" si="782"/>
        <v>52171.5</v>
      </c>
      <c r="EH83" s="61" t="s">
        <v>122</v>
      </c>
      <c r="EI83" s="61">
        <f t="shared" ca="1" si="779"/>
        <v>51</v>
      </c>
      <c r="EJ83" s="61" t="s">
        <v>194</v>
      </c>
      <c r="EK83" s="39">
        <v>50.32</v>
      </c>
      <c r="EL83" s="39">
        <f t="shared" si="760"/>
        <v>0.32000000000000028</v>
      </c>
      <c r="EM83" s="40">
        <f t="shared" si="761"/>
        <v>6.3999999999999613E-3</v>
      </c>
      <c r="EN83" s="39">
        <f t="shared" ca="1" si="784"/>
        <v>6.2745098039215744E-3</v>
      </c>
      <c r="EO83" s="43">
        <f t="shared" ca="1" si="780"/>
        <v>1</v>
      </c>
      <c r="EP83" s="39">
        <f t="shared" ca="1" si="781"/>
        <v>57.934715473113883</v>
      </c>
      <c r="EQ83" s="39">
        <f t="shared" ca="1" si="783"/>
        <v>7.9347154731138829</v>
      </c>
      <c r="ER83" s="153">
        <f t="shared" ca="1" si="785"/>
        <v>0.15558265633556634</v>
      </c>
      <c r="EU83" s="1360">
        <f t="shared" ca="1" si="774"/>
        <v>0</v>
      </c>
      <c r="EV83" s="173">
        <v>60</v>
      </c>
      <c r="EW83" s="747">
        <v>30</v>
      </c>
      <c r="EX83" s="55">
        <v>42522</v>
      </c>
      <c r="EY83" s="55">
        <f t="shared" si="762"/>
        <v>53479.5</v>
      </c>
      <c r="EZ83" s="61">
        <f t="shared" ca="1" si="763"/>
        <v>8</v>
      </c>
      <c r="FA83" s="37" t="s">
        <v>1569</v>
      </c>
      <c r="FB83" s="39">
        <v>60.07</v>
      </c>
      <c r="FC83" s="39">
        <f t="shared" si="764"/>
        <v>7.0000000000000284E-2</v>
      </c>
      <c r="FD83" s="40">
        <f t="shared" si="765"/>
        <v>1.1666666666667602E-3</v>
      </c>
      <c r="FE83" s="39">
        <f t="shared" ca="1" si="776"/>
        <v>8.7500000000000355E-3</v>
      </c>
      <c r="FF83" s="43">
        <f t="shared" ca="1" si="767"/>
        <v>0</v>
      </c>
      <c r="FR83" s="438"/>
      <c r="FS83" s="550">
        <v>7</v>
      </c>
      <c r="FT83" s="58">
        <v>1</v>
      </c>
      <c r="FU83" s="38">
        <v>4</v>
      </c>
      <c r="FV83" s="38">
        <f t="shared" si="786"/>
        <v>1.0009997501665211</v>
      </c>
      <c r="FW83" s="39">
        <f t="shared" si="787"/>
        <v>25.479178497230176</v>
      </c>
      <c r="FX83" s="153"/>
      <c r="GE83" s="144"/>
    </row>
    <row r="84" spans="2:187">
      <c r="B84" s="472" t="s">
        <v>2383</v>
      </c>
      <c r="C84" s="40">
        <v>5.7500000000000002E-2</v>
      </c>
      <c r="D84" s="127" t="s">
        <v>126</v>
      </c>
      <c r="E84" s="128">
        <f>(1+E83/(365/28))^(365/28)-1</f>
        <v>4.981353891457152E-3</v>
      </c>
      <c r="F84" s="116" t="s">
        <v>129</v>
      </c>
      <c r="G84" s="129"/>
      <c r="H84" s="129"/>
      <c r="I84" s="130"/>
      <c r="K84" s="150"/>
      <c r="L84" s="151"/>
      <c r="O84" s="153"/>
      <c r="P84" s="199"/>
      <c r="Q84" s="199"/>
      <c r="AG84" s="38"/>
      <c r="AH84" s="38"/>
      <c r="AI84" s="38"/>
      <c r="AJ84" s="38"/>
      <c r="AK84" s="38"/>
      <c r="AL84" s="38"/>
      <c r="AM84" s="38"/>
      <c r="AN84" s="38"/>
      <c r="AO84" s="38"/>
      <c r="AP84" s="38"/>
      <c r="AQ84" s="38"/>
      <c r="AR84" s="38"/>
      <c r="AS84" s="38"/>
      <c r="AT84" s="38"/>
      <c r="AU84" s="38"/>
      <c r="AV84" s="38"/>
      <c r="AW84" s="38"/>
      <c r="AX84" s="38"/>
      <c r="AY84" s="38"/>
      <c r="BB84" s="38"/>
      <c r="BC84" s="38"/>
      <c r="BD84" s="38"/>
      <c r="BE84" s="38"/>
      <c r="BF84" s="38"/>
      <c r="BG84" s="38"/>
      <c r="BH84" s="38"/>
      <c r="BI84" s="38"/>
      <c r="BJ84" s="38"/>
      <c r="BK84" s="38"/>
      <c r="BL84" s="38"/>
      <c r="BM84" s="38"/>
      <c r="BN84" s="38"/>
      <c r="BO84" s="38"/>
      <c r="BP84" s="38"/>
      <c r="BQ84" s="38"/>
      <c r="BR84" s="38"/>
      <c r="BS84" s="38"/>
      <c r="BT84" s="38"/>
      <c r="BU84" s="38"/>
      <c r="BW84" s="62"/>
      <c r="BY84" s="62"/>
      <c r="BZ84" s="62"/>
      <c r="CA84" s="62"/>
      <c r="CB84" s="62"/>
      <c r="CC84" s="160"/>
      <c r="CD84" s="165"/>
      <c r="CE84" s="62"/>
      <c r="CI84" s="38"/>
      <c r="CJ84" s="38"/>
      <c r="CK84" s="38"/>
      <c r="CL84" s="38"/>
      <c r="CM84" s="38"/>
      <c r="CN84" s="38"/>
      <c r="CY84" s="392"/>
      <c r="CZ84" s="53"/>
      <c r="DA84" s="38"/>
      <c r="DB84" s="38"/>
      <c r="DC84" s="38"/>
      <c r="DD84" s="38"/>
      <c r="DE84" s="38"/>
      <c r="DF84" s="154"/>
      <c r="DH84" s="53"/>
      <c r="DO84" s="153"/>
      <c r="DP84" s="153"/>
      <c r="DQ84" s="38"/>
      <c r="DR84" s="38"/>
      <c r="DS84" s="38"/>
      <c r="DT84" s="38"/>
      <c r="DU84" s="39"/>
      <c r="DV84" s="38"/>
      <c r="DW84" s="40"/>
      <c r="DX84" s="40"/>
      <c r="DY84" s="355"/>
      <c r="DZ84" s="40"/>
      <c r="EA84" s="38"/>
      <c r="EC84" s="380">
        <f t="shared" ca="1" si="773"/>
        <v>0</v>
      </c>
      <c r="ED84" s="37">
        <v>25</v>
      </c>
      <c r="EE84" s="38">
        <v>30</v>
      </c>
      <c r="EF84" s="54">
        <v>41183</v>
      </c>
      <c r="EG84" s="55">
        <f t="shared" si="782"/>
        <v>52140.5</v>
      </c>
      <c r="EH84" s="61" t="s">
        <v>122</v>
      </c>
      <c r="EI84" s="61">
        <f t="shared" ca="1" si="779"/>
        <v>52</v>
      </c>
      <c r="EJ84" s="61" t="s">
        <v>169</v>
      </c>
      <c r="EK84" s="39">
        <v>25.66</v>
      </c>
      <c r="EL84" s="39">
        <f t="shared" si="760"/>
        <v>0.66000000000000014</v>
      </c>
      <c r="EM84" s="40">
        <f t="shared" si="761"/>
        <v>2.6399999999999979E-2</v>
      </c>
      <c r="EN84" s="39">
        <f t="shared" ca="1" si="784"/>
        <v>1.2692307692307695E-2</v>
      </c>
      <c r="EO84" s="43">
        <f t="shared" ca="1" si="780"/>
        <v>1</v>
      </c>
      <c r="EP84" s="39">
        <f t="shared" ca="1" si="781"/>
        <v>29.051139673945997</v>
      </c>
      <c r="EQ84" s="39">
        <f t="shared" ca="1" si="783"/>
        <v>4.0511396739459968</v>
      </c>
      <c r="ER84" s="153">
        <f t="shared" ca="1" si="785"/>
        <v>7.7906532191269168E-2</v>
      </c>
      <c r="EU84" s="1360">
        <f t="shared" ca="1" si="774"/>
        <v>0</v>
      </c>
      <c r="EV84" s="173">
        <v>60</v>
      </c>
      <c r="EW84" s="747">
        <v>30</v>
      </c>
      <c r="EX84" s="55">
        <v>42522</v>
      </c>
      <c r="EY84" s="55">
        <f t="shared" si="762"/>
        <v>53479.5</v>
      </c>
      <c r="EZ84" s="61">
        <f t="shared" ca="1" si="763"/>
        <v>8</v>
      </c>
      <c r="FA84" s="37" t="s">
        <v>1570</v>
      </c>
      <c r="FB84" s="39">
        <v>60.07</v>
      </c>
      <c r="FC84" s="39">
        <f t="shared" si="764"/>
        <v>7.0000000000000284E-2</v>
      </c>
      <c r="FD84" s="40">
        <f t="shared" si="765"/>
        <v>1.1666666666667602E-3</v>
      </c>
      <c r="FE84" s="39">
        <f t="shared" ca="1" si="776"/>
        <v>8.7500000000000355E-3</v>
      </c>
      <c r="FF84" s="43">
        <f t="shared" ca="1" si="767"/>
        <v>0</v>
      </c>
      <c r="FR84" s="438"/>
      <c r="FS84" s="550">
        <v>7</v>
      </c>
      <c r="FT84" s="58">
        <v>1</v>
      </c>
      <c r="FU84" s="38">
        <v>5</v>
      </c>
      <c r="FV84" s="38">
        <f t="shared" si="786"/>
        <v>1.001249843841072</v>
      </c>
      <c r="FW84" s="39">
        <f t="shared" si="787"/>
        <v>25.48554431437833</v>
      </c>
      <c r="FX84" s="153"/>
      <c r="GE84" s="144"/>
    </row>
    <row r="85" spans="2:187">
      <c r="B85" s="472"/>
      <c r="C85" s="40">
        <v>0.06</v>
      </c>
      <c r="D85" s="107" t="s">
        <v>127</v>
      </c>
      <c r="E85" s="128">
        <f>E84/(1-0.0575)</f>
        <v>5.2852561182569254E-3</v>
      </c>
      <c r="F85" s="131" t="s">
        <v>1363</v>
      </c>
      <c r="G85" s="129"/>
      <c r="H85" s="129"/>
      <c r="I85" s="130"/>
      <c r="J85" s="200"/>
      <c r="K85" s="133" t="s">
        <v>1722</v>
      </c>
      <c r="L85" s="151"/>
      <c r="N85" s="40"/>
      <c r="O85" s="153"/>
      <c r="AG85" s="38"/>
      <c r="AH85" s="38"/>
      <c r="AI85" s="38"/>
      <c r="AJ85" s="38"/>
      <c r="AK85" s="38"/>
      <c r="AL85" s="38"/>
      <c r="AM85" s="38"/>
      <c r="AN85" s="38"/>
      <c r="AO85" s="38"/>
      <c r="AP85" s="38"/>
      <c r="AQ85" s="38"/>
      <c r="AR85" s="38"/>
      <c r="AS85" s="38"/>
      <c r="AT85" s="38"/>
      <c r="AU85" s="38"/>
      <c r="AV85" s="38"/>
      <c r="AW85" s="38"/>
      <c r="AX85" s="38"/>
      <c r="AY85" s="38"/>
      <c r="BB85" s="38"/>
      <c r="BC85" s="38"/>
      <c r="BD85" s="38"/>
      <c r="BE85" s="38"/>
      <c r="BF85" s="38"/>
      <c r="BG85" s="38"/>
      <c r="BH85" s="38"/>
      <c r="BI85" s="38"/>
      <c r="BJ85" s="38"/>
      <c r="BK85" s="38"/>
      <c r="BL85" s="38"/>
      <c r="BM85" s="38"/>
      <c r="BN85" s="38"/>
      <c r="BO85" s="38"/>
      <c r="BP85" s="38"/>
      <c r="BQ85" s="38"/>
      <c r="BR85" s="38"/>
      <c r="BS85" s="38"/>
      <c r="BT85" s="38"/>
      <c r="BU85" s="38"/>
      <c r="BW85" s="62"/>
      <c r="BY85" s="62"/>
      <c r="BZ85" s="62"/>
      <c r="CA85" s="62"/>
      <c r="CB85" s="62"/>
      <c r="CC85" s="160"/>
      <c r="CD85" s="165"/>
      <c r="CE85" s="62"/>
      <c r="CI85" s="38"/>
      <c r="CJ85" s="38"/>
      <c r="CK85" s="38"/>
      <c r="CL85" s="38"/>
      <c r="CM85" s="38"/>
      <c r="CN85" s="38"/>
      <c r="CY85" s="392"/>
      <c r="CZ85" s="53"/>
      <c r="DA85" s="38"/>
      <c r="DB85" s="38"/>
      <c r="DC85" s="38"/>
      <c r="DD85" s="38"/>
      <c r="DE85" s="38"/>
      <c r="DF85" s="154"/>
      <c r="DH85" s="53"/>
      <c r="DO85" s="153"/>
      <c r="DP85" s="153"/>
      <c r="DQ85" s="38"/>
      <c r="DR85" s="38"/>
      <c r="DS85" s="38"/>
      <c r="DT85" s="38"/>
      <c r="DU85" s="39"/>
      <c r="DV85" s="38"/>
      <c r="DW85" s="40"/>
      <c r="DX85" s="40"/>
      <c r="DY85" s="355"/>
      <c r="DZ85" s="40"/>
      <c r="EA85" s="38"/>
      <c r="EC85" s="380">
        <f t="shared" ca="1" si="773"/>
        <v>0</v>
      </c>
      <c r="ED85" s="39">
        <v>25</v>
      </c>
      <c r="EE85" s="38">
        <v>30</v>
      </c>
      <c r="EF85" s="54">
        <v>41153</v>
      </c>
      <c r="EG85" s="55">
        <f t="shared" si="782"/>
        <v>52110.5</v>
      </c>
      <c r="EH85" s="61" t="s">
        <v>122</v>
      </c>
      <c r="EI85" s="61">
        <f t="shared" ca="1" si="779"/>
        <v>53</v>
      </c>
      <c r="EJ85" s="61" t="s">
        <v>170</v>
      </c>
      <c r="EK85" s="39">
        <v>25.66</v>
      </c>
      <c r="EL85" s="39">
        <f t="shared" si="760"/>
        <v>0.66000000000000014</v>
      </c>
      <c r="EM85" s="40">
        <f t="shared" si="761"/>
        <v>2.6399999999999979E-2</v>
      </c>
      <c r="EN85" s="39">
        <f t="shared" ca="1" si="784"/>
        <v>1.2452830188679247E-2</v>
      </c>
      <c r="EO85" s="43">
        <f t="shared" ca="1" si="780"/>
        <v>1</v>
      </c>
      <c r="EP85" s="39">
        <f t="shared" ca="1" si="781"/>
        <v>29.135163932816244</v>
      </c>
      <c r="EQ85" s="39">
        <f t="shared" ca="1" si="783"/>
        <v>4.1351639328162442</v>
      </c>
      <c r="ER85" s="153">
        <f t="shared" ca="1" si="785"/>
        <v>7.8021960996532913E-2</v>
      </c>
      <c r="EU85" s="1360">
        <f t="shared" ca="1" si="774"/>
        <v>0</v>
      </c>
      <c r="EV85" s="173">
        <v>60</v>
      </c>
      <c r="EW85" s="747">
        <v>30</v>
      </c>
      <c r="EX85" s="55">
        <v>42522</v>
      </c>
      <c r="EY85" s="55">
        <f t="shared" si="762"/>
        <v>53479.5</v>
      </c>
      <c r="EZ85" s="61">
        <f t="shared" ca="1" si="763"/>
        <v>8</v>
      </c>
      <c r="FA85" s="37" t="s">
        <v>1571</v>
      </c>
      <c r="FB85" s="39">
        <v>60.07</v>
      </c>
      <c r="FC85" s="39">
        <f t="shared" si="764"/>
        <v>7.0000000000000284E-2</v>
      </c>
      <c r="FD85" s="40">
        <f t="shared" si="765"/>
        <v>1.1666666666667602E-3</v>
      </c>
      <c r="FE85" s="39">
        <f t="shared" ca="1" si="776"/>
        <v>8.7500000000000355E-3</v>
      </c>
      <c r="FF85" s="43">
        <f t="shared" ca="1" si="767"/>
        <v>0</v>
      </c>
      <c r="FR85" s="438"/>
      <c r="FS85" s="550">
        <v>7</v>
      </c>
      <c r="FT85" s="58">
        <v>1</v>
      </c>
      <c r="FU85" s="38">
        <v>6</v>
      </c>
      <c r="FV85" s="38">
        <f t="shared" si="786"/>
        <v>1.0015000000000001</v>
      </c>
      <c r="FW85" s="39">
        <f t="shared" si="787"/>
        <v>25.491911721987027</v>
      </c>
      <c r="FX85" s="153"/>
      <c r="GE85" s="144"/>
    </row>
    <row r="86" spans="2:187" ht="13.5" thickBot="1">
      <c r="D86" s="132"/>
      <c r="E86" s="116"/>
      <c r="F86" s="129"/>
      <c r="G86" s="129"/>
      <c r="H86" s="129"/>
      <c r="I86" s="130"/>
      <c r="K86" s="854" t="str">
        <f>IF(K83="normal","long",IF(K83="inverted","short to medium","mainly short"))</f>
        <v>long</v>
      </c>
      <c r="L86" s="377"/>
      <c r="O86" s="153"/>
      <c r="AG86" s="38"/>
      <c r="AH86" s="38"/>
      <c r="AI86" s="38"/>
      <c r="AJ86" s="38"/>
      <c r="AK86" s="38"/>
      <c r="AL86" s="38"/>
      <c r="AM86" s="38"/>
      <c r="AN86" s="38"/>
      <c r="AO86" s="38"/>
      <c r="AP86" s="38"/>
      <c r="AQ86" s="38"/>
      <c r="AR86" s="38"/>
      <c r="AS86" s="38"/>
      <c r="AT86" s="38"/>
      <c r="AU86" s="38"/>
      <c r="AV86" s="38"/>
      <c r="AW86" s="38"/>
      <c r="AX86" s="38"/>
      <c r="AY86" s="38"/>
      <c r="BB86" s="38"/>
      <c r="BC86" s="38"/>
      <c r="BD86" s="38"/>
      <c r="BE86" s="38"/>
      <c r="BF86" s="38"/>
      <c r="BG86" s="38"/>
      <c r="BH86" s="38"/>
      <c r="BI86" s="38"/>
      <c r="BJ86" s="38"/>
      <c r="BK86" s="38"/>
      <c r="BL86" s="38"/>
      <c r="BM86" s="38"/>
      <c r="BN86" s="38"/>
      <c r="BO86" s="38"/>
      <c r="BP86" s="38"/>
      <c r="BQ86" s="38"/>
      <c r="BR86" s="38"/>
      <c r="BS86" s="38"/>
      <c r="BT86" s="38"/>
      <c r="BU86" s="38"/>
      <c r="BW86" s="62"/>
      <c r="BY86" s="62"/>
      <c r="BZ86" s="62"/>
      <c r="CA86" s="62"/>
      <c r="CB86" s="62"/>
      <c r="CC86" s="160"/>
      <c r="CD86" s="165"/>
      <c r="CE86" s="62"/>
      <c r="CI86" s="38"/>
      <c r="CJ86" s="38"/>
      <c r="CK86" s="38"/>
      <c r="CL86" s="38"/>
      <c r="CM86" s="38"/>
      <c r="CN86" s="38"/>
      <c r="CY86" s="392"/>
      <c r="CZ86" s="38"/>
      <c r="DA86" s="38"/>
      <c r="DB86" s="38"/>
      <c r="DC86" s="38"/>
      <c r="DD86" s="38"/>
      <c r="DE86" s="38"/>
      <c r="DF86" s="154"/>
      <c r="DH86" s="53"/>
      <c r="DO86" s="153"/>
      <c r="DP86" s="153"/>
      <c r="DQ86" s="38"/>
      <c r="DR86" s="38"/>
      <c r="DS86" s="38"/>
      <c r="DT86" s="38"/>
      <c r="DU86" s="39"/>
      <c r="DV86" s="38"/>
      <c r="DW86" s="40"/>
      <c r="DX86" s="40"/>
      <c r="DY86" s="355"/>
      <c r="DZ86" s="40"/>
      <c r="EA86" s="38"/>
      <c r="EC86" s="380">
        <f t="shared" ca="1" si="773"/>
        <v>0</v>
      </c>
      <c r="ED86" s="39">
        <v>25</v>
      </c>
      <c r="EE86" s="38">
        <v>30</v>
      </c>
      <c r="EF86" s="54">
        <v>41122</v>
      </c>
      <c r="EG86" s="55">
        <f t="shared" si="782"/>
        <v>52079.5</v>
      </c>
      <c r="EH86" s="61" t="s">
        <v>122</v>
      </c>
      <c r="EI86" s="61">
        <f t="shared" ca="1" si="779"/>
        <v>54</v>
      </c>
      <c r="EJ86" s="61" t="s">
        <v>166</v>
      </c>
      <c r="EK86" s="39">
        <v>25.68</v>
      </c>
      <c r="EL86" s="39">
        <f t="shared" si="760"/>
        <v>0.67999999999999972</v>
      </c>
      <c r="EM86" s="40">
        <f t="shared" si="761"/>
        <v>2.7199999999999891E-2</v>
      </c>
      <c r="EN86" s="39">
        <f t="shared" ca="1" si="784"/>
        <v>1.2592592592592588E-2</v>
      </c>
      <c r="EO86" s="43">
        <f t="shared" ca="1" si="780"/>
        <v>1</v>
      </c>
      <c r="EP86" s="39">
        <f t="shared" ca="1" si="781"/>
        <v>29.21943121403115</v>
      </c>
      <c r="EQ86" s="39">
        <f t="shared" ca="1" si="783"/>
        <v>4.2194312140311503</v>
      </c>
      <c r="ER86" s="153">
        <f t="shared" ca="1" si="785"/>
        <v>7.8137615074650932E-2</v>
      </c>
      <c r="EU86" s="1360">
        <f t="shared" ca="1" si="774"/>
        <v>0</v>
      </c>
      <c r="EV86" s="173">
        <v>100</v>
      </c>
      <c r="EW86" s="747">
        <v>30</v>
      </c>
      <c r="EX86" s="55">
        <v>42522</v>
      </c>
      <c r="EY86" s="55">
        <f t="shared" ref="EY86" si="788">EX86+EW86*365.25</f>
        <v>53479.5</v>
      </c>
      <c r="EZ86" s="61">
        <f t="shared" ca="1" si="763"/>
        <v>8</v>
      </c>
      <c r="FA86" s="37" t="s">
        <v>2156</v>
      </c>
      <c r="FB86" s="39">
        <v>100.12</v>
      </c>
      <c r="FC86" s="39">
        <f t="shared" ref="FC86" si="789">FB86-EV86</f>
        <v>0.12000000000000455</v>
      </c>
      <c r="FD86" s="40">
        <f t="shared" ref="FD86" si="790">FB86/EV86-1</f>
        <v>1.2000000000000899E-3</v>
      </c>
      <c r="FE86" s="39">
        <f t="shared" ca="1" si="776"/>
        <v>1.5000000000000568E-2</v>
      </c>
      <c r="FF86" s="43">
        <f t="shared" ca="1" si="767"/>
        <v>0</v>
      </c>
      <c r="FR86" s="438"/>
      <c r="FS86" s="550">
        <v>7</v>
      </c>
      <c r="FT86" s="58">
        <v>2</v>
      </c>
      <c r="FU86" s="38">
        <v>1</v>
      </c>
      <c r="FV86" s="38">
        <f t="shared" si="786"/>
        <v>1.0002498438930771</v>
      </c>
      <c r="FW86" s="39">
        <f>$FW$85*FV86</f>
        <v>25.498280720453625</v>
      </c>
      <c r="FX86" s="153"/>
      <c r="GE86" s="144"/>
    </row>
    <row r="87" spans="2:187">
      <c r="D87" s="133" t="s">
        <v>222</v>
      </c>
      <c r="E87" s="134"/>
      <c r="F87" s="124"/>
      <c r="G87" s="490"/>
      <c r="H87" s="129"/>
      <c r="I87" s="130"/>
      <c r="J87" s="172"/>
      <c r="O87" s="153"/>
      <c r="AG87" s="38"/>
      <c r="AH87" s="38"/>
      <c r="AI87" s="38"/>
      <c r="AJ87" s="38"/>
      <c r="AK87" s="38"/>
      <c r="AL87" s="38"/>
      <c r="AM87" s="38"/>
      <c r="AN87" s="38"/>
      <c r="AO87" s="38"/>
      <c r="AP87" s="38"/>
      <c r="AQ87" s="38"/>
      <c r="AR87" s="38"/>
      <c r="AS87" s="38"/>
      <c r="AT87" s="38"/>
      <c r="AU87" s="38"/>
      <c r="AV87" s="38"/>
      <c r="AW87" s="38"/>
      <c r="AX87" s="38"/>
      <c r="AY87" s="38"/>
      <c r="BB87" s="38"/>
      <c r="BC87" s="38"/>
      <c r="BD87" s="38"/>
      <c r="BE87" s="38"/>
      <c r="BF87" s="38"/>
      <c r="BG87" s="38"/>
      <c r="BH87" s="38"/>
      <c r="BI87" s="38"/>
      <c r="BJ87" s="38"/>
      <c r="BK87" s="38"/>
      <c r="BL87" s="38"/>
      <c r="BM87" s="38"/>
      <c r="BN87" s="38"/>
      <c r="BO87" s="38"/>
      <c r="BP87" s="38"/>
      <c r="BQ87" s="38"/>
      <c r="BR87" s="38"/>
      <c r="BS87" s="38"/>
      <c r="BT87" s="38"/>
      <c r="BU87" s="38"/>
      <c r="BW87" s="62"/>
      <c r="BY87" s="62"/>
      <c r="BZ87" s="62"/>
      <c r="CA87" s="62"/>
      <c r="CB87" s="62"/>
      <c r="CC87" s="160"/>
      <c r="CD87" s="165"/>
      <c r="CE87" s="62"/>
      <c r="CI87" s="38"/>
      <c r="CJ87" s="38"/>
      <c r="CK87" s="38"/>
      <c r="CL87" s="38"/>
      <c r="CM87" s="38"/>
      <c r="CN87" s="38"/>
      <c r="CY87" s="204"/>
      <c r="CZ87" s="38"/>
      <c r="DA87" s="38"/>
      <c r="DB87" s="38"/>
      <c r="DC87" s="38"/>
      <c r="DD87" s="38"/>
      <c r="DE87" s="38"/>
      <c r="DF87" s="154"/>
      <c r="DH87" s="53"/>
      <c r="DO87" s="153"/>
      <c r="DP87" s="153"/>
      <c r="DQ87" s="38"/>
      <c r="DR87" s="38"/>
      <c r="DS87" s="38"/>
      <c r="DT87" s="38"/>
      <c r="DU87" s="39"/>
      <c r="DV87" s="38"/>
      <c r="DW87" s="40"/>
      <c r="DX87" s="40"/>
      <c r="DY87" s="355"/>
      <c r="DZ87" s="40"/>
      <c r="EA87" s="38"/>
      <c r="EB87" s="38"/>
      <c r="EC87" s="380">
        <f t="shared" ca="1" si="773"/>
        <v>0</v>
      </c>
      <c r="ED87" s="39">
        <v>25</v>
      </c>
      <c r="EE87" s="38">
        <v>30</v>
      </c>
      <c r="EF87" s="54">
        <v>41122</v>
      </c>
      <c r="EG87" s="55">
        <f t="shared" si="782"/>
        <v>52079.5</v>
      </c>
      <c r="EH87" s="61" t="s">
        <v>122</v>
      </c>
      <c r="EI87" s="61">
        <f t="shared" ca="1" si="779"/>
        <v>54</v>
      </c>
      <c r="EJ87" s="61" t="s">
        <v>167</v>
      </c>
      <c r="EK87" s="39">
        <v>25.68</v>
      </c>
      <c r="EL87" s="39">
        <f t="shared" si="760"/>
        <v>0.67999999999999972</v>
      </c>
      <c r="EM87" s="40">
        <f t="shared" si="761"/>
        <v>2.7199999999999891E-2</v>
      </c>
      <c r="EN87" s="39">
        <f t="shared" ca="1" si="784"/>
        <v>1.2592592592592588E-2</v>
      </c>
      <c r="EO87" s="43">
        <f t="shared" ca="1" si="780"/>
        <v>1</v>
      </c>
      <c r="EP87" s="39">
        <f t="shared" ca="1" si="781"/>
        <v>29.21943121403115</v>
      </c>
      <c r="EQ87" s="39">
        <f t="shared" ca="1" si="783"/>
        <v>4.2194312140311503</v>
      </c>
      <c r="ER87" s="153">
        <f t="shared" ca="1" si="785"/>
        <v>7.8137615074650932E-2</v>
      </c>
      <c r="EU87" s="1360">
        <f t="shared" ca="1" si="774"/>
        <v>0</v>
      </c>
      <c r="EV87" s="173">
        <v>60</v>
      </c>
      <c r="EW87" s="747">
        <v>30</v>
      </c>
      <c r="EX87" s="55">
        <v>42491</v>
      </c>
      <c r="EY87" s="55">
        <f t="shared" si="762"/>
        <v>53448.5</v>
      </c>
      <c r="EZ87" s="61">
        <f t="shared" ca="1" si="763"/>
        <v>9</v>
      </c>
      <c r="FA87" s="37" t="s">
        <v>1564</v>
      </c>
      <c r="FB87" s="39">
        <v>60.07</v>
      </c>
      <c r="FC87" s="39">
        <f t="shared" si="764"/>
        <v>7.0000000000000284E-2</v>
      </c>
      <c r="FD87" s="40">
        <f t="shared" si="765"/>
        <v>1.1666666666667602E-3</v>
      </c>
      <c r="FE87" s="39">
        <f t="shared" ca="1" si="776"/>
        <v>7.7777777777778096E-3</v>
      </c>
      <c r="FF87" s="43">
        <f t="shared" ca="1" si="767"/>
        <v>0</v>
      </c>
      <c r="FR87" s="438"/>
      <c r="FS87" s="550">
        <v>7</v>
      </c>
      <c r="FT87" s="58">
        <v>2</v>
      </c>
      <c r="FU87" s="38">
        <v>2</v>
      </c>
      <c r="FV87" s="38">
        <f t="shared" si="786"/>
        <v>1.0004997502081252</v>
      </c>
      <c r="FW87" s="39">
        <f t="shared" ref="FW87:FW91" si="791">$FW$85*FV87</f>
        <v>25.5046513101756</v>
      </c>
      <c r="FX87" s="67"/>
      <c r="GE87" s="144"/>
    </row>
    <row r="88" spans="2:187" ht="13.5" thickBot="1">
      <c r="D88" s="487" t="s">
        <v>43</v>
      </c>
      <c r="E88" s="136" t="s">
        <v>13</v>
      </c>
      <c r="F88" s="136" t="s">
        <v>117</v>
      </c>
      <c r="G88" s="136" t="s">
        <v>120</v>
      </c>
      <c r="H88" s="136" t="s">
        <v>121</v>
      </c>
      <c r="I88" s="94" t="s">
        <v>46</v>
      </c>
      <c r="J88" s="172"/>
      <c r="O88" s="153"/>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BA88" s="38"/>
      <c r="BB88" s="38"/>
      <c r="BC88" s="38"/>
      <c r="BD88" s="38"/>
      <c r="BE88" s="38"/>
      <c r="BF88" s="38"/>
      <c r="BG88" s="38"/>
      <c r="BH88" s="38"/>
      <c r="BI88" s="38"/>
      <c r="BJ88" s="38"/>
      <c r="BK88" s="38"/>
      <c r="BL88" s="38"/>
      <c r="BM88" s="38"/>
      <c r="BN88" s="38"/>
      <c r="BO88" s="38"/>
      <c r="BP88" s="38"/>
      <c r="BQ88" s="38"/>
      <c r="BR88" s="38"/>
      <c r="BS88" s="38"/>
      <c r="BT88" s="38"/>
      <c r="BU88" s="38"/>
      <c r="BW88" s="62"/>
      <c r="BY88" s="62"/>
      <c r="BZ88" s="62"/>
      <c r="CA88" s="62"/>
      <c r="CB88" s="62"/>
      <c r="CC88" s="160"/>
      <c r="CD88" s="165"/>
      <c r="CE88" s="62"/>
      <c r="CI88" s="38"/>
      <c r="CJ88" s="38"/>
      <c r="CK88" s="38"/>
      <c r="CL88" s="38"/>
      <c r="CM88" s="38"/>
      <c r="CN88" s="38"/>
      <c r="CY88" s="204"/>
      <c r="CZ88" s="38"/>
      <c r="DA88" s="38"/>
      <c r="DB88" s="38"/>
      <c r="DC88" s="38"/>
      <c r="DD88" s="38"/>
      <c r="DE88" s="38"/>
      <c r="DF88" s="154"/>
      <c r="DH88" s="53"/>
      <c r="DO88" s="39"/>
      <c r="DP88" s="39"/>
      <c r="DQ88" s="38"/>
      <c r="DR88" s="38"/>
      <c r="DS88" s="38"/>
      <c r="DT88" s="38"/>
      <c r="DU88" s="39"/>
      <c r="DV88" s="38"/>
      <c r="DW88" s="40"/>
      <c r="DX88" s="40"/>
      <c r="DY88" s="355"/>
      <c r="DZ88" s="40"/>
      <c r="EA88" s="38"/>
      <c r="EB88" s="38"/>
      <c r="EC88" s="380">
        <f t="shared" ca="1" si="773"/>
        <v>0</v>
      </c>
      <c r="ED88" s="39">
        <v>25</v>
      </c>
      <c r="EE88" s="38">
        <v>30</v>
      </c>
      <c r="EF88" s="54">
        <v>41122</v>
      </c>
      <c r="EG88" s="55">
        <f t="shared" si="782"/>
        <v>52079.5</v>
      </c>
      <c r="EH88" s="61" t="s">
        <v>122</v>
      </c>
      <c r="EI88" s="61">
        <f t="shared" ca="1" si="779"/>
        <v>54</v>
      </c>
      <c r="EJ88" s="61" t="s">
        <v>168</v>
      </c>
      <c r="EK88" s="39">
        <v>25.68</v>
      </c>
      <c r="EL88" s="39">
        <f t="shared" si="760"/>
        <v>0.67999999999999972</v>
      </c>
      <c r="EM88" s="40">
        <f t="shared" si="761"/>
        <v>2.7199999999999891E-2</v>
      </c>
      <c r="EN88" s="39">
        <f t="shared" ca="1" si="784"/>
        <v>1.2592592592592588E-2</v>
      </c>
      <c r="EO88" s="43">
        <f t="shared" ca="1" si="780"/>
        <v>1</v>
      </c>
      <c r="EP88" s="39">
        <f t="shared" ca="1" si="781"/>
        <v>29.21943121403115</v>
      </c>
      <c r="EQ88" s="39">
        <f t="shared" ca="1" si="783"/>
        <v>4.2194312140311503</v>
      </c>
      <c r="ER88" s="153">
        <f t="shared" ca="1" si="785"/>
        <v>7.8137615074650932E-2</v>
      </c>
      <c r="EU88" s="1360">
        <f t="shared" ca="1" si="774"/>
        <v>0</v>
      </c>
      <c r="EV88" s="173">
        <v>60</v>
      </c>
      <c r="EW88" s="747">
        <v>30</v>
      </c>
      <c r="EX88" s="55">
        <v>42491</v>
      </c>
      <c r="EY88" s="55">
        <f t="shared" si="762"/>
        <v>53448.5</v>
      </c>
      <c r="EZ88" s="61">
        <f t="shared" ca="1" si="763"/>
        <v>9</v>
      </c>
      <c r="FA88" s="37" t="s">
        <v>1565</v>
      </c>
      <c r="FB88" s="39">
        <v>60.07</v>
      </c>
      <c r="FC88" s="39">
        <f t="shared" si="764"/>
        <v>7.0000000000000284E-2</v>
      </c>
      <c r="FD88" s="40">
        <f t="shared" si="765"/>
        <v>1.1666666666667602E-3</v>
      </c>
      <c r="FE88" s="39">
        <f t="shared" ca="1" si="776"/>
        <v>7.7777777777778096E-3</v>
      </c>
      <c r="FF88" s="43">
        <f t="shared" ca="1" si="767"/>
        <v>0</v>
      </c>
      <c r="FR88" s="438"/>
      <c r="FS88" s="550">
        <v>7</v>
      </c>
      <c r="FT88" s="58">
        <v>2</v>
      </c>
      <c r="FU88" s="38">
        <v>3</v>
      </c>
      <c r="FV88" s="38">
        <f t="shared" si="786"/>
        <v>1.0007497189607399</v>
      </c>
      <c r="FW88" s="39">
        <f t="shared" si="791"/>
        <v>25.51102349155051</v>
      </c>
      <c r="FX88" s="153"/>
      <c r="GE88" s="144"/>
    </row>
    <row r="89" spans="2:187">
      <c r="D89" s="137">
        <f>E78</f>
        <v>100</v>
      </c>
      <c r="E89" s="121">
        <f>E80</f>
        <v>99.961888999999999</v>
      </c>
      <c r="F89" s="121">
        <f>D89-E89</f>
        <v>3.8111000000000672E-2</v>
      </c>
      <c r="G89" s="121">
        <f>F89</f>
        <v>3.8111000000000672E-2</v>
      </c>
      <c r="H89" s="91">
        <v>1</v>
      </c>
      <c r="I89" s="138">
        <f t="shared" ref="I89:I113" si="792">G89/$E$80</f>
        <v>3.812553002074688E-4</v>
      </c>
      <c r="J89" s="105" t="s">
        <v>1777</v>
      </c>
      <c r="K89" s="89"/>
      <c r="L89" s="90"/>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BA89" s="38"/>
      <c r="BB89" s="38"/>
      <c r="BC89" s="38"/>
      <c r="BD89" s="38"/>
      <c r="BE89" s="38"/>
      <c r="BF89" s="38"/>
      <c r="BG89" s="38"/>
      <c r="BH89" s="38"/>
      <c r="BI89" s="38"/>
      <c r="BJ89" s="38"/>
      <c r="BK89" s="38"/>
      <c r="BL89" s="38"/>
      <c r="BM89" s="38"/>
      <c r="BN89" s="38"/>
      <c r="BO89" s="38"/>
      <c r="BP89" s="38"/>
      <c r="BQ89" s="38"/>
      <c r="BR89" s="38"/>
      <c r="BS89" s="38"/>
      <c r="BT89" s="38"/>
      <c r="BU89" s="38"/>
      <c r="BW89" s="62"/>
      <c r="BY89" s="62"/>
      <c r="BZ89" s="62"/>
      <c r="CA89" s="62"/>
      <c r="CB89" s="62"/>
      <c r="CC89" s="160"/>
      <c r="CD89" s="165"/>
      <c r="CE89" s="62"/>
      <c r="CI89" s="38"/>
      <c r="CJ89" s="38"/>
      <c r="CK89" s="38"/>
      <c r="CL89" s="38"/>
      <c r="CM89" s="38"/>
      <c r="CN89" s="38"/>
      <c r="CY89" s="204"/>
      <c r="CZ89" s="38"/>
      <c r="DA89" s="38"/>
      <c r="DB89" s="38"/>
      <c r="DC89" s="38"/>
      <c r="DD89" s="38"/>
      <c r="DE89" s="38"/>
      <c r="DF89" s="154"/>
      <c r="DH89" s="53"/>
      <c r="DO89" s="39"/>
      <c r="DP89" s="39"/>
      <c r="DQ89" s="38"/>
      <c r="DR89" s="38"/>
      <c r="DS89" s="38"/>
      <c r="DT89" s="38"/>
      <c r="DU89" s="39"/>
      <c r="DV89" s="38"/>
      <c r="DW89" s="40"/>
      <c r="DX89" s="40"/>
      <c r="DY89" s="355"/>
      <c r="DZ89" s="40"/>
      <c r="EA89" s="38"/>
      <c r="EB89" s="38"/>
      <c r="EC89" s="43"/>
      <c r="EU89" s="1360">
        <f t="shared" ca="1" si="774"/>
        <v>0</v>
      </c>
      <c r="EV89" s="173">
        <v>60</v>
      </c>
      <c r="EW89" s="747">
        <v>30</v>
      </c>
      <c r="EX89" s="55">
        <v>42491</v>
      </c>
      <c r="EY89" s="55">
        <f t="shared" si="762"/>
        <v>53448.5</v>
      </c>
      <c r="EZ89" s="61">
        <f t="shared" ca="1" si="763"/>
        <v>9</v>
      </c>
      <c r="FA89" s="37" t="s">
        <v>1566</v>
      </c>
      <c r="FB89" s="39">
        <v>60.07</v>
      </c>
      <c r="FC89" s="39">
        <f t="shared" si="764"/>
        <v>7.0000000000000284E-2</v>
      </c>
      <c r="FD89" s="40">
        <f t="shared" si="765"/>
        <v>1.1666666666667602E-3</v>
      </c>
      <c r="FE89" s="39">
        <f t="shared" ca="1" si="776"/>
        <v>7.7777777777778096E-3</v>
      </c>
      <c r="FF89" s="43">
        <f t="shared" ca="1" si="767"/>
        <v>0</v>
      </c>
      <c r="FR89" s="438"/>
      <c r="FS89" s="550">
        <v>7</v>
      </c>
      <c r="FT89" s="58">
        <v>2</v>
      </c>
      <c r="FU89" s="38">
        <v>4</v>
      </c>
      <c r="FV89" s="38">
        <f t="shared" si="786"/>
        <v>1.0009997501665211</v>
      </c>
      <c r="FW89" s="39">
        <f t="shared" si="791"/>
        <v>25.517397264976026</v>
      </c>
      <c r="FX89" s="153"/>
      <c r="GE89" s="144"/>
    </row>
    <row r="90" spans="2:187">
      <c r="D90" s="137">
        <f>D89</f>
        <v>100</v>
      </c>
      <c r="E90" s="121">
        <f>E89</f>
        <v>99.961888999999999</v>
      </c>
      <c r="F90" s="121">
        <f t="shared" ref="F90:F113" si="793">D90-E90</f>
        <v>3.8111000000000672E-2</v>
      </c>
      <c r="G90" s="121">
        <f t="shared" ref="G90:G113" si="794">G89+F90</f>
        <v>7.6222000000001344E-2</v>
      </c>
      <c r="H90" s="91">
        <v>2</v>
      </c>
      <c r="I90" s="138">
        <f t="shared" si="792"/>
        <v>7.6251060041493759E-4</v>
      </c>
      <c r="J90" s="922" t="s">
        <v>2956</v>
      </c>
      <c r="K90" s="923">
        <v>4.5999999999999999E-3</v>
      </c>
      <c r="L90" s="924" t="s">
        <v>2957</v>
      </c>
      <c r="M90" s="424"/>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BA90" s="38"/>
      <c r="BB90" s="38"/>
      <c r="BC90" s="38"/>
      <c r="BD90" s="38"/>
      <c r="BE90" s="38"/>
      <c r="BF90" s="38"/>
      <c r="BG90" s="38"/>
      <c r="BH90" s="38"/>
      <c r="BI90" s="38"/>
      <c r="BJ90" s="38"/>
      <c r="BK90" s="38"/>
      <c r="BL90" s="38"/>
      <c r="BM90" s="38"/>
      <c r="BN90" s="38"/>
      <c r="BO90" s="38"/>
      <c r="BP90" s="38"/>
      <c r="BQ90" s="38"/>
      <c r="BR90" s="38"/>
      <c r="BS90" s="38"/>
      <c r="BT90" s="38"/>
      <c r="BU90" s="38"/>
      <c r="CC90" s="160"/>
      <c r="CD90" s="165"/>
      <c r="CE90" s="38"/>
      <c r="CF90" s="39"/>
      <c r="CI90" s="38"/>
      <c r="CJ90" s="38"/>
      <c r="CK90" s="38"/>
      <c r="CL90" s="38"/>
      <c r="CM90" s="38"/>
      <c r="CN90" s="38"/>
      <c r="CY90" s="204"/>
      <c r="CZ90" s="38"/>
      <c r="DA90" s="38"/>
      <c r="DB90" s="38"/>
      <c r="DC90" s="38"/>
      <c r="DD90" s="38"/>
      <c r="DE90" s="38"/>
      <c r="DF90" s="154"/>
      <c r="DH90" s="53"/>
      <c r="DO90" s="39"/>
      <c r="DP90" s="39"/>
      <c r="DQ90" s="38"/>
      <c r="DR90" s="38"/>
      <c r="DS90" s="38"/>
      <c r="DT90" s="38"/>
      <c r="DU90" s="39"/>
      <c r="DV90" s="38"/>
      <c r="DW90" s="40"/>
      <c r="DX90" s="40"/>
      <c r="DY90" s="355"/>
      <c r="DZ90" s="40"/>
      <c r="EA90" s="38"/>
      <c r="EB90" s="38"/>
      <c r="EC90" s="43"/>
      <c r="EU90" s="1360">
        <f t="shared" ca="1" si="774"/>
        <v>0</v>
      </c>
      <c r="EV90" s="173">
        <v>60</v>
      </c>
      <c r="EW90" s="747">
        <v>30</v>
      </c>
      <c r="EX90" s="55">
        <v>42491</v>
      </c>
      <c r="EY90" s="55">
        <f t="shared" si="762"/>
        <v>53448.5</v>
      </c>
      <c r="EZ90" s="61">
        <f t="shared" ca="1" si="763"/>
        <v>9</v>
      </c>
      <c r="FA90" s="37" t="s">
        <v>1567</v>
      </c>
      <c r="FB90" s="39">
        <v>60.07</v>
      </c>
      <c r="FC90" s="39">
        <f t="shared" si="764"/>
        <v>7.0000000000000284E-2</v>
      </c>
      <c r="FD90" s="40">
        <f t="shared" si="765"/>
        <v>1.1666666666667602E-3</v>
      </c>
      <c r="FE90" s="39">
        <f t="shared" ca="1" si="776"/>
        <v>7.7777777777778096E-3</v>
      </c>
      <c r="FF90" s="43">
        <f t="shared" ca="1" si="767"/>
        <v>0</v>
      </c>
      <c r="FR90" s="438"/>
      <c r="FS90" s="550">
        <v>7</v>
      </c>
      <c r="FT90" s="58">
        <v>2</v>
      </c>
      <c r="FU90" s="38">
        <v>5</v>
      </c>
      <c r="FV90" s="38">
        <f t="shared" si="786"/>
        <v>1.001249843841072</v>
      </c>
      <c r="FW90" s="39">
        <f t="shared" si="791"/>
        <v>25.523772630849901</v>
      </c>
      <c r="FX90" s="153"/>
      <c r="GE90" s="144"/>
    </row>
    <row r="91" spans="2:187">
      <c r="D91" s="137">
        <f t="shared" ref="D91:E113" si="795">D90</f>
        <v>100</v>
      </c>
      <c r="E91" s="121">
        <f t="shared" si="795"/>
        <v>99.961888999999999</v>
      </c>
      <c r="F91" s="121">
        <f t="shared" si="793"/>
        <v>3.8111000000000672E-2</v>
      </c>
      <c r="G91" s="121">
        <f t="shared" si="794"/>
        <v>0.11433300000000202</v>
      </c>
      <c r="H91" s="91">
        <v>3</v>
      </c>
      <c r="I91" s="138">
        <f t="shared" si="792"/>
        <v>1.1437659006224064E-3</v>
      </c>
      <c r="J91" s="925" t="s">
        <v>2958</v>
      </c>
      <c r="K91" s="923">
        <v>5.4000000000000003E-3</v>
      </c>
      <c r="L91" s="924" t="s">
        <v>2828</v>
      </c>
      <c r="O91" s="62"/>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BA91" s="38"/>
      <c r="BB91" s="38"/>
      <c r="BC91" s="38"/>
      <c r="BD91" s="38"/>
      <c r="BE91" s="38"/>
      <c r="BF91" s="38"/>
      <c r="BG91" s="38"/>
      <c r="BH91" s="38"/>
      <c r="BI91" s="38"/>
      <c r="BJ91" s="38"/>
      <c r="BK91" s="38"/>
      <c r="BL91" s="38"/>
      <c r="BM91" s="38"/>
      <c r="BN91" s="38"/>
      <c r="BO91" s="38"/>
      <c r="BP91" s="38"/>
      <c r="BQ91" s="38"/>
      <c r="BR91" s="38"/>
      <c r="BS91" s="38"/>
      <c r="BT91" s="38"/>
      <c r="BU91" s="38"/>
      <c r="BW91" s="62"/>
      <c r="BY91" s="62"/>
      <c r="BZ91" s="62"/>
      <c r="CA91" s="62"/>
      <c r="CB91" s="62"/>
      <c r="CC91" s="160"/>
      <c r="CD91" s="165"/>
      <c r="CE91" s="62"/>
      <c r="CF91" s="39"/>
      <c r="CI91" s="38"/>
      <c r="CJ91" s="38"/>
      <c r="CK91" s="38"/>
      <c r="CL91" s="38"/>
      <c r="CM91" s="38"/>
      <c r="CN91" s="38"/>
      <c r="CY91" s="204"/>
      <c r="CZ91" s="38"/>
      <c r="DA91" s="38"/>
      <c r="DB91" s="38"/>
      <c r="DC91" s="38"/>
      <c r="DD91" s="38"/>
      <c r="DE91" s="38"/>
      <c r="DF91" s="154"/>
      <c r="DH91" s="53"/>
      <c r="DO91" s="39"/>
      <c r="DP91" s="39"/>
      <c r="DQ91" s="38"/>
      <c r="DR91" s="38"/>
      <c r="DS91" s="38"/>
      <c r="DT91" s="38"/>
      <c r="DU91" s="39"/>
      <c r="DV91" s="38"/>
      <c r="DW91" s="40"/>
      <c r="DX91" s="40"/>
      <c r="DY91" s="355"/>
      <c r="DZ91" s="40"/>
      <c r="EA91" s="38"/>
      <c r="EB91" s="38"/>
      <c r="EC91" s="43"/>
      <c r="EU91" s="1360">
        <f t="shared" ca="1" si="774"/>
        <v>0</v>
      </c>
      <c r="EV91" s="173">
        <v>60</v>
      </c>
      <c r="EW91" s="747">
        <v>30</v>
      </c>
      <c r="EX91" s="55">
        <v>42461</v>
      </c>
      <c r="EY91" s="55">
        <f t="shared" si="762"/>
        <v>53418.5</v>
      </c>
      <c r="EZ91" s="61">
        <f t="shared" ca="1" si="763"/>
        <v>10</v>
      </c>
      <c r="FA91" s="37" t="s">
        <v>1559</v>
      </c>
      <c r="FB91" s="39">
        <v>60.53</v>
      </c>
      <c r="FC91" s="39">
        <f t="shared" si="764"/>
        <v>0.53000000000000114</v>
      </c>
      <c r="FD91" s="40">
        <f t="shared" si="765"/>
        <v>8.8333333333332487E-3</v>
      </c>
      <c r="FE91" s="39">
        <f t="shared" ca="1" si="776"/>
        <v>5.3000000000000116E-2</v>
      </c>
      <c r="FF91" s="43">
        <f t="shared" ca="1" si="767"/>
        <v>0</v>
      </c>
      <c r="FR91" s="438"/>
      <c r="FS91" s="550">
        <v>7</v>
      </c>
      <c r="FT91" s="58">
        <v>2</v>
      </c>
      <c r="FU91" s="38">
        <v>6</v>
      </c>
      <c r="FV91" s="38">
        <f t="shared" si="786"/>
        <v>1.0015000000000001</v>
      </c>
      <c r="FW91" s="39">
        <f t="shared" si="791"/>
        <v>25.530149589570009</v>
      </c>
      <c r="FX91" s="153"/>
      <c r="GE91" s="144"/>
    </row>
    <row r="92" spans="2:187">
      <c r="D92" s="137">
        <f t="shared" si="795"/>
        <v>100</v>
      </c>
      <c r="E92" s="121">
        <f t="shared" si="795"/>
        <v>99.961888999999999</v>
      </c>
      <c r="F92" s="121">
        <f t="shared" si="793"/>
        <v>3.8111000000000672E-2</v>
      </c>
      <c r="G92" s="121">
        <f t="shared" si="794"/>
        <v>0.15244400000000269</v>
      </c>
      <c r="H92" s="91">
        <v>4</v>
      </c>
      <c r="I92" s="138">
        <f t="shared" si="792"/>
        <v>1.5250212008298752E-3</v>
      </c>
      <c r="J92" s="821" t="s">
        <v>1824</v>
      </c>
      <c r="K92" s="926">
        <v>1.2E-2</v>
      </c>
      <c r="L92" s="927" t="s">
        <v>2959</v>
      </c>
      <c r="M92" s="40"/>
      <c r="O92" s="62"/>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BA92" s="38"/>
      <c r="BB92" s="38"/>
      <c r="BC92" s="38"/>
      <c r="BD92" s="38"/>
      <c r="BE92" s="38"/>
      <c r="BF92" s="38"/>
      <c r="BG92" s="38"/>
      <c r="BH92" s="38"/>
      <c r="BI92" s="38"/>
      <c r="BJ92" s="38"/>
      <c r="BK92" s="38"/>
      <c r="BL92" s="38"/>
      <c r="BM92" s="38"/>
      <c r="BN92" s="38"/>
      <c r="BO92" s="38"/>
      <c r="BP92" s="38"/>
      <c r="BQ92" s="38"/>
      <c r="BR92" s="38"/>
      <c r="BS92" s="38"/>
      <c r="BT92" s="38"/>
      <c r="BU92" s="38"/>
      <c r="CF92" s="39"/>
      <c r="CI92" s="38"/>
      <c r="CJ92" s="38"/>
      <c r="CK92" s="38"/>
      <c r="CL92" s="38"/>
      <c r="CM92" s="38"/>
      <c r="CN92" s="38"/>
      <c r="CY92" s="204"/>
      <c r="CZ92" s="38"/>
      <c r="DA92" s="38"/>
      <c r="DB92" s="38"/>
      <c r="DC92" s="38"/>
      <c r="DD92" s="38"/>
      <c r="DE92" s="38"/>
      <c r="DF92" s="154"/>
      <c r="DH92" s="53"/>
      <c r="DN92" s="38"/>
      <c r="DO92" s="39"/>
      <c r="DP92" s="39"/>
      <c r="DQ92" s="38"/>
      <c r="DR92" s="38"/>
      <c r="DS92" s="38"/>
      <c r="DT92" s="38"/>
      <c r="DU92" s="39"/>
      <c r="DV92" s="38"/>
      <c r="DW92" s="40"/>
      <c r="DX92" s="40"/>
      <c r="DY92" s="355"/>
      <c r="DZ92" s="40"/>
      <c r="EA92" s="38"/>
      <c r="EB92" s="38"/>
      <c r="EC92" s="43"/>
      <c r="EO92" s="581"/>
      <c r="EU92" s="1360">
        <f t="shared" ca="1" si="774"/>
        <v>0</v>
      </c>
      <c r="EV92" s="173">
        <v>60</v>
      </c>
      <c r="EW92" s="747">
        <v>30</v>
      </c>
      <c r="EX92" s="55">
        <v>42461</v>
      </c>
      <c r="EY92" s="55">
        <f t="shared" si="762"/>
        <v>53418.5</v>
      </c>
      <c r="EZ92" s="61">
        <f t="shared" ca="1" si="763"/>
        <v>10</v>
      </c>
      <c r="FA92" s="37" t="s">
        <v>1560</v>
      </c>
      <c r="FB92" s="39">
        <v>60.53</v>
      </c>
      <c r="FC92" s="39">
        <f t="shared" si="764"/>
        <v>0.53000000000000114</v>
      </c>
      <c r="FD92" s="40">
        <f t="shared" si="765"/>
        <v>8.8333333333332487E-3</v>
      </c>
      <c r="FE92" s="39">
        <f t="shared" ca="1" si="776"/>
        <v>5.3000000000000116E-2</v>
      </c>
      <c r="FF92" s="43">
        <f t="shared" ca="1" si="767"/>
        <v>0</v>
      </c>
      <c r="FR92" s="438"/>
      <c r="FV92" s="144"/>
      <c r="FW92" s="144"/>
      <c r="FX92" s="153"/>
      <c r="GE92" s="144"/>
    </row>
    <row r="93" spans="2:187">
      <c r="D93" s="137">
        <f t="shared" si="795"/>
        <v>100</v>
      </c>
      <c r="E93" s="121">
        <f t="shared" si="795"/>
        <v>99.961888999999999</v>
      </c>
      <c r="F93" s="121">
        <f t="shared" si="793"/>
        <v>3.8111000000000672E-2</v>
      </c>
      <c r="G93" s="121">
        <f t="shared" si="794"/>
        <v>0.19055500000000336</v>
      </c>
      <c r="H93" s="91">
        <v>5</v>
      </c>
      <c r="I93" s="138">
        <f t="shared" si="792"/>
        <v>1.9062765010373439E-3</v>
      </c>
      <c r="J93" s="925" t="s">
        <v>1825</v>
      </c>
      <c r="K93" s="923">
        <v>1.9099999999999999E-2</v>
      </c>
      <c r="L93" s="924" t="s">
        <v>2960</v>
      </c>
      <c r="O93" s="62"/>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CF93" s="39"/>
      <c r="CI93" s="38"/>
      <c r="CJ93" s="38"/>
      <c r="CK93" s="38"/>
      <c r="CL93" s="38"/>
      <c r="CM93" s="38"/>
      <c r="CN93" s="38"/>
      <c r="CY93" s="204"/>
      <c r="CZ93" s="38"/>
      <c r="DA93" s="38"/>
      <c r="DB93" s="38"/>
      <c r="DC93" s="38"/>
      <c r="DD93" s="38"/>
      <c r="DE93" s="38"/>
      <c r="DF93" s="154"/>
      <c r="DH93" s="53"/>
      <c r="DN93" s="38"/>
      <c r="DO93" s="39"/>
      <c r="DP93" s="39"/>
      <c r="DQ93" s="38"/>
      <c r="DR93" s="38"/>
      <c r="DS93" s="38"/>
      <c r="DT93" s="38"/>
      <c r="DU93" s="39"/>
      <c r="DV93" s="38"/>
      <c r="DW93" s="40"/>
      <c r="DX93" s="40"/>
      <c r="DY93" s="355"/>
      <c r="DZ93" s="40"/>
      <c r="EA93" s="38"/>
      <c r="EB93" s="38"/>
      <c r="EC93" s="43"/>
      <c r="EU93" s="1360">
        <f t="shared" ca="1" si="774"/>
        <v>0</v>
      </c>
      <c r="EV93" s="173">
        <v>60</v>
      </c>
      <c r="EW93" s="747">
        <v>30</v>
      </c>
      <c r="EX93" s="55">
        <v>42461</v>
      </c>
      <c r="EY93" s="55">
        <f t="shared" si="762"/>
        <v>53418.5</v>
      </c>
      <c r="EZ93" s="61">
        <f t="shared" ca="1" si="763"/>
        <v>10</v>
      </c>
      <c r="FA93" s="37" t="s">
        <v>1561</v>
      </c>
      <c r="FB93" s="39">
        <v>60.53</v>
      </c>
      <c r="FC93" s="39">
        <f t="shared" si="764"/>
        <v>0.53000000000000114</v>
      </c>
      <c r="FD93" s="40">
        <f t="shared" si="765"/>
        <v>8.8333333333332487E-3</v>
      </c>
      <c r="FE93" s="39">
        <f t="shared" ca="1" si="776"/>
        <v>5.3000000000000116E-2</v>
      </c>
      <c r="FF93" s="43">
        <f t="shared" ca="1" si="767"/>
        <v>0</v>
      </c>
      <c r="FR93" s="438"/>
      <c r="FS93" s="550">
        <v>8</v>
      </c>
      <c r="FT93" s="58">
        <v>1</v>
      </c>
      <c r="FU93" s="38">
        <v>1</v>
      </c>
      <c r="FV93" s="38">
        <f t="shared" ref="FV93:FV104" si="796">(1+$FY$2/2)^(FU93/6)</f>
        <v>1.0002498438930771</v>
      </c>
      <c r="FW93" s="39">
        <f>$FW$91*FV93</f>
        <v>25.536528141534308</v>
      </c>
      <c r="FX93" s="153"/>
      <c r="GE93" s="144"/>
    </row>
    <row r="94" spans="2:187">
      <c r="D94" s="137">
        <f t="shared" si="795"/>
        <v>100</v>
      </c>
      <c r="E94" s="121">
        <f t="shared" si="795"/>
        <v>99.961888999999999</v>
      </c>
      <c r="F94" s="121">
        <f t="shared" si="793"/>
        <v>3.8111000000000672E-2</v>
      </c>
      <c r="G94" s="121">
        <f t="shared" si="794"/>
        <v>0.22866600000000403</v>
      </c>
      <c r="H94" s="91">
        <v>6</v>
      </c>
      <c r="I94" s="138">
        <f t="shared" si="792"/>
        <v>2.2875318012448129E-3</v>
      </c>
      <c r="J94" s="925" t="s">
        <v>1826</v>
      </c>
      <c r="K94" s="923">
        <v>2.47E-2</v>
      </c>
      <c r="L94" s="924" t="s">
        <v>2961</v>
      </c>
      <c r="O94" s="62"/>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CF94" s="39"/>
      <c r="CI94" s="38"/>
      <c r="CJ94" s="38"/>
      <c r="CK94" s="38"/>
      <c r="CL94" s="38"/>
      <c r="CM94" s="38"/>
      <c r="CN94" s="38"/>
      <c r="CY94" s="204"/>
      <c r="CZ94" s="38"/>
      <c r="DA94" s="38"/>
      <c r="DB94" s="38"/>
      <c r="DC94" s="38"/>
      <c r="DD94" s="38"/>
      <c r="DE94" s="38"/>
      <c r="DF94" s="154"/>
      <c r="DH94" s="53"/>
      <c r="DN94" s="38"/>
      <c r="DO94" s="39"/>
      <c r="DP94" s="39"/>
      <c r="DQ94" s="38"/>
      <c r="DR94" s="38"/>
      <c r="DS94" s="38"/>
      <c r="DT94" s="38"/>
      <c r="DU94" s="39"/>
      <c r="DV94" s="38"/>
      <c r="DW94" s="40"/>
      <c r="DX94" s="40"/>
      <c r="DY94" s="355"/>
      <c r="DZ94" s="40"/>
      <c r="EA94" s="38"/>
      <c r="EB94" s="38"/>
      <c r="EC94" s="43"/>
      <c r="EU94" s="1360">
        <f t="shared" ca="1" si="774"/>
        <v>0</v>
      </c>
      <c r="EV94" s="173">
        <v>60</v>
      </c>
      <c r="EW94" s="747">
        <v>30</v>
      </c>
      <c r="EX94" s="55">
        <v>42461</v>
      </c>
      <c r="EY94" s="55">
        <f t="shared" si="762"/>
        <v>53418.5</v>
      </c>
      <c r="EZ94" s="61">
        <f t="shared" ca="1" si="763"/>
        <v>10</v>
      </c>
      <c r="FA94" s="37" t="s">
        <v>1562</v>
      </c>
      <c r="FB94" s="39">
        <v>60.53</v>
      </c>
      <c r="FC94" s="39">
        <f t="shared" si="764"/>
        <v>0.53000000000000114</v>
      </c>
      <c r="FD94" s="40">
        <f t="shared" si="765"/>
        <v>8.8333333333332487E-3</v>
      </c>
      <c r="FE94" s="39">
        <f t="shared" ca="1" si="776"/>
        <v>5.3000000000000116E-2</v>
      </c>
      <c r="FF94" s="43">
        <f t="shared" ca="1" si="767"/>
        <v>0</v>
      </c>
      <c r="FR94" s="438"/>
      <c r="FS94" s="550">
        <v>8</v>
      </c>
      <c r="FT94" s="58">
        <v>1</v>
      </c>
      <c r="FU94" s="38">
        <v>2</v>
      </c>
      <c r="FV94" s="38">
        <f t="shared" si="796"/>
        <v>1.0004997502081252</v>
      </c>
      <c r="FW94" s="39">
        <f t="shared" ref="FW94:FW98" si="797">$FW$91*FV94</f>
        <v>25.542908287140865</v>
      </c>
      <c r="FX94" s="153"/>
      <c r="GE94" s="144"/>
    </row>
    <row r="95" spans="2:187" ht="13.5" thickBot="1">
      <c r="D95" s="137">
        <f t="shared" si="795"/>
        <v>100</v>
      </c>
      <c r="E95" s="121">
        <f t="shared" si="795"/>
        <v>99.961888999999999</v>
      </c>
      <c r="F95" s="121">
        <f t="shared" si="793"/>
        <v>3.8111000000000672E-2</v>
      </c>
      <c r="G95" s="121">
        <f t="shared" si="794"/>
        <v>0.2667770000000047</v>
      </c>
      <c r="H95" s="91">
        <v>7</v>
      </c>
      <c r="I95" s="138">
        <f t="shared" si="792"/>
        <v>2.6687871014522816E-3</v>
      </c>
      <c r="J95" s="928" t="s">
        <v>1827</v>
      </c>
      <c r="K95" s="929">
        <v>3.09E-2</v>
      </c>
      <c r="L95" s="930" t="s">
        <v>2962</v>
      </c>
      <c r="O95" s="62"/>
      <c r="R95" s="38"/>
      <c r="S95" s="38"/>
      <c r="T95" s="43"/>
      <c r="U95" s="38"/>
      <c r="V95" s="5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CF95" s="39"/>
      <c r="CG95" s="38"/>
      <c r="CH95" s="38"/>
      <c r="CI95" s="38"/>
      <c r="CJ95" s="38"/>
      <c r="CK95" s="38"/>
      <c r="CL95" s="38"/>
      <c r="CM95" s="38"/>
      <c r="CN95" s="38"/>
      <c r="CY95" s="204"/>
      <c r="CZ95" s="38"/>
      <c r="DA95" s="38"/>
      <c r="DB95" s="38"/>
      <c r="DC95" s="38"/>
      <c r="DD95" s="38"/>
      <c r="DE95" s="38"/>
      <c r="DF95" s="154"/>
      <c r="DH95" s="53"/>
      <c r="DN95" s="38"/>
      <c r="DO95" s="39"/>
      <c r="DP95" s="39"/>
      <c r="DQ95" s="38"/>
      <c r="DR95" s="38"/>
      <c r="DS95" s="38"/>
      <c r="DT95" s="38"/>
      <c r="DU95" s="39"/>
      <c r="DV95" s="38"/>
      <c r="DW95" s="40"/>
      <c r="DX95" s="40"/>
      <c r="DY95" s="355"/>
      <c r="DZ95" s="40"/>
      <c r="EA95" s="38"/>
      <c r="EB95" s="38"/>
      <c r="EC95" s="43"/>
      <c r="EU95" s="1360">
        <f t="shared" ca="1" si="774"/>
        <v>0</v>
      </c>
      <c r="EV95" s="173">
        <v>60</v>
      </c>
      <c r="EW95" s="747">
        <v>30</v>
      </c>
      <c r="EX95" s="55">
        <v>42461</v>
      </c>
      <c r="EY95" s="55">
        <f t="shared" si="762"/>
        <v>53418.5</v>
      </c>
      <c r="EZ95" s="61">
        <f t="shared" ca="1" si="763"/>
        <v>10</v>
      </c>
      <c r="FA95" s="37" t="s">
        <v>1563</v>
      </c>
      <c r="FB95" s="39">
        <v>60.53</v>
      </c>
      <c r="FC95" s="39">
        <f t="shared" si="764"/>
        <v>0.53000000000000114</v>
      </c>
      <c r="FD95" s="40">
        <f t="shared" si="765"/>
        <v>8.8333333333332487E-3</v>
      </c>
      <c r="FE95" s="39">
        <f t="shared" ca="1" si="776"/>
        <v>5.3000000000000116E-2</v>
      </c>
      <c r="FF95" s="43">
        <f t="shared" ca="1" si="767"/>
        <v>0</v>
      </c>
      <c r="FR95" s="438"/>
      <c r="FS95" s="550">
        <v>8</v>
      </c>
      <c r="FT95" s="58">
        <v>1</v>
      </c>
      <c r="FU95" s="38">
        <v>3</v>
      </c>
      <c r="FV95" s="38">
        <f t="shared" si="796"/>
        <v>1.0007497189607399</v>
      </c>
      <c r="FW95" s="39">
        <f t="shared" si="797"/>
        <v>25.549290026787837</v>
      </c>
      <c r="FX95" s="153"/>
      <c r="GE95" s="144"/>
    </row>
    <row r="96" spans="2:187">
      <c r="D96" s="137">
        <f t="shared" si="795"/>
        <v>100</v>
      </c>
      <c r="E96" s="121">
        <f t="shared" si="795"/>
        <v>99.961888999999999</v>
      </c>
      <c r="F96" s="121">
        <f t="shared" si="793"/>
        <v>3.8111000000000672E-2</v>
      </c>
      <c r="G96" s="121">
        <f t="shared" si="794"/>
        <v>0.30488800000000538</v>
      </c>
      <c r="H96" s="91">
        <v>8</v>
      </c>
      <c r="I96" s="138">
        <f t="shared" si="792"/>
        <v>3.0500424016597504E-3</v>
      </c>
      <c r="J96" s="918"/>
      <c r="K96" s="745"/>
      <c r="L96" s="918"/>
      <c r="O96" s="62"/>
      <c r="R96" s="38"/>
      <c r="S96" s="38"/>
      <c r="T96" s="43"/>
      <c r="U96" s="38"/>
      <c r="V96" s="5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CF96" s="39"/>
      <c r="CG96" s="38"/>
      <c r="CH96" s="38"/>
      <c r="CI96" s="38"/>
      <c r="CJ96" s="38"/>
      <c r="CK96" s="38"/>
      <c r="CL96" s="38"/>
      <c r="CM96" s="38"/>
      <c r="CN96" s="38"/>
      <c r="CY96" s="204"/>
      <c r="CZ96" s="38"/>
      <c r="DA96" s="38"/>
      <c r="DB96" s="38"/>
      <c r="DC96" s="38"/>
      <c r="DD96" s="38"/>
      <c r="DE96" s="38"/>
      <c r="DF96" s="154"/>
      <c r="DG96" s="38"/>
      <c r="DH96" s="38"/>
      <c r="DI96" s="38"/>
      <c r="DJ96" s="38"/>
      <c r="DK96" s="38"/>
      <c r="DL96" s="38"/>
      <c r="DM96" s="38"/>
      <c r="DN96" s="38"/>
      <c r="DO96" s="39"/>
      <c r="DP96" s="39"/>
      <c r="DQ96" s="38"/>
      <c r="DR96" s="38"/>
      <c r="DS96" s="38"/>
      <c r="DT96" s="38"/>
      <c r="DU96" s="39"/>
      <c r="DV96" s="38"/>
      <c r="DW96" s="40"/>
      <c r="DX96" s="40"/>
      <c r="DY96" s="355"/>
      <c r="DZ96" s="40"/>
      <c r="EA96" s="38"/>
      <c r="EB96" s="38"/>
      <c r="EC96" s="43"/>
      <c r="EU96" s="1360">
        <f t="shared" ca="1" si="774"/>
        <v>0</v>
      </c>
      <c r="EV96" s="173">
        <v>60</v>
      </c>
      <c r="EW96" s="747">
        <v>30</v>
      </c>
      <c r="EX96" s="55">
        <v>42430</v>
      </c>
      <c r="EY96" s="55">
        <f t="shared" si="762"/>
        <v>53387.5</v>
      </c>
      <c r="EZ96" s="61">
        <f t="shared" ca="1" si="763"/>
        <v>11</v>
      </c>
      <c r="FA96" s="37" t="s">
        <v>1555</v>
      </c>
      <c r="FB96" s="39">
        <v>60.53</v>
      </c>
      <c r="FC96" s="39">
        <f t="shared" si="764"/>
        <v>0.53000000000000114</v>
      </c>
      <c r="FD96" s="40">
        <f t="shared" si="765"/>
        <v>8.8333333333332487E-3</v>
      </c>
      <c r="FE96" s="39">
        <f t="shared" ca="1" si="776"/>
        <v>4.8181818181818284E-2</v>
      </c>
      <c r="FF96" s="43">
        <f t="shared" ca="1" si="767"/>
        <v>0</v>
      </c>
      <c r="FR96" s="438"/>
      <c r="FS96" s="550">
        <v>8</v>
      </c>
      <c r="FT96" s="58">
        <v>1</v>
      </c>
      <c r="FU96" s="38">
        <v>4</v>
      </c>
      <c r="FV96" s="38">
        <f t="shared" si="796"/>
        <v>1.0009997501665211</v>
      </c>
      <c r="FW96" s="39">
        <f t="shared" si="797"/>
        <v>25.555673360873488</v>
      </c>
      <c r="FX96" s="153"/>
      <c r="GE96" s="144"/>
    </row>
    <row r="97" spans="4:187">
      <c r="D97" s="137">
        <f t="shared" si="795"/>
        <v>100</v>
      </c>
      <c r="E97" s="121">
        <f t="shared" si="795"/>
        <v>99.961888999999999</v>
      </c>
      <c r="F97" s="121">
        <f t="shared" si="793"/>
        <v>3.8111000000000672E-2</v>
      </c>
      <c r="G97" s="121">
        <f t="shared" si="794"/>
        <v>0.34299900000000605</v>
      </c>
      <c r="H97" s="91">
        <v>9</v>
      </c>
      <c r="I97" s="138">
        <f t="shared" si="792"/>
        <v>3.4312977018672191E-3</v>
      </c>
      <c r="N97" s="123"/>
      <c r="O97" s="62"/>
      <c r="P97" s="38"/>
      <c r="Q97" s="38"/>
      <c r="R97" s="38"/>
      <c r="S97" s="38"/>
      <c r="T97" s="43"/>
      <c r="U97" s="38"/>
      <c r="V97" s="5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CF97" s="39"/>
      <c r="CG97" s="38"/>
      <c r="CH97" s="38"/>
      <c r="CI97" s="38"/>
      <c r="CJ97" s="38"/>
      <c r="CK97" s="38"/>
      <c r="CL97" s="38"/>
      <c r="CM97" s="38"/>
      <c r="CN97" s="38"/>
      <c r="CY97" s="204"/>
      <c r="CZ97" s="38"/>
      <c r="DA97" s="38"/>
      <c r="DB97" s="38"/>
      <c r="DC97" s="38"/>
      <c r="DD97" s="38"/>
      <c r="DE97" s="38"/>
      <c r="DF97" s="154"/>
      <c r="DG97" s="38"/>
      <c r="DH97" s="38"/>
      <c r="DI97" s="38"/>
      <c r="DJ97" s="38"/>
      <c r="DK97" s="38"/>
      <c r="DL97" s="38"/>
      <c r="DM97" s="38"/>
      <c r="DN97" s="38"/>
      <c r="DO97" s="39"/>
      <c r="DP97" s="39"/>
      <c r="DQ97" s="38"/>
      <c r="DR97" s="38"/>
      <c r="DS97" s="38"/>
      <c r="DT97" s="38"/>
      <c r="DU97" s="39"/>
      <c r="DV97" s="38"/>
      <c r="DW97" s="40"/>
      <c r="DX97" s="40"/>
      <c r="DY97" s="355"/>
      <c r="DZ97" s="40"/>
      <c r="EA97" s="38"/>
      <c r="EB97" s="38"/>
      <c r="EC97" s="43"/>
      <c r="EU97" s="1360">
        <f t="shared" ca="1" si="774"/>
        <v>0</v>
      </c>
      <c r="EV97" s="173">
        <v>60</v>
      </c>
      <c r="EW97" s="747">
        <v>30</v>
      </c>
      <c r="EX97" s="55">
        <v>42430</v>
      </c>
      <c r="EY97" s="55">
        <f t="shared" si="762"/>
        <v>53387.5</v>
      </c>
      <c r="EZ97" s="61">
        <f t="shared" ca="1" si="763"/>
        <v>11</v>
      </c>
      <c r="FA97" s="37" t="s">
        <v>1556</v>
      </c>
      <c r="FB97" s="39">
        <v>60.53</v>
      </c>
      <c r="FC97" s="39">
        <f t="shared" si="764"/>
        <v>0.53000000000000114</v>
      </c>
      <c r="FD97" s="40">
        <f t="shared" si="765"/>
        <v>8.8333333333332487E-3</v>
      </c>
      <c r="FE97" s="39">
        <f t="shared" ca="1" si="776"/>
        <v>4.8181818181818284E-2</v>
      </c>
      <c r="FF97" s="43">
        <f t="shared" ca="1" si="767"/>
        <v>0</v>
      </c>
      <c r="FR97" s="438"/>
      <c r="FS97" s="550">
        <v>8</v>
      </c>
      <c r="FT97" s="58">
        <v>1</v>
      </c>
      <c r="FU97" s="38">
        <v>5</v>
      </c>
      <c r="FV97" s="38">
        <f t="shared" si="796"/>
        <v>1.001249843841072</v>
      </c>
      <c r="FW97" s="39">
        <f t="shared" si="797"/>
        <v>25.562058289796177</v>
      </c>
      <c r="FX97" s="153"/>
      <c r="GE97" s="144"/>
    </row>
    <row r="98" spans="4:187">
      <c r="D98" s="137">
        <f t="shared" si="795"/>
        <v>100</v>
      </c>
      <c r="E98" s="121">
        <f t="shared" si="795"/>
        <v>99.961888999999999</v>
      </c>
      <c r="F98" s="121">
        <f t="shared" si="793"/>
        <v>3.8111000000000672E-2</v>
      </c>
      <c r="G98" s="121">
        <f t="shared" si="794"/>
        <v>0.38111000000000672</v>
      </c>
      <c r="H98" s="91">
        <v>10</v>
      </c>
      <c r="I98" s="138">
        <f t="shared" si="792"/>
        <v>3.8125530020746879E-3</v>
      </c>
      <c r="N98" s="123"/>
      <c r="O98" s="62"/>
      <c r="P98" s="38"/>
      <c r="Q98" s="38"/>
      <c r="R98" s="38"/>
      <c r="S98" s="38"/>
      <c r="T98" s="43"/>
      <c r="U98" s="38"/>
      <c r="V98" s="5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CF98" s="39"/>
      <c r="CG98" s="38"/>
      <c r="CH98" s="38"/>
      <c r="CI98" s="38"/>
      <c r="CJ98" s="38"/>
      <c r="CK98" s="38"/>
      <c r="CL98" s="38"/>
      <c r="CM98" s="38"/>
      <c r="CN98" s="38"/>
      <c r="CY98" s="204"/>
      <c r="CZ98" s="38"/>
      <c r="DA98" s="38"/>
      <c r="DB98" s="38"/>
      <c r="DC98" s="38"/>
      <c r="DD98" s="38"/>
      <c r="DE98" s="38"/>
      <c r="DF98" s="154"/>
      <c r="DG98" s="38"/>
      <c r="DH98" s="38"/>
      <c r="DI98" s="38"/>
      <c r="DJ98" s="38"/>
      <c r="DK98" s="38"/>
      <c r="DL98" s="38"/>
      <c r="DM98" s="38"/>
      <c r="DN98" s="38"/>
      <c r="DO98" s="39"/>
      <c r="DP98" s="39"/>
      <c r="DQ98" s="38"/>
      <c r="DR98" s="38"/>
      <c r="DS98" s="38"/>
      <c r="DT98" s="38"/>
      <c r="DU98" s="39"/>
      <c r="DV98" s="38"/>
      <c r="DW98" s="40"/>
      <c r="DX98" s="40"/>
      <c r="DY98" s="355"/>
      <c r="DZ98" s="40"/>
      <c r="EA98" s="38"/>
      <c r="EB98" s="38"/>
      <c r="EC98" s="43"/>
      <c r="EU98" s="1360">
        <f t="shared" ca="1" si="774"/>
        <v>0</v>
      </c>
      <c r="EV98" s="173">
        <v>60</v>
      </c>
      <c r="EW98" s="747">
        <v>30</v>
      </c>
      <c r="EX98" s="55">
        <v>42430</v>
      </c>
      <c r="EY98" s="55">
        <f t="shared" si="762"/>
        <v>53387.5</v>
      </c>
      <c r="EZ98" s="61">
        <f t="shared" ca="1" si="763"/>
        <v>11</v>
      </c>
      <c r="FA98" s="37" t="s">
        <v>1557</v>
      </c>
      <c r="FB98" s="39">
        <v>60.53</v>
      </c>
      <c r="FC98" s="39">
        <f t="shared" si="764"/>
        <v>0.53000000000000114</v>
      </c>
      <c r="FD98" s="40">
        <f t="shared" si="765"/>
        <v>8.8333333333332487E-3</v>
      </c>
      <c r="FE98" s="39">
        <f t="shared" ca="1" si="776"/>
        <v>4.8181818181818284E-2</v>
      </c>
      <c r="FF98" s="43">
        <f t="shared" ca="1" si="767"/>
        <v>0</v>
      </c>
      <c r="FR98" s="438"/>
      <c r="FS98" s="550">
        <v>8</v>
      </c>
      <c r="FT98" s="58">
        <v>1</v>
      </c>
      <c r="FU98" s="38">
        <v>6</v>
      </c>
      <c r="FV98" s="38">
        <f t="shared" si="796"/>
        <v>1.0015000000000001</v>
      </c>
      <c r="FW98" s="39">
        <f t="shared" si="797"/>
        <v>25.568444813954365</v>
      </c>
      <c r="FX98" s="153"/>
      <c r="GE98" s="144"/>
    </row>
    <row r="99" spans="4:187">
      <c r="D99" s="137">
        <f t="shared" si="795"/>
        <v>100</v>
      </c>
      <c r="E99" s="121">
        <f t="shared" si="795"/>
        <v>99.961888999999999</v>
      </c>
      <c r="F99" s="121">
        <f t="shared" si="793"/>
        <v>3.8111000000000672E-2</v>
      </c>
      <c r="G99" s="121">
        <f t="shared" si="794"/>
        <v>0.41922100000000739</v>
      </c>
      <c r="H99" s="91">
        <v>11</v>
      </c>
      <c r="I99" s="138">
        <f t="shared" si="792"/>
        <v>4.193808302282157E-3</v>
      </c>
      <c r="N99" s="96"/>
      <c r="O99" s="62"/>
      <c r="P99" s="38"/>
      <c r="Q99" s="38"/>
      <c r="R99" s="38"/>
      <c r="S99" s="38"/>
      <c r="T99" s="43"/>
      <c r="U99" s="38"/>
      <c r="V99" s="5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CF99" s="39"/>
      <c r="CG99" s="38"/>
      <c r="CH99" s="38"/>
      <c r="CI99" s="38"/>
      <c r="CJ99" s="38"/>
      <c r="CK99" s="38"/>
      <c r="CL99" s="38"/>
      <c r="CM99" s="38"/>
      <c r="CN99" s="38"/>
      <c r="CY99" s="204"/>
      <c r="CZ99" s="38"/>
      <c r="DA99" s="38"/>
      <c r="DB99" s="38"/>
      <c r="DC99" s="38"/>
      <c r="DD99" s="38"/>
      <c r="DE99" s="38"/>
      <c r="DF99" s="154"/>
      <c r="DG99" s="38"/>
      <c r="DH99" s="38"/>
      <c r="DI99" s="38"/>
      <c r="DJ99" s="38"/>
      <c r="DK99" s="38"/>
      <c r="DL99" s="38"/>
      <c r="DM99" s="38"/>
      <c r="DN99" s="38"/>
      <c r="DO99" s="39"/>
      <c r="DP99" s="39"/>
      <c r="DQ99" s="38"/>
      <c r="DR99" s="38"/>
      <c r="DS99" s="38"/>
      <c r="DT99" s="38"/>
      <c r="DU99" s="39"/>
      <c r="DV99" s="38"/>
      <c r="DW99" s="40"/>
      <c r="DX99" s="40"/>
      <c r="DY99" s="355"/>
      <c r="DZ99" s="40"/>
      <c r="EA99" s="38"/>
      <c r="EB99" s="38"/>
      <c r="EC99" s="43"/>
      <c r="EU99" s="1360">
        <f t="shared" ca="1" si="774"/>
        <v>0</v>
      </c>
      <c r="EV99" s="173">
        <v>60</v>
      </c>
      <c r="EW99" s="747">
        <v>30</v>
      </c>
      <c r="EX99" s="55">
        <v>42430</v>
      </c>
      <c r="EY99" s="55">
        <f t="shared" si="762"/>
        <v>53387.5</v>
      </c>
      <c r="EZ99" s="61">
        <f t="shared" ca="1" si="763"/>
        <v>11</v>
      </c>
      <c r="FA99" s="37" t="s">
        <v>1558</v>
      </c>
      <c r="FB99" s="39">
        <v>60.53</v>
      </c>
      <c r="FC99" s="39">
        <f t="shared" si="764"/>
        <v>0.53000000000000114</v>
      </c>
      <c r="FD99" s="40">
        <f t="shared" si="765"/>
        <v>8.8333333333332487E-3</v>
      </c>
      <c r="FE99" s="39">
        <f t="shared" ca="1" si="776"/>
        <v>4.8181818181818284E-2</v>
      </c>
      <c r="FF99" s="43">
        <f t="shared" ca="1" si="767"/>
        <v>0</v>
      </c>
      <c r="FR99" s="438"/>
      <c r="FS99" s="550">
        <v>8</v>
      </c>
      <c r="FT99" s="58">
        <v>2</v>
      </c>
      <c r="FU99" s="38">
        <v>1</v>
      </c>
      <c r="FV99" s="38">
        <f t="shared" si="796"/>
        <v>1.0002498438930771</v>
      </c>
      <c r="FW99" s="39">
        <f>$FW$98*FV99</f>
        <v>25.57483293374661</v>
      </c>
      <c r="FX99" s="67"/>
      <c r="GE99" s="144"/>
    </row>
    <row r="100" spans="4:187">
      <c r="D100" s="137">
        <f t="shared" si="795"/>
        <v>100</v>
      </c>
      <c r="E100" s="121">
        <f t="shared" si="795"/>
        <v>99.961888999999999</v>
      </c>
      <c r="F100" s="121">
        <f t="shared" si="793"/>
        <v>3.8111000000000672E-2</v>
      </c>
      <c r="G100" s="121">
        <f t="shared" si="794"/>
        <v>0.45733200000000807</v>
      </c>
      <c r="H100" s="91">
        <v>12</v>
      </c>
      <c r="I100" s="138">
        <f t="shared" si="792"/>
        <v>4.5750636024896258E-3</v>
      </c>
      <c r="N100" s="96"/>
      <c r="O100" s="62"/>
      <c r="P100" s="38"/>
      <c r="Q100" s="38"/>
      <c r="R100" s="38"/>
      <c r="S100" s="38"/>
      <c r="T100" s="43"/>
      <c r="U100" s="38"/>
      <c r="V100" s="5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CF100" s="39"/>
      <c r="CG100" s="38"/>
      <c r="CH100" s="38"/>
      <c r="CI100" s="38"/>
      <c r="CJ100" s="38"/>
      <c r="CK100" s="38"/>
      <c r="CL100" s="38"/>
      <c r="CM100" s="38"/>
      <c r="CN100" s="38"/>
      <c r="CY100" s="204"/>
      <c r="CZ100" s="38"/>
      <c r="DA100" s="38"/>
      <c r="DB100" s="38"/>
      <c r="DC100" s="38"/>
      <c r="DD100" s="38"/>
      <c r="DE100" s="38"/>
      <c r="DF100" s="154"/>
      <c r="DG100" s="38"/>
      <c r="DH100" s="38"/>
      <c r="DI100" s="38"/>
      <c r="DJ100" s="38"/>
      <c r="DK100" s="38"/>
      <c r="DL100" s="38"/>
      <c r="DM100" s="38"/>
      <c r="DN100" s="38"/>
      <c r="DO100" s="39"/>
      <c r="DP100" s="39"/>
      <c r="DQ100" s="38"/>
      <c r="DR100" s="38"/>
      <c r="DS100" s="38"/>
      <c r="DT100" s="38"/>
      <c r="DU100" s="39"/>
      <c r="DV100" s="38"/>
      <c r="DW100" s="40"/>
      <c r="DX100" s="40"/>
      <c r="DY100" s="355"/>
      <c r="DZ100" s="40"/>
      <c r="EA100" s="38"/>
      <c r="EB100" s="38"/>
      <c r="EC100" s="43"/>
      <c r="EU100" s="1360">
        <f t="shared" ca="1" si="774"/>
        <v>0</v>
      </c>
      <c r="EV100" s="173">
        <v>60</v>
      </c>
      <c r="EW100" s="747">
        <v>30</v>
      </c>
      <c r="EX100" s="55">
        <v>42401</v>
      </c>
      <c r="EY100" s="55">
        <f t="shared" si="762"/>
        <v>53358.5</v>
      </c>
      <c r="EZ100" s="61">
        <f t="shared" ca="1" si="763"/>
        <v>12</v>
      </c>
      <c r="FA100" s="37" t="s">
        <v>1551</v>
      </c>
      <c r="FB100" s="39">
        <v>60.55</v>
      </c>
      <c r="FC100" s="39">
        <f t="shared" si="764"/>
        <v>0.54999999999999716</v>
      </c>
      <c r="FD100" s="40">
        <f t="shared" si="765"/>
        <v>9.1666666666665453E-3</v>
      </c>
      <c r="FE100" s="39">
        <f t="shared" ca="1" si="776"/>
        <v>4.5833333333333094E-2</v>
      </c>
      <c r="FF100" s="43">
        <f t="shared" ca="1" si="767"/>
        <v>1</v>
      </c>
      <c r="FH100" s="987"/>
      <c r="FR100" s="438"/>
      <c r="FS100" s="550">
        <v>8</v>
      </c>
      <c r="FT100" s="58">
        <v>2</v>
      </c>
      <c r="FU100" s="38">
        <v>2</v>
      </c>
      <c r="FV100" s="38">
        <f t="shared" si="796"/>
        <v>1.0004997502081252</v>
      </c>
      <c r="FW100" s="39">
        <f t="shared" ref="FW100:FW104" si="798">$FW$98*FV100</f>
        <v>25.581222649571576</v>
      </c>
      <c r="FX100" s="153"/>
      <c r="GE100" s="144"/>
    </row>
    <row r="101" spans="4:187">
      <c r="D101" s="137">
        <f t="shared" si="795"/>
        <v>100</v>
      </c>
      <c r="E101" s="121">
        <f t="shared" si="795"/>
        <v>99.961888999999999</v>
      </c>
      <c r="F101" s="121">
        <f t="shared" si="793"/>
        <v>3.8111000000000672E-2</v>
      </c>
      <c r="G101" s="121">
        <f t="shared" si="794"/>
        <v>0.49544300000000874</v>
      </c>
      <c r="H101" s="91">
        <v>13</v>
      </c>
      <c r="I101" s="138">
        <f t="shared" si="792"/>
        <v>4.9563189026970945E-3</v>
      </c>
      <c r="N101" s="96"/>
      <c r="O101" s="62"/>
      <c r="P101" s="38"/>
      <c r="Q101" s="38"/>
      <c r="R101" s="62"/>
      <c r="S101" s="62"/>
      <c r="T101" s="43"/>
      <c r="U101" s="62"/>
      <c r="V101" s="5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CF101" s="39"/>
      <c r="CG101" s="38"/>
      <c r="CH101" s="38"/>
      <c r="CI101" s="38"/>
      <c r="CJ101" s="38"/>
      <c r="CK101" s="38"/>
      <c r="CL101" s="38"/>
      <c r="CM101" s="38"/>
      <c r="CN101" s="38"/>
      <c r="CY101" s="204"/>
      <c r="CZ101" s="38"/>
      <c r="DA101" s="38"/>
      <c r="DB101" s="38"/>
      <c r="DC101" s="38"/>
      <c r="DD101" s="38"/>
      <c r="DE101" s="38"/>
      <c r="DF101" s="154"/>
      <c r="DG101" s="38"/>
      <c r="DH101" s="38"/>
      <c r="DI101" s="38"/>
      <c r="DJ101" s="38"/>
      <c r="DK101" s="38"/>
      <c r="DL101" s="38"/>
      <c r="DM101" s="38"/>
      <c r="DN101" s="38"/>
      <c r="DO101" s="39"/>
      <c r="DP101" s="39"/>
      <c r="DQ101" s="38"/>
      <c r="DR101" s="38"/>
      <c r="DS101" s="38"/>
      <c r="DT101" s="38"/>
      <c r="DU101" s="39"/>
      <c r="DV101" s="38"/>
      <c r="DW101" s="40"/>
      <c r="DX101" s="40"/>
      <c r="DY101" s="355"/>
      <c r="DZ101" s="40"/>
      <c r="EA101" s="38"/>
      <c r="EB101" s="38"/>
      <c r="EC101" s="43"/>
      <c r="EU101" s="1360">
        <f t="shared" ca="1" si="774"/>
        <v>0</v>
      </c>
      <c r="EV101" s="173">
        <v>60</v>
      </c>
      <c r="EW101" s="747">
        <v>30</v>
      </c>
      <c r="EX101" s="55">
        <v>42401</v>
      </c>
      <c r="EY101" s="55">
        <f t="shared" si="762"/>
        <v>53358.5</v>
      </c>
      <c r="EZ101" s="61">
        <f t="shared" ca="1" si="763"/>
        <v>12</v>
      </c>
      <c r="FA101" s="37" t="s">
        <v>1552</v>
      </c>
      <c r="FB101" s="39">
        <v>60.55</v>
      </c>
      <c r="FC101" s="39">
        <f t="shared" si="764"/>
        <v>0.54999999999999716</v>
      </c>
      <c r="FD101" s="40">
        <f t="shared" si="765"/>
        <v>9.1666666666665453E-3</v>
      </c>
      <c r="FE101" s="39">
        <f t="shared" ca="1" si="776"/>
        <v>4.5833333333333094E-2</v>
      </c>
      <c r="FF101" s="43">
        <f t="shared" ca="1" si="767"/>
        <v>1</v>
      </c>
      <c r="FH101" s="987"/>
      <c r="FR101" s="438"/>
      <c r="FS101" s="550">
        <v>8</v>
      </c>
      <c r="FT101" s="58">
        <v>2</v>
      </c>
      <c r="FU101" s="38">
        <v>3</v>
      </c>
      <c r="FV101" s="38">
        <f t="shared" si="796"/>
        <v>1.0007497189607399</v>
      </c>
      <c r="FW101" s="39">
        <f t="shared" si="798"/>
        <v>25.587613961828019</v>
      </c>
      <c r="FX101" s="153"/>
      <c r="GE101" s="144"/>
    </row>
    <row r="102" spans="4:187">
      <c r="D102" s="137">
        <f>D101</f>
        <v>100</v>
      </c>
      <c r="E102" s="121">
        <f>E101</f>
        <v>99.961888999999999</v>
      </c>
      <c r="F102" s="121">
        <f t="shared" si="793"/>
        <v>3.8111000000000672E-2</v>
      </c>
      <c r="G102" s="121">
        <f t="shared" si="794"/>
        <v>0.53355400000000941</v>
      </c>
      <c r="H102" s="91">
        <v>14</v>
      </c>
      <c r="I102" s="138">
        <f t="shared" si="792"/>
        <v>5.3375742029045633E-3</v>
      </c>
      <c r="J102" s="123"/>
      <c r="N102" s="96"/>
      <c r="O102" s="62"/>
      <c r="P102" s="38"/>
      <c r="Q102" s="38"/>
      <c r="R102" s="62"/>
      <c r="S102" s="62"/>
      <c r="T102" s="43"/>
      <c r="U102" s="62"/>
      <c r="V102" s="5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L102" s="38"/>
      <c r="BM102" s="38"/>
      <c r="BN102" s="38"/>
      <c r="BO102" s="38"/>
      <c r="BP102" s="38"/>
      <c r="BQ102" s="38"/>
      <c r="BR102" s="38"/>
      <c r="BS102" s="38"/>
      <c r="BT102" s="38"/>
      <c r="BU102" s="38"/>
      <c r="CF102" s="39"/>
      <c r="CG102" s="38"/>
      <c r="CH102" s="38"/>
      <c r="CI102" s="38"/>
      <c r="CJ102" s="38"/>
      <c r="CK102" s="38"/>
      <c r="CL102" s="38"/>
      <c r="CM102" s="38"/>
      <c r="CN102" s="38"/>
      <c r="CO102" s="38"/>
      <c r="CP102" s="154"/>
      <c r="CQ102" s="38"/>
      <c r="CR102" s="38"/>
      <c r="CS102" s="38"/>
      <c r="CT102" s="38"/>
      <c r="CU102" s="38"/>
      <c r="CV102" s="38"/>
      <c r="CY102" s="204"/>
      <c r="CZ102" s="38"/>
      <c r="DA102" s="38"/>
      <c r="DB102" s="38"/>
      <c r="DC102" s="38"/>
      <c r="DD102" s="38"/>
      <c r="DE102" s="38"/>
      <c r="DF102" s="154"/>
      <c r="DG102" s="38"/>
      <c r="DH102" s="38"/>
      <c r="DI102" s="38"/>
      <c r="DJ102" s="38"/>
      <c r="DK102" s="38"/>
      <c r="DL102" s="38"/>
      <c r="DM102" s="38"/>
      <c r="DN102" s="38"/>
      <c r="DO102" s="39"/>
      <c r="DP102" s="39"/>
      <c r="DQ102" s="38"/>
      <c r="DR102" s="38"/>
      <c r="DS102" s="38"/>
      <c r="DT102" s="38"/>
      <c r="DU102" s="39"/>
      <c r="DV102" s="38"/>
      <c r="DW102" s="40"/>
      <c r="DX102" s="40"/>
      <c r="DY102" s="355"/>
      <c r="DZ102" s="40"/>
      <c r="EA102" s="38"/>
      <c r="EB102" s="38"/>
      <c r="EC102" s="43"/>
      <c r="EU102" s="1360">
        <f t="shared" ca="1" si="774"/>
        <v>0</v>
      </c>
      <c r="EV102" s="173">
        <v>60</v>
      </c>
      <c r="EW102" s="747">
        <v>30</v>
      </c>
      <c r="EX102" s="55">
        <v>42401</v>
      </c>
      <c r="EY102" s="55">
        <f t="shared" si="762"/>
        <v>53358.5</v>
      </c>
      <c r="EZ102" s="61">
        <f t="shared" ca="1" si="763"/>
        <v>12</v>
      </c>
      <c r="FA102" s="37" t="s">
        <v>1553</v>
      </c>
      <c r="FB102" s="39">
        <v>60.55</v>
      </c>
      <c r="FC102" s="39">
        <f t="shared" si="764"/>
        <v>0.54999999999999716</v>
      </c>
      <c r="FD102" s="40">
        <f t="shared" si="765"/>
        <v>9.1666666666665453E-3</v>
      </c>
      <c r="FE102" s="39">
        <f t="shared" ca="1" si="776"/>
        <v>4.5833333333333094E-2</v>
      </c>
      <c r="FF102" s="43">
        <f t="shared" ca="1" si="767"/>
        <v>1</v>
      </c>
      <c r="FH102" s="987"/>
      <c r="FR102" s="438"/>
      <c r="FS102" s="550">
        <v>8</v>
      </c>
      <c r="FT102" s="58">
        <v>2</v>
      </c>
      <c r="FU102" s="38">
        <v>4</v>
      </c>
      <c r="FV102" s="38">
        <f t="shared" si="796"/>
        <v>1.0009997501665211</v>
      </c>
      <c r="FW102" s="39">
        <f t="shared" si="798"/>
        <v>25.5940068709148</v>
      </c>
      <c r="FX102" s="153"/>
      <c r="GE102" s="144"/>
    </row>
    <row r="103" spans="4:187">
      <c r="D103" s="137">
        <f t="shared" si="795"/>
        <v>100</v>
      </c>
      <c r="E103" s="121">
        <f t="shared" si="795"/>
        <v>99.961888999999999</v>
      </c>
      <c r="F103" s="121">
        <f t="shared" si="793"/>
        <v>3.8111000000000672E-2</v>
      </c>
      <c r="G103" s="121">
        <f t="shared" si="794"/>
        <v>0.57166500000001008</v>
      </c>
      <c r="H103" s="91">
        <v>15</v>
      </c>
      <c r="I103" s="138">
        <f t="shared" si="792"/>
        <v>5.718829503112032E-3</v>
      </c>
      <c r="J103" s="123"/>
      <c r="N103" s="96"/>
      <c r="O103" s="62"/>
      <c r="P103" s="62"/>
      <c r="Q103" s="62"/>
      <c r="R103" s="62"/>
      <c r="S103" s="62"/>
      <c r="T103" s="43"/>
      <c r="U103" s="62"/>
      <c r="V103" s="5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L103" s="38"/>
      <c r="BM103" s="38"/>
      <c r="BN103" s="38"/>
      <c r="BO103" s="38"/>
      <c r="BP103" s="38"/>
      <c r="BQ103" s="38"/>
      <c r="BR103" s="38"/>
      <c r="BS103" s="38"/>
      <c r="BT103" s="38"/>
      <c r="BU103" s="38"/>
      <c r="CF103" s="39"/>
      <c r="CG103" s="38"/>
      <c r="CH103" s="38"/>
      <c r="CI103" s="38"/>
      <c r="CJ103" s="38"/>
      <c r="CK103" s="38"/>
      <c r="CL103" s="38"/>
      <c r="CM103" s="38"/>
      <c r="CN103" s="38"/>
      <c r="CO103" s="38"/>
      <c r="CP103" s="154"/>
      <c r="CQ103" s="38"/>
      <c r="CR103" s="38"/>
      <c r="CS103" s="38"/>
      <c r="CT103" s="38"/>
      <c r="CU103" s="38"/>
      <c r="CV103" s="38"/>
      <c r="CY103" s="204"/>
      <c r="CZ103" s="38"/>
      <c r="DA103" s="38"/>
      <c r="DB103" s="38"/>
      <c r="DC103" s="38"/>
      <c r="DD103" s="38"/>
      <c r="DE103" s="38"/>
      <c r="DF103" s="154"/>
      <c r="DG103" s="38"/>
      <c r="DH103" s="38"/>
      <c r="DI103" s="38"/>
      <c r="DJ103" s="38"/>
      <c r="DK103" s="38"/>
      <c r="DL103" s="38"/>
      <c r="DM103" s="38"/>
      <c r="DN103" s="38"/>
      <c r="DO103" s="39"/>
      <c r="DP103" s="39"/>
      <c r="DQ103" s="38"/>
      <c r="DR103" s="38"/>
      <c r="DS103" s="38"/>
      <c r="DT103" s="38"/>
      <c r="DU103" s="39"/>
      <c r="DV103" s="38"/>
      <c r="DW103" s="40"/>
      <c r="DX103" s="40"/>
      <c r="DY103" s="355"/>
      <c r="DZ103" s="40"/>
      <c r="EA103" s="38"/>
      <c r="EB103" s="38"/>
      <c r="EC103" s="43"/>
      <c r="EU103" s="1360">
        <f t="shared" ca="1" si="774"/>
        <v>0</v>
      </c>
      <c r="EV103" s="173">
        <v>60</v>
      </c>
      <c r="EW103" s="747">
        <v>30</v>
      </c>
      <c r="EX103" s="55">
        <v>42401</v>
      </c>
      <c r="EY103" s="55">
        <f t="shared" si="762"/>
        <v>53358.5</v>
      </c>
      <c r="EZ103" s="61">
        <f t="shared" ca="1" si="763"/>
        <v>12</v>
      </c>
      <c r="FA103" s="37" t="s">
        <v>1554</v>
      </c>
      <c r="FB103" s="39">
        <v>60.55</v>
      </c>
      <c r="FC103" s="39">
        <f t="shared" si="764"/>
        <v>0.54999999999999716</v>
      </c>
      <c r="FD103" s="40">
        <f t="shared" si="765"/>
        <v>9.1666666666665453E-3</v>
      </c>
      <c r="FE103" s="39">
        <f t="shared" ca="1" si="776"/>
        <v>4.5833333333333094E-2</v>
      </c>
      <c r="FF103" s="43">
        <f t="shared" ca="1" si="767"/>
        <v>1</v>
      </c>
      <c r="FH103" s="987"/>
      <c r="FR103" s="438"/>
      <c r="FS103" s="550">
        <v>8</v>
      </c>
      <c r="FT103" s="58">
        <v>2</v>
      </c>
      <c r="FU103" s="38">
        <v>5</v>
      </c>
      <c r="FV103" s="38">
        <f t="shared" si="796"/>
        <v>1.001249843841072</v>
      </c>
      <c r="FW103" s="39">
        <f t="shared" si="798"/>
        <v>25.600401377230874</v>
      </c>
      <c r="FX103" s="153"/>
      <c r="GE103" s="144"/>
    </row>
    <row r="104" spans="4:187">
      <c r="D104" s="137">
        <f t="shared" si="795"/>
        <v>100</v>
      </c>
      <c r="E104" s="121">
        <f t="shared" si="795"/>
        <v>99.961888999999999</v>
      </c>
      <c r="F104" s="121">
        <f t="shared" si="793"/>
        <v>3.8111000000000672E-2</v>
      </c>
      <c r="G104" s="121">
        <f t="shared" si="794"/>
        <v>0.60977600000001075</v>
      </c>
      <c r="H104" s="91">
        <v>16</v>
      </c>
      <c r="I104" s="138">
        <f t="shared" si="792"/>
        <v>6.1000848033195007E-3</v>
      </c>
      <c r="J104" s="123"/>
      <c r="M104" s="123"/>
      <c r="N104" s="96"/>
      <c r="O104" s="62"/>
      <c r="P104" s="62"/>
      <c r="Q104" s="62"/>
      <c r="R104" s="62"/>
      <c r="S104" s="62"/>
      <c r="T104" s="43"/>
      <c r="U104" s="62"/>
      <c r="V104" s="5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L104" s="38"/>
      <c r="BM104" s="38"/>
      <c r="BN104" s="38"/>
      <c r="BO104" s="38"/>
      <c r="BP104" s="38"/>
      <c r="BQ104" s="38"/>
      <c r="BR104" s="38"/>
      <c r="BS104" s="38"/>
      <c r="BT104" s="38"/>
      <c r="BU104" s="38"/>
      <c r="CF104" s="39"/>
      <c r="CG104" s="38"/>
      <c r="CH104" s="38"/>
      <c r="CI104" s="38"/>
      <c r="CJ104" s="38"/>
      <c r="CK104" s="38"/>
      <c r="CL104" s="38"/>
      <c r="CM104" s="38"/>
      <c r="CN104" s="38"/>
      <c r="CO104" s="38"/>
      <c r="CP104" s="154"/>
      <c r="CQ104" s="38"/>
      <c r="CR104" s="38"/>
      <c r="CS104" s="38"/>
      <c r="CT104" s="38"/>
      <c r="CU104" s="38"/>
      <c r="CV104" s="38"/>
      <c r="CY104" s="204"/>
      <c r="CZ104" s="38"/>
      <c r="DA104" s="38"/>
      <c r="DB104" s="38"/>
      <c r="DC104" s="38"/>
      <c r="DD104" s="38"/>
      <c r="DE104" s="38"/>
      <c r="DF104" s="154"/>
      <c r="DG104" s="38"/>
      <c r="DH104" s="38"/>
      <c r="DI104" s="38"/>
      <c r="DJ104" s="38"/>
      <c r="DK104" s="38"/>
      <c r="DL104" s="38"/>
      <c r="DM104" s="38"/>
      <c r="DN104" s="38"/>
      <c r="DO104" s="39"/>
      <c r="DP104" s="39"/>
      <c r="DQ104" s="38"/>
      <c r="DR104" s="38"/>
      <c r="DS104" s="38"/>
      <c r="DT104" s="38"/>
      <c r="DU104" s="39"/>
      <c r="DV104" s="38"/>
      <c r="DW104" s="40"/>
      <c r="DX104" s="40"/>
      <c r="DY104" s="355"/>
      <c r="DZ104" s="40"/>
      <c r="EA104" s="38"/>
      <c r="EB104" s="38"/>
      <c r="EC104" s="43"/>
      <c r="EU104" s="1360">
        <f t="shared" ca="1" si="774"/>
        <v>0</v>
      </c>
      <c r="EV104" s="173">
        <v>60</v>
      </c>
      <c r="EW104" s="747">
        <v>30</v>
      </c>
      <c r="EX104" s="55">
        <v>42370</v>
      </c>
      <c r="EY104" s="55">
        <f t="shared" si="762"/>
        <v>53327.5</v>
      </c>
      <c r="EZ104" s="61">
        <f t="shared" ca="1" si="763"/>
        <v>13</v>
      </c>
      <c r="FA104" s="37" t="s">
        <v>1546</v>
      </c>
      <c r="FB104" s="39">
        <v>60.55</v>
      </c>
      <c r="FC104" s="39">
        <f t="shared" si="764"/>
        <v>0.54999999999999716</v>
      </c>
      <c r="FD104" s="40">
        <f t="shared" si="765"/>
        <v>9.1666666666665453E-3</v>
      </c>
      <c r="FE104" s="39">
        <f t="shared" ca="1" si="776"/>
        <v>4.2307692307692088E-2</v>
      </c>
      <c r="FF104" s="43">
        <f t="shared" ca="1" si="767"/>
        <v>1</v>
      </c>
      <c r="FH104" s="987"/>
      <c r="FR104" s="438"/>
      <c r="FS104" s="550">
        <v>8</v>
      </c>
      <c r="FT104" s="58">
        <v>2</v>
      </c>
      <c r="FU104" s="38">
        <v>6</v>
      </c>
      <c r="FV104" s="38">
        <f t="shared" si="796"/>
        <v>1.0015000000000001</v>
      </c>
      <c r="FW104" s="39">
        <f t="shared" si="798"/>
        <v>25.606797481175299</v>
      </c>
      <c r="FX104" s="153"/>
      <c r="GE104" s="144"/>
    </row>
    <row r="105" spans="4:187">
      <c r="D105" s="137">
        <f t="shared" si="795"/>
        <v>100</v>
      </c>
      <c r="E105" s="121">
        <f t="shared" si="795"/>
        <v>99.961888999999999</v>
      </c>
      <c r="F105" s="121">
        <f t="shared" si="793"/>
        <v>3.8111000000000672E-2</v>
      </c>
      <c r="G105" s="121">
        <f t="shared" si="794"/>
        <v>0.64788700000001143</v>
      </c>
      <c r="H105" s="91">
        <v>17</v>
      </c>
      <c r="I105" s="138">
        <f t="shared" si="792"/>
        <v>6.4813401035269695E-3</v>
      </c>
      <c r="J105" s="123"/>
      <c r="M105" s="123"/>
      <c r="N105" s="96"/>
      <c r="O105" s="62"/>
      <c r="P105" s="62"/>
      <c r="Q105" s="62"/>
      <c r="R105" s="62"/>
      <c r="S105" s="62"/>
      <c r="T105" s="43"/>
      <c r="U105" s="62"/>
      <c r="V105" s="5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L105" s="38"/>
      <c r="BM105" s="38"/>
      <c r="BN105" s="38"/>
      <c r="BO105" s="38"/>
      <c r="BP105" s="38"/>
      <c r="BQ105" s="38"/>
      <c r="BR105" s="38"/>
      <c r="BS105" s="38"/>
      <c r="BT105" s="38"/>
      <c r="BU105" s="38"/>
      <c r="CF105" s="39"/>
      <c r="CG105" s="38"/>
      <c r="CH105" s="38"/>
      <c r="CI105" s="38"/>
      <c r="CJ105" s="38"/>
      <c r="CK105" s="38"/>
      <c r="CL105" s="38"/>
      <c r="CM105" s="38"/>
      <c r="CN105" s="38"/>
      <c r="CO105" s="38"/>
      <c r="CP105" s="154"/>
      <c r="CQ105" s="38"/>
      <c r="CR105" s="38"/>
      <c r="CS105" s="38"/>
      <c r="CT105" s="38"/>
      <c r="CU105" s="38"/>
      <c r="CV105" s="38"/>
      <c r="CY105" s="204"/>
      <c r="CZ105" s="38"/>
      <c r="DA105" s="38"/>
      <c r="DB105" s="38"/>
      <c r="DC105" s="38"/>
      <c r="DD105" s="38"/>
      <c r="DE105" s="38"/>
      <c r="DF105" s="154"/>
      <c r="DG105" s="38"/>
      <c r="DH105" s="38"/>
      <c r="DI105" s="38"/>
      <c r="DJ105" s="38"/>
      <c r="DK105" s="38"/>
      <c r="DL105" s="38"/>
      <c r="DM105" s="38"/>
      <c r="DN105" s="38"/>
      <c r="DO105" s="39"/>
      <c r="DP105" s="39"/>
      <c r="DQ105" s="38"/>
      <c r="DR105" s="38"/>
      <c r="DS105" s="38"/>
      <c r="DT105" s="38"/>
      <c r="DU105" s="39"/>
      <c r="DV105" s="38"/>
      <c r="DW105" s="40"/>
      <c r="DX105" s="40"/>
      <c r="DY105" s="355"/>
      <c r="DZ105" s="40"/>
      <c r="EA105" s="38"/>
      <c r="EB105" s="38"/>
      <c r="EC105" s="43"/>
      <c r="EU105" s="1360">
        <f t="shared" ca="1" si="774"/>
        <v>0</v>
      </c>
      <c r="EV105" s="173">
        <v>60</v>
      </c>
      <c r="EW105" s="747">
        <v>30</v>
      </c>
      <c r="EX105" s="55">
        <v>42370</v>
      </c>
      <c r="EY105" s="55">
        <f t="shared" si="762"/>
        <v>53327.5</v>
      </c>
      <c r="EZ105" s="61">
        <f t="shared" ca="1" si="763"/>
        <v>13</v>
      </c>
      <c r="FA105" s="37" t="s">
        <v>1547</v>
      </c>
      <c r="FB105" s="39">
        <v>60.55</v>
      </c>
      <c r="FC105" s="39">
        <f t="shared" si="764"/>
        <v>0.54999999999999716</v>
      </c>
      <c r="FD105" s="40">
        <f t="shared" si="765"/>
        <v>9.1666666666665453E-3</v>
      </c>
      <c r="FE105" s="39">
        <f t="shared" ca="1" si="776"/>
        <v>4.2307692307692088E-2</v>
      </c>
      <c r="FF105" s="43">
        <f t="shared" ca="1" si="767"/>
        <v>1</v>
      </c>
      <c r="FH105" s="987"/>
      <c r="FR105" s="438"/>
      <c r="FV105" s="144"/>
      <c r="FW105" s="144"/>
      <c r="FX105" s="153"/>
      <c r="GE105" s="144"/>
    </row>
    <row r="106" spans="4:187">
      <c r="D106" s="137">
        <f t="shared" si="795"/>
        <v>100</v>
      </c>
      <c r="E106" s="121">
        <f t="shared" si="795"/>
        <v>99.961888999999999</v>
      </c>
      <c r="F106" s="121">
        <f t="shared" si="793"/>
        <v>3.8111000000000672E-2</v>
      </c>
      <c r="G106" s="121">
        <f t="shared" si="794"/>
        <v>0.6859980000000121</v>
      </c>
      <c r="H106" s="91">
        <v>18</v>
      </c>
      <c r="I106" s="138">
        <f t="shared" si="792"/>
        <v>6.8625954037344382E-3</v>
      </c>
      <c r="J106" s="123"/>
      <c r="M106" s="96"/>
      <c r="N106" s="96"/>
      <c r="O106" s="62"/>
      <c r="P106" s="62"/>
      <c r="Q106" s="62"/>
      <c r="R106" s="62"/>
      <c r="S106" s="62"/>
      <c r="T106" s="43"/>
      <c r="U106" s="62"/>
      <c r="V106" s="5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L106" s="38"/>
      <c r="BM106" s="38"/>
      <c r="BN106" s="38"/>
      <c r="BO106" s="38"/>
      <c r="BP106" s="38"/>
      <c r="BQ106" s="38"/>
      <c r="BR106" s="38"/>
      <c r="BS106" s="38"/>
      <c r="BT106" s="38"/>
      <c r="BU106" s="38"/>
      <c r="CF106" s="39"/>
      <c r="CG106" s="38"/>
      <c r="CH106" s="38"/>
      <c r="CI106" s="38"/>
      <c r="CJ106" s="38"/>
      <c r="CK106" s="38"/>
      <c r="CL106" s="38"/>
      <c r="CM106" s="38"/>
      <c r="CN106" s="38"/>
      <c r="CO106" s="38"/>
      <c r="CP106" s="154"/>
      <c r="CQ106" s="38"/>
      <c r="CR106" s="38"/>
      <c r="CS106" s="38"/>
      <c r="CT106" s="38"/>
      <c r="CU106" s="38"/>
      <c r="CV106" s="38"/>
      <c r="CY106" s="204"/>
      <c r="CZ106" s="38"/>
      <c r="DA106" s="38"/>
      <c r="DB106" s="38"/>
      <c r="DC106" s="38"/>
      <c r="DD106" s="38"/>
      <c r="DE106" s="38"/>
      <c r="DF106" s="154"/>
      <c r="DG106" s="38"/>
      <c r="DH106" s="38"/>
      <c r="DI106" s="38"/>
      <c r="DJ106" s="38"/>
      <c r="DK106" s="38"/>
      <c r="DL106" s="38"/>
      <c r="DM106" s="38"/>
      <c r="DN106" s="38"/>
      <c r="DO106" s="39"/>
      <c r="DP106" s="39"/>
      <c r="DQ106" s="38"/>
      <c r="DR106" s="38"/>
      <c r="DS106" s="38"/>
      <c r="DT106" s="38"/>
      <c r="DU106" s="39"/>
      <c r="DV106" s="38"/>
      <c r="DW106" s="40"/>
      <c r="DX106" s="40"/>
      <c r="DY106" s="355"/>
      <c r="DZ106" s="40"/>
      <c r="EA106" s="38"/>
      <c r="EB106" s="38"/>
      <c r="EC106" s="43"/>
      <c r="EU106" s="1360">
        <f t="shared" ca="1" si="774"/>
        <v>0</v>
      </c>
      <c r="EV106" s="173">
        <v>60</v>
      </c>
      <c r="EW106" s="747">
        <v>30</v>
      </c>
      <c r="EX106" s="55">
        <v>42370</v>
      </c>
      <c r="EY106" s="55">
        <f t="shared" si="762"/>
        <v>53327.5</v>
      </c>
      <c r="EZ106" s="61">
        <f t="shared" ca="1" si="763"/>
        <v>13</v>
      </c>
      <c r="FA106" s="37" t="s">
        <v>1548</v>
      </c>
      <c r="FB106" s="39">
        <v>60.55</v>
      </c>
      <c r="FC106" s="39">
        <f t="shared" si="764"/>
        <v>0.54999999999999716</v>
      </c>
      <c r="FD106" s="40">
        <f t="shared" si="765"/>
        <v>9.1666666666665453E-3</v>
      </c>
      <c r="FE106" s="39">
        <f t="shared" ca="1" si="776"/>
        <v>4.2307692307692088E-2</v>
      </c>
      <c r="FF106" s="43">
        <f t="shared" ca="1" si="767"/>
        <v>1</v>
      </c>
      <c r="FH106" s="987"/>
      <c r="FI106" s="67"/>
      <c r="FR106" s="438"/>
      <c r="FS106" s="550">
        <v>9</v>
      </c>
      <c r="FT106" s="58">
        <v>1</v>
      </c>
      <c r="FU106" s="38">
        <v>1</v>
      </c>
      <c r="FV106" s="38">
        <f t="shared" ref="FV106:FV117" si="799">(1+$FY$2/2)^(FU106/6)</f>
        <v>1.0002498438930771</v>
      </c>
      <c r="FW106" s="39">
        <f>$FW$104*FV106</f>
        <v>25.613195183147234</v>
      </c>
      <c r="FX106" s="153"/>
      <c r="GE106" s="144"/>
    </row>
    <row r="107" spans="4:187" ht="12.75" customHeight="1">
      <c r="D107" s="137">
        <f t="shared" si="795"/>
        <v>100</v>
      </c>
      <c r="E107" s="121">
        <f t="shared" si="795"/>
        <v>99.961888999999999</v>
      </c>
      <c r="F107" s="121">
        <f t="shared" si="793"/>
        <v>3.8111000000000672E-2</v>
      </c>
      <c r="G107" s="121">
        <f t="shared" si="794"/>
        <v>0.72410900000001277</v>
      </c>
      <c r="H107" s="91">
        <v>19</v>
      </c>
      <c r="I107" s="138">
        <f t="shared" si="792"/>
        <v>7.243850703941907E-3</v>
      </c>
      <c r="J107" s="123"/>
      <c r="M107" s="96"/>
      <c r="N107" s="96"/>
      <c r="O107" s="62"/>
      <c r="P107" s="62"/>
      <c r="Q107" s="62"/>
      <c r="R107" s="62"/>
      <c r="S107" s="62"/>
      <c r="T107" s="43"/>
      <c r="U107" s="62"/>
      <c r="V107" s="5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L107" s="38"/>
      <c r="BM107" s="38"/>
      <c r="BN107" s="38"/>
      <c r="BO107" s="38"/>
      <c r="BP107" s="38"/>
      <c r="BQ107" s="38"/>
      <c r="BR107" s="38"/>
      <c r="BS107" s="38"/>
      <c r="BT107" s="38"/>
      <c r="BU107" s="38"/>
      <c r="CF107" s="39"/>
      <c r="CG107" s="38"/>
      <c r="CH107" s="38"/>
      <c r="CI107" s="38"/>
      <c r="CJ107" s="38"/>
      <c r="CK107" s="38"/>
      <c r="CL107" s="38"/>
      <c r="CM107" s="38"/>
      <c r="CN107" s="38"/>
      <c r="CO107" s="38"/>
      <c r="CP107" s="154"/>
      <c r="CQ107" s="38"/>
      <c r="CR107" s="38"/>
      <c r="CS107" s="38"/>
      <c r="CT107" s="38"/>
      <c r="CU107" s="38"/>
      <c r="CV107" s="38"/>
      <c r="CY107" s="204"/>
      <c r="CZ107" s="38"/>
      <c r="DA107" s="38"/>
      <c r="DB107" s="38"/>
      <c r="DC107" s="38"/>
      <c r="DD107" s="38"/>
      <c r="DE107" s="38"/>
      <c r="DF107" s="154"/>
      <c r="DG107" s="38"/>
      <c r="DH107" s="38"/>
      <c r="DI107" s="38"/>
      <c r="DJ107" s="38"/>
      <c r="DK107" s="38"/>
      <c r="DL107" s="38"/>
      <c r="DM107" s="38"/>
      <c r="DN107" s="38"/>
      <c r="DO107" s="39"/>
      <c r="DP107" s="39"/>
      <c r="DQ107" s="38"/>
      <c r="DR107" s="38"/>
      <c r="DS107" s="38"/>
      <c r="DT107" s="38"/>
      <c r="DU107" s="39"/>
      <c r="DV107" s="38"/>
      <c r="DW107" s="40"/>
      <c r="DX107" s="40"/>
      <c r="DY107" s="355"/>
      <c r="DZ107" s="40"/>
      <c r="EA107" s="38"/>
      <c r="EB107" s="38"/>
      <c r="EC107" s="43"/>
      <c r="EU107" s="1360">
        <f t="shared" ca="1" si="774"/>
        <v>0</v>
      </c>
      <c r="EV107" s="173">
        <v>60</v>
      </c>
      <c r="EW107" s="747">
        <v>30</v>
      </c>
      <c r="EX107" s="55">
        <v>42370</v>
      </c>
      <c r="EY107" s="55">
        <f t="shared" si="762"/>
        <v>53327.5</v>
      </c>
      <c r="EZ107" s="61">
        <f t="shared" ca="1" si="763"/>
        <v>13</v>
      </c>
      <c r="FA107" s="37" t="s">
        <v>1549</v>
      </c>
      <c r="FB107" s="39">
        <v>60.55</v>
      </c>
      <c r="FC107" s="39">
        <f t="shared" si="764"/>
        <v>0.54999999999999716</v>
      </c>
      <c r="FD107" s="40">
        <f t="shared" si="765"/>
        <v>9.1666666666665453E-3</v>
      </c>
      <c r="FE107" s="39">
        <f t="shared" ca="1" si="776"/>
        <v>4.2307692307692088E-2</v>
      </c>
      <c r="FF107" s="43">
        <f t="shared" ca="1" si="767"/>
        <v>1</v>
      </c>
      <c r="FH107" s="987"/>
      <c r="FI107" s="67"/>
      <c r="FR107" s="438"/>
      <c r="FS107" s="550">
        <v>9</v>
      </c>
      <c r="FT107" s="58">
        <v>1</v>
      </c>
      <c r="FU107" s="38">
        <v>2</v>
      </c>
      <c r="FV107" s="38">
        <f t="shared" si="799"/>
        <v>1.0004997502081252</v>
      </c>
      <c r="FW107" s="39">
        <f t="shared" ref="FW107:FW111" si="800">$FW$104*FV107</f>
        <v>25.619594483545935</v>
      </c>
      <c r="FX107" s="153"/>
      <c r="GE107" s="144"/>
    </row>
    <row r="108" spans="4:187">
      <c r="D108" s="137">
        <f t="shared" si="795"/>
        <v>100</v>
      </c>
      <c r="E108" s="121">
        <f t="shared" si="795"/>
        <v>99.961888999999999</v>
      </c>
      <c r="F108" s="121">
        <f t="shared" si="793"/>
        <v>3.8111000000000672E-2</v>
      </c>
      <c r="G108" s="121">
        <f t="shared" si="794"/>
        <v>0.76222000000001344</v>
      </c>
      <c r="H108" s="91">
        <v>20</v>
      </c>
      <c r="I108" s="138">
        <f t="shared" si="792"/>
        <v>7.6251060041493757E-3</v>
      </c>
      <c r="J108" s="123"/>
      <c r="M108" s="96"/>
      <c r="N108" s="96"/>
      <c r="O108" s="62"/>
      <c r="P108" s="62"/>
      <c r="Q108" s="62"/>
      <c r="R108" s="62"/>
      <c r="S108" s="62"/>
      <c r="T108" s="43"/>
      <c r="U108" s="62"/>
      <c r="V108" s="5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L108" s="38"/>
      <c r="BM108" s="38"/>
      <c r="BN108" s="38"/>
      <c r="BO108" s="38"/>
      <c r="BP108" s="38"/>
      <c r="BQ108" s="38"/>
      <c r="BR108" s="38"/>
      <c r="BS108" s="38"/>
      <c r="BT108" s="38"/>
      <c r="BU108" s="38"/>
      <c r="CF108" s="39"/>
      <c r="CG108" s="38"/>
      <c r="CH108" s="38"/>
      <c r="CI108" s="38"/>
      <c r="CJ108" s="38"/>
      <c r="CK108" s="38"/>
      <c r="CL108" s="38"/>
      <c r="CM108" s="38"/>
      <c r="CN108" s="38"/>
      <c r="CO108" s="38"/>
      <c r="CP108" s="154"/>
      <c r="CQ108" s="38"/>
      <c r="CR108" s="38"/>
      <c r="CS108" s="38"/>
      <c r="CT108" s="38"/>
      <c r="CU108" s="38"/>
      <c r="CV108" s="38"/>
      <c r="CY108" s="204"/>
      <c r="CZ108" s="38"/>
      <c r="DA108" s="38"/>
      <c r="DB108" s="38"/>
      <c r="DC108" s="38"/>
      <c r="DD108" s="38"/>
      <c r="DE108" s="38"/>
      <c r="DF108" s="154"/>
      <c r="DG108" s="38"/>
      <c r="DH108" s="38"/>
      <c r="DI108" s="38"/>
      <c r="DJ108" s="38"/>
      <c r="DK108" s="38"/>
      <c r="DL108" s="38"/>
      <c r="DM108" s="38"/>
      <c r="DN108" s="38"/>
      <c r="DO108" s="39"/>
      <c r="DP108" s="39"/>
      <c r="DQ108" s="38"/>
      <c r="DR108" s="38"/>
      <c r="DS108" s="38"/>
      <c r="DT108" s="38"/>
      <c r="DU108" s="39"/>
      <c r="DV108" s="38"/>
      <c r="DW108" s="40"/>
      <c r="DX108" s="40"/>
      <c r="DY108" s="355"/>
      <c r="DZ108" s="40"/>
      <c r="EA108" s="38"/>
      <c r="EB108" s="38"/>
      <c r="EC108" s="43"/>
      <c r="EU108" s="1360">
        <f t="shared" ca="1" si="774"/>
        <v>0</v>
      </c>
      <c r="EV108" s="173">
        <v>60</v>
      </c>
      <c r="EW108" s="747">
        <v>30</v>
      </c>
      <c r="EX108" s="55">
        <v>42370</v>
      </c>
      <c r="EY108" s="55">
        <f t="shared" si="762"/>
        <v>53327.5</v>
      </c>
      <c r="EZ108" s="61">
        <f t="shared" ca="1" si="763"/>
        <v>13</v>
      </c>
      <c r="FA108" s="37" t="s">
        <v>1550</v>
      </c>
      <c r="FB108" s="39">
        <v>60.55</v>
      </c>
      <c r="FC108" s="39">
        <f t="shared" si="764"/>
        <v>0.54999999999999716</v>
      </c>
      <c r="FD108" s="40">
        <f t="shared" si="765"/>
        <v>9.1666666666665453E-3</v>
      </c>
      <c r="FE108" s="39">
        <f t="shared" ca="1" si="776"/>
        <v>4.2307692307692088E-2</v>
      </c>
      <c r="FF108" s="43">
        <f t="shared" ca="1" si="767"/>
        <v>1</v>
      </c>
      <c r="FH108" s="987"/>
      <c r="FI108" s="67"/>
      <c r="FR108" s="438"/>
      <c r="FS108" s="550">
        <v>9</v>
      </c>
      <c r="FT108" s="58">
        <v>1</v>
      </c>
      <c r="FU108" s="38">
        <v>3</v>
      </c>
      <c r="FV108" s="38">
        <f t="shared" si="799"/>
        <v>1.0007497189607399</v>
      </c>
      <c r="FW108" s="39">
        <f t="shared" si="800"/>
        <v>25.625995382770764</v>
      </c>
      <c r="FX108" s="153"/>
      <c r="GE108" s="144"/>
    </row>
    <row r="109" spans="4:187">
      <c r="D109" s="137">
        <f t="shared" si="795"/>
        <v>100</v>
      </c>
      <c r="E109" s="121">
        <f t="shared" si="795"/>
        <v>99.961888999999999</v>
      </c>
      <c r="F109" s="121">
        <f t="shared" si="793"/>
        <v>3.8111000000000672E-2</v>
      </c>
      <c r="G109" s="121">
        <f t="shared" si="794"/>
        <v>0.80033100000001411</v>
      </c>
      <c r="H109" s="91">
        <v>21</v>
      </c>
      <c r="I109" s="138">
        <f t="shared" si="792"/>
        <v>8.0063613043568453E-3</v>
      </c>
      <c r="M109" s="96"/>
      <c r="N109" s="96"/>
      <c r="O109" s="62"/>
      <c r="P109" s="62"/>
      <c r="Q109" s="62"/>
      <c r="R109" s="62"/>
      <c r="S109" s="62"/>
      <c r="T109" s="43"/>
      <c r="U109" s="62"/>
      <c r="V109" s="5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L109" s="38"/>
      <c r="BM109" s="38"/>
      <c r="BN109" s="38"/>
      <c r="BO109" s="38"/>
      <c r="BP109" s="38"/>
      <c r="BQ109" s="38"/>
      <c r="BR109" s="38"/>
      <c r="BS109" s="38"/>
      <c r="BT109" s="38"/>
      <c r="BU109" s="38"/>
      <c r="CF109" s="39"/>
      <c r="CG109" s="38"/>
      <c r="CH109" s="38"/>
      <c r="CI109" s="38"/>
      <c r="CJ109" s="38"/>
      <c r="CK109" s="38"/>
      <c r="CL109" s="38"/>
      <c r="CM109" s="38"/>
      <c r="CN109" s="38"/>
      <c r="CO109" s="38"/>
      <c r="CP109" s="154"/>
      <c r="CQ109" s="38"/>
      <c r="CR109" s="38"/>
      <c r="CS109" s="38"/>
      <c r="CT109" s="38"/>
      <c r="CU109" s="38"/>
      <c r="CV109" s="38"/>
      <c r="CY109" s="204"/>
      <c r="CZ109" s="38"/>
      <c r="DA109" s="38"/>
      <c r="DB109" s="38"/>
      <c r="DC109" s="38"/>
      <c r="DD109" s="38"/>
      <c r="DE109" s="38"/>
      <c r="DF109" s="154"/>
      <c r="DG109" s="38"/>
      <c r="DH109" s="38"/>
      <c r="DI109" s="38"/>
      <c r="DJ109" s="38"/>
      <c r="DK109" s="38"/>
      <c r="DL109" s="38"/>
      <c r="DM109" s="38"/>
      <c r="DN109" s="38"/>
      <c r="DO109" s="39"/>
      <c r="DP109" s="39"/>
      <c r="DQ109" s="38"/>
      <c r="DR109" s="38"/>
      <c r="DS109" s="38"/>
      <c r="DT109" s="38"/>
      <c r="DU109" s="39"/>
      <c r="DV109" s="38"/>
      <c r="DW109" s="40"/>
      <c r="DX109" s="40"/>
      <c r="DY109" s="355"/>
      <c r="DZ109" s="40"/>
      <c r="EA109" s="38"/>
      <c r="EB109" s="38"/>
      <c r="EC109" s="43"/>
      <c r="EU109" s="1360">
        <f t="shared" ca="1" si="774"/>
        <v>0</v>
      </c>
      <c r="EV109" s="173">
        <v>40</v>
      </c>
      <c r="EW109" s="747">
        <v>30</v>
      </c>
      <c r="EX109" s="55">
        <v>42339</v>
      </c>
      <c r="EY109" s="55">
        <f t="shared" si="762"/>
        <v>53296.5</v>
      </c>
      <c r="EZ109" s="61">
        <f t="shared" ca="1" si="763"/>
        <v>14</v>
      </c>
      <c r="FA109" s="37" t="s">
        <v>770</v>
      </c>
      <c r="FB109" s="39">
        <v>40.380000000000003</v>
      </c>
      <c r="FC109" s="39">
        <f t="shared" si="764"/>
        <v>0.38000000000000256</v>
      </c>
      <c r="FD109" s="40">
        <f t="shared" si="765"/>
        <v>9.5000000000000639E-3</v>
      </c>
      <c r="FE109" s="39">
        <f t="shared" ca="1" si="776"/>
        <v>2.7142857142857326E-2</v>
      </c>
      <c r="FF109" s="43">
        <f t="shared" ca="1" si="767"/>
        <v>1</v>
      </c>
      <c r="FH109" s="987"/>
      <c r="FR109" s="438"/>
      <c r="FS109" s="550">
        <v>9</v>
      </c>
      <c r="FT109" s="58">
        <v>1</v>
      </c>
      <c r="FU109" s="38">
        <v>4</v>
      </c>
      <c r="FV109" s="38">
        <f t="shared" si="799"/>
        <v>1.0009997501665211</v>
      </c>
      <c r="FW109" s="39">
        <f t="shared" si="800"/>
        <v>25.632397881221177</v>
      </c>
      <c r="FX109" s="153"/>
      <c r="GE109" s="144"/>
    </row>
    <row r="110" spans="4:187">
      <c r="D110" s="137">
        <f t="shared" si="795"/>
        <v>100</v>
      </c>
      <c r="E110" s="121">
        <f t="shared" si="795"/>
        <v>99.961888999999999</v>
      </c>
      <c r="F110" s="121">
        <f t="shared" si="793"/>
        <v>3.8111000000000672E-2</v>
      </c>
      <c r="G110" s="121">
        <f t="shared" si="794"/>
        <v>0.83844200000001479</v>
      </c>
      <c r="H110" s="91">
        <v>22</v>
      </c>
      <c r="I110" s="138">
        <f t="shared" si="792"/>
        <v>8.3876166045643141E-3</v>
      </c>
      <c r="M110" s="96"/>
      <c r="O110" s="62"/>
      <c r="P110" s="62"/>
      <c r="Q110" s="62"/>
      <c r="R110" s="62"/>
      <c r="S110" s="62"/>
      <c r="T110" s="43"/>
      <c r="U110" s="62"/>
      <c r="V110" s="5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L110" s="38"/>
      <c r="BM110" s="38"/>
      <c r="BN110" s="38"/>
      <c r="BO110" s="38"/>
      <c r="BP110" s="38"/>
      <c r="BQ110" s="38"/>
      <c r="BR110" s="38"/>
      <c r="BS110" s="38"/>
      <c r="CF110" s="39"/>
      <c r="CG110" s="38"/>
      <c r="CH110" s="38"/>
      <c r="CI110" s="38"/>
      <c r="CJ110" s="38"/>
      <c r="CK110" s="38"/>
      <c r="CO110" s="38"/>
      <c r="CP110" s="154"/>
      <c r="CQ110" s="38"/>
      <c r="CR110" s="38"/>
      <c r="CS110" s="38"/>
      <c r="CT110" s="38"/>
      <c r="CU110" s="38"/>
      <c r="CV110" s="38"/>
      <c r="CY110" s="204"/>
      <c r="CZ110" s="38"/>
      <c r="DA110" s="38"/>
      <c r="DB110" s="38"/>
      <c r="DC110" s="38"/>
      <c r="DD110" s="38"/>
      <c r="DE110" s="38"/>
      <c r="DF110" s="154"/>
      <c r="DG110" s="38"/>
      <c r="DH110" s="38"/>
      <c r="DI110" s="38"/>
      <c r="DJ110" s="38"/>
      <c r="DK110" s="38"/>
      <c r="DL110" s="38"/>
      <c r="DM110" s="38"/>
      <c r="DN110" s="38"/>
      <c r="DO110" s="39"/>
      <c r="DP110" s="39"/>
      <c r="DQ110" s="38"/>
      <c r="DR110" s="38"/>
      <c r="DS110" s="38"/>
      <c r="DT110" s="38"/>
      <c r="DU110" s="39"/>
      <c r="DV110" s="38"/>
      <c r="DW110" s="40"/>
      <c r="DX110" s="40"/>
      <c r="DY110" s="355"/>
      <c r="DZ110" s="40"/>
      <c r="EA110" s="38"/>
      <c r="EB110" s="38"/>
      <c r="EC110" s="43"/>
      <c r="EU110" s="1360">
        <f t="shared" ca="1" si="774"/>
        <v>0</v>
      </c>
      <c r="EV110" s="173">
        <v>40</v>
      </c>
      <c r="EW110" s="1">
        <v>30</v>
      </c>
      <c r="EX110" s="55">
        <v>42339</v>
      </c>
      <c r="EY110" s="55">
        <f t="shared" si="762"/>
        <v>53296.5</v>
      </c>
      <c r="EZ110" s="61">
        <f t="shared" ca="1" si="763"/>
        <v>14</v>
      </c>
      <c r="FA110" s="37" t="s">
        <v>771</v>
      </c>
      <c r="FB110" s="39">
        <v>40.380000000000003</v>
      </c>
      <c r="FC110" s="39">
        <f t="shared" ref="FC110:FC162" si="801">FB110-EV110</f>
        <v>0.38000000000000256</v>
      </c>
      <c r="FD110" s="40">
        <f t="shared" ref="FD110:FD162" si="802">FB110/EV110-1</f>
        <v>9.5000000000000639E-3</v>
      </c>
      <c r="FE110" s="39">
        <f t="shared" ca="1" si="776"/>
        <v>2.7142857142857326E-2</v>
      </c>
      <c r="FF110" s="43">
        <f t="shared" ca="1" si="767"/>
        <v>1</v>
      </c>
      <c r="FH110" s="987"/>
      <c r="FR110" s="438"/>
      <c r="FS110" s="550">
        <v>9</v>
      </c>
      <c r="FT110" s="58">
        <v>1</v>
      </c>
      <c r="FU110" s="38">
        <v>5</v>
      </c>
      <c r="FV110" s="38">
        <f t="shared" si="799"/>
        <v>1.001249843841072</v>
      </c>
      <c r="FW110" s="39">
        <f t="shared" si="800"/>
        <v>25.638801979296723</v>
      </c>
      <c r="FX110" s="153"/>
      <c r="GE110" s="144"/>
    </row>
    <row r="111" spans="4:187">
      <c r="D111" s="137">
        <f t="shared" si="795"/>
        <v>100</v>
      </c>
      <c r="E111" s="121">
        <f t="shared" si="795"/>
        <v>99.961888999999999</v>
      </c>
      <c r="F111" s="121">
        <f t="shared" si="793"/>
        <v>3.8111000000000672E-2</v>
      </c>
      <c r="G111" s="121">
        <f t="shared" si="794"/>
        <v>0.87655300000001546</v>
      </c>
      <c r="H111" s="91">
        <v>23</v>
      </c>
      <c r="I111" s="138">
        <f t="shared" si="792"/>
        <v>8.7688719047717828E-3</v>
      </c>
      <c r="M111" s="96"/>
      <c r="O111" s="62"/>
      <c r="P111" s="62"/>
      <c r="Q111" s="62"/>
      <c r="R111" s="62"/>
      <c r="S111" s="62"/>
      <c r="T111" s="43"/>
      <c r="U111" s="62"/>
      <c r="V111" s="5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L111" s="38"/>
      <c r="BM111" s="38"/>
      <c r="BN111" s="38"/>
      <c r="BO111" s="38"/>
      <c r="BP111" s="38"/>
      <c r="BQ111" s="38"/>
      <c r="BR111" s="38"/>
      <c r="BS111" s="38"/>
      <c r="CF111" s="39"/>
      <c r="CG111" s="38"/>
      <c r="CH111" s="38"/>
      <c r="CI111" s="38"/>
      <c r="CJ111" s="38"/>
      <c r="CO111" s="38"/>
      <c r="CP111" s="154"/>
      <c r="CQ111" s="38"/>
      <c r="CR111" s="38"/>
      <c r="CS111" s="38"/>
      <c r="CT111" s="38"/>
      <c r="CU111" s="38"/>
      <c r="CV111" s="38"/>
      <c r="CY111" s="204"/>
      <c r="CZ111" s="38"/>
      <c r="DA111" s="38"/>
      <c r="DB111" s="38"/>
      <c r="DE111" s="38"/>
      <c r="DF111" s="154"/>
      <c r="DG111" s="38"/>
      <c r="DH111" s="38"/>
      <c r="DI111" s="38"/>
      <c r="DJ111" s="38"/>
      <c r="DK111" s="38"/>
      <c r="DL111" s="38"/>
      <c r="DM111" s="38"/>
      <c r="DN111" s="38"/>
      <c r="DO111" s="39"/>
      <c r="DP111" s="39"/>
      <c r="DQ111" s="38"/>
      <c r="DR111" s="38"/>
      <c r="DS111" s="38"/>
      <c r="DT111" s="38"/>
      <c r="DU111" s="39"/>
      <c r="DV111" s="38"/>
      <c r="DW111" s="40"/>
      <c r="DX111" s="40"/>
      <c r="DY111" s="355"/>
      <c r="DZ111" s="40"/>
      <c r="EB111" s="38"/>
      <c r="EC111" s="43"/>
      <c r="EU111" s="1360">
        <f t="shared" ca="1" si="774"/>
        <v>0</v>
      </c>
      <c r="EV111" s="173">
        <v>40</v>
      </c>
      <c r="EW111" s="1">
        <v>30</v>
      </c>
      <c r="EX111" s="55">
        <v>42339</v>
      </c>
      <c r="EY111" s="55">
        <f t="shared" si="762"/>
        <v>53296.5</v>
      </c>
      <c r="EZ111" s="61">
        <f t="shared" ca="1" si="763"/>
        <v>14</v>
      </c>
      <c r="FA111" s="37" t="s">
        <v>772</v>
      </c>
      <c r="FB111" s="39">
        <v>40.380000000000003</v>
      </c>
      <c r="FC111" s="39">
        <f t="shared" si="801"/>
        <v>0.38000000000000256</v>
      </c>
      <c r="FD111" s="40">
        <f t="shared" si="802"/>
        <v>9.5000000000000639E-3</v>
      </c>
      <c r="FE111" s="39">
        <f t="shared" ca="1" si="776"/>
        <v>2.7142857142857326E-2</v>
      </c>
      <c r="FF111" s="43">
        <f t="shared" ca="1" si="767"/>
        <v>1</v>
      </c>
      <c r="FH111" s="987"/>
      <c r="FR111" s="438"/>
      <c r="FS111" s="550">
        <v>9</v>
      </c>
      <c r="FT111" s="58">
        <v>1</v>
      </c>
      <c r="FU111" s="38">
        <v>6</v>
      </c>
      <c r="FV111" s="38">
        <f t="shared" si="799"/>
        <v>1.0015000000000001</v>
      </c>
      <c r="FW111" s="39">
        <f t="shared" si="800"/>
        <v>25.645207677397064</v>
      </c>
      <c r="FX111" s="67"/>
      <c r="GE111" s="144"/>
    </row>
    <row r="112" spans="4:187">
      <c r="D112" s="137">
        <f t="shared" si="795"/>
        <v>100</v>
      </c>
      <c r="E112" s="121">
        <f t="shared" si="795"/>
        <v>99.961888999999999</v>
      </c>
      <c r="F112" s="121">
        <f t="shared" si="793"/>
        <v>3.8111000000000672E-2</v>
      </c>
      <c r="G112" s="121">
        <f t="shared" si="794"/>
        <v>0.91466400000001613</v>
      </c>
      <c r="H112" s="91">
        <v>24</v>
      </c>
      <c r="I112" s="138">
        <f t="shared" si="792"/>
        <v>9.1501272049792515E-3</v>
      </c>
      <c r="M112" s="96"/>
      <c r="O112" s="62"/>
      <c r="P112" s="62"/>
      <c r="Q112" s="62"/>
      <c r="R112" s="62"/>
      <c r="S112" s="62"/>
      <c r="T112" s="43"/>
      <c r="U112" s="62"/>
      <c r="V112" s="5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L112" s="38"/>
      <c r="BM112" s="38"/>
      <c r="BN112" s="38"/>
      <c r="BO112" s="38"/>
      <c r="BP112" s="38"/>
      <c r="BQ112" s="38"/>
      <c r="BR112" s="38"/>
      <c r="BS112" s="38"/>
      <c r="CF112" s="39"/>
      <c r="CG112" s="38"/>
      <c r="CH112" s="38"/>
      <c r="CI112" s="38"/>
      <c r="CJ112" s="38"/>
      <c r="CO112" s="38"/>
      <c r="CP112" s="154"/>
      <c r="CQ112" s="38"/>
      <c r="CR112" s="38"/>
      <c r="CS112" s="38"/>
      <c r="CT112" s="38"/>
      <c r="CU112" s="38"/>
      <c r="CV112" s="38"/>
      <c r="CY112" s="204"/>
      <c r="CZ112" s="38"/>
      <c r="DA112" s="38"/>
      <c r="DB112" s="38"/>
      <c r="DE112" s="38"/>
      <c r="DF112" s="154"/>
      <c r="DG112" s="38"/>
      <c r="DH112" s="38"/>
      <c r="DI112" s="38"/>
      <c r="DJ112" s="38"/>
      <c r="DK112" s="38"/>
      <c r="DL112" s="38"/>
      <c r="DM112" s="38"/>
      <c r="DN112" s="38"/>
      <c r="DO112" s="39"/>
      <c r="DP112" s="39"/>
      <c r="DQ112" s="38"/>
      <c r="DR112" s="38"/>
      <c r="DS112" s="38"/>
      <c r="DT112" s="38"/>
      <c r="DU112" s="39"/>
      <c r="DV112" s="38"/>
      <c r="DW112" s="40"/>
      <c r="DX112" s="40"/>
      <c r="DY112" s="355"/>
      <c r="DZ112" s="40"/>
      <c r="EB112" s="38"/>
      <c r="EC112" s="43"/>
      <c r="EU112" s="1360">
        <f t="shared" ca="1" si="774"/>
        <v>0</v>
      </c>
      <c r="EV112" s="173">
        <v>40</v>
      </c>
      <c r="EW112" s="1">
        <v>30</v>
      </c>
      <c r="EX112" s="55">
        <v>42339</v>
      </c>
      <c r="EY112" s="55">
        <f t="shared" si="762"/>
        <v>53296.5</v>
      </c>
      <c r="EZ112" s="61">
        <f t="shared" ca="1" si="763"/>
        <v>14</v>
      </c>
      <c r="FA112" s="37" t="s">
        <v>773</v>
      </c>
      <c r="FB112" s="39">
        <v>40.380000000000003</v>
      </c>
      <c r="FC112" s="39">
        <f t="shared" si="801"/>
        <v>0.38000000000000256</v>
      </c>
      <c r="FD112" s="40">
        <f t="shared" si="802"/>
        <v>9.5000000000000639E-3</v>
      </c>
      <c r="FE112" s="39">
        <f t="shared" ca="1" si="776"/>
        <v>2.7142857142857326E-2</v>
      </c>
      <c r="FF112" s="43">
        <f t="shared" ca="1" si="767"/>
        <v>1</v>
      </c>
      <c r="FH112" s="987"/>
      <c r="FR112" s="438"/>
      <c r="FS112" s="550">
        <v>9</v>
      </c>
      <c r="FT112" s="58">
        <v>2</v>
      </c>
      <c r="FU112" s="38">
        <v>1</v>
      </c>
      <c r="FV112" s="38">
        <f t="shared" si="799"/>
        <v>1.0002498438930771</v>
      </c>
      <c r="FW112" s="39">
        <f>$FW$111*FV112</f>
        <v>25.651614975921955</v>
      </c>
      <c r="FX112" s="153"/>
      <c r="GE112" s="144"/>
    </row>
    <row r="113" spans="4:187" ht="13.5" thickBot="1">
      <c r="D113" s="139">
        <f t="shared" si="795"/>
        <v>100</v>
      </c>
      <c r="E113" s="140">
        <f t="shared" si="795"/>
        <v>99.961888999999999</v>
      </c>
      <c r="F113" s="140">
        <f t="shared" si="793"/>
        <v>3.8111000000000672E-2</v>
      </c>
      <c r="G113" s="140">
        <f t="shared" si="794"/>
        <v>0.9527750000000168</v>
      </c>
      <c r="H113" s="141">
        <v>25</v>
      </c>
      <c r="I113" s="142">
        <f t="shared" si="792"/>
        <v>9.5313825051867203E-3</v>
      </c>
      <c r="M113" s="96"/>
      <c r="O113" s="62"/>
      <c r="P113" s="62"/>
      <c r="Q113" s="62"/>
      <c r="R113" s="62"/>
      <c r="S113" s="62"/>
      <c r="T113" s="43"/>
      <c r="U113" s="62"/>
      <c r="V113" s="5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L113" s="38"/>
      <c r="BM113" s="38"/>
      <c r="BN113" s="38"/>
      <c r="BO113" s="38"/>
      <c r="BP113" s="38"/>
      <c r="BQ113" s="38"/>
      <c r="BR113" s="38"/>
      <c r="BS113" s="38"/>
      <c r="CC113" s="160"/>
      <c r="CD113" s="165"/>
      <c r="CE113" s="38"/>
      <c r="CF113" s="39"/>
      <c r="CG113" s="38"/>
      <c r="CH113" s="38"/>
      <c r="CI113" s="38"/>
      <c r="CJ113" s="38"/>
      <c r="CO113" s="38"/>
      <c r="CP113" s="154"/>
      <c r="CQ113" s="38"/>
      <c r="CR113" s="38"/>
      <c r="CS113" s="38"/>
      <c r="CT113" s="38"/>
      <c r="CU113" s="38"/>
      <c r="CV113" s="38"/>
      <c r="CY113" s="204"/>
      <c r="CZ113" s="38"/>
      <c r="DA113" s="38"/>
      <c r="DB113" s="38"/>
      <c r="DE113" s="38"/>
      <c r="DF113" s="154"/>
      <c r="DG113" s="38"/>
      <c r="DH113" s="38"/>
      <c r="DI113" s="38"/>
      <c r="DJ113" s="38"/>
      <c r="DK113" s="38"/>
      <c r="DL113" s="38"/>
      <c r="DM113" s="38"/>
      <c r="DN113" s="38"/>
      <c r="DO113" s="39"/>
      <c r="DP113" s="39"/>
      <c r="DQ113" s="38"/>
      <c r="DR113" s="38"/>
      <c r="DS113" s="38"/>
      <c r="DT113" s="38"/>
      <c r="DU113" s="39"/>
      <c r="DV113" s="38"/>
      <c r="DW113" s="40"/>
      <c r="DX113" s="40"/>
      <c r="DY113" s="355"/>
      <c r="DZ113" s="40"/>
      <c r="EB113" s="38"/>
      <c r="EC113" s="43"/>
      <c r="EU113" s="1360">
        <f t="shared" ca="1" si="774"/>
        <v>0</v>
      </c>
      <c r="EV113" s="173">
        <v>40</v>
      </c>
      <c r="EW113" s="1">
        <v>30</v>
      </c>
      <c r="EX113" s="55">
        <v>42339</v>
      </c>
      <c r="EY113" s="55">
        <f t="shared" si="762"/>
        <v>53296.5</v>
      </c>
      <c r="EZ113" s="61">
        <f t="shared" ca="1" si="763"/>
        <v>14</v>
      </c>
      <c r="FA113" s="39" t="s">
        <v>774</v>
      </c>
      <c r="FB113" s="39">
        <v>40.380000000000003</v>
      </c>
      <c r="FC113" s="39">
        <f t="shared" si="801"/>
        <v>0.38000000000000256</v>
      </c>
      <c r="FD113" s="40">
        <f t="shared" si="802"/>
        <v>9.5000000000000639E-3</v>
      </c>
      <c r="FE113" s="39">
        <f t="shared" ca="1" si="776"/>
        <v>2.7142857142857326E-2</v>
      </c>
      <c r="FF113" s="43">
        <f t="shared" ca="1" si="767"/>
        <v>1</v>
      </c>
      <c r="FH113" s="987"/>
      <c r="FR113" s="438"/>
      <c r="FS113" s="550">
        <v>9</v>
      </c>
      <c r="FT113" s="58">
        <v>2</v>
      </c>
      <c r="FU113" s="38">
        <v>2</v>
      </c>
      <c r="FV113" s="38">
        <f t="shared" si="799"/>
        <v>1.0004997502081252</v>
      </c>
      <c r="FW113" s="39">
        <f t="shared" ref="FW113:FW117" si="803">$FW$111*FV113</f>
        <v>25.658023875271258</v>
      </c>
      <c r="FX113" s="153"/>
      <c r="GE113" s="144"/>
    </row>
    <row r="114" spans="4:187" ht="13.5" thickBot="1">
      <c r="K114" s="787" t="s">
        <v>1778</v>
      </c>
      <c r="L114" s="77" t="s">
        <v>1721</v>
      </c>
      <c r="M114" s="96"/>
      <c r="O114" s="62"/>
      <c r="P114" s="62"/>
      <c r="Q114" s="62"/>
      <c r="R114" s="62"/>
      <c r="S114" s="62"/>
      <c r="T114" s="43"/>
      <c r="U114" s="62"/>
      <c r="V114" s="5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L114" s="38"/>
      <c r="BM114" s="38"/>
      <c r="BN114" s="38"/>
      <c r="BO114" s="38"/>
      <c r="BP114" s="38"/>
      <c r="BQ114" s="38"/>
      <c r="BR114" s="38"/>
      <c r="BS114" s="38"/>
      <c r="CC114" s="160"/>
      <c r="CD114" s="165"/>
      <c r="CE114" s="38"/>
      <c r="CF114" s="39"/>
      <c r="CG114" s="38"/>
      <c r="CH114" s="38"/>
      <c r="CI114" s="38"/>
      <c r="CJ114" s="38"/>
      <c r="CO114" s="38"/>
      <c r="CP114" s="154"/>
      <c r="CQ114" s="38"/>
      <c r="CR114" s="38"/>
      <c r="CS114" s="38"/>
      <c r="CT114" s="38"/>
      <c r="CU114" s="38"/>
      <c r="CV114" s="38"/>
      <c r="CY114" s="204"/>
      <c r="CZ114" s="38"/>
      <c r="DA114" s="38"/>
      <c r="DB114" s="38"/>
      <c r="DE114" s="38"/>
      <c r="DF114" s="154"/>
      <c r="DG114" s="38"/>
      <c r="DH114" s="38"/>
      <c r="DI114" s="38"/>
      <c r="DJ114" s="38"/>
      <c r="DK114" s="38"/>
      <c r="DL114" s="38"/>
      <c r="DM114" s="38"/>
      <c r="DN114" s="38"/>
      <c r="DO114" s="39"/>
      <c r="DP114" s="39"/>
      <c r="DQ114" s="38"/>
      <c r="DR114" s="38"/>
      <c r="DS114" s="38"/>
      <c r="DT114" s="38"/>
      <c r="DU114" s="39"/>
      <c r="DV114" s="38"/>
      <c r="DW114" s="40"/>
      <c r="DX114" s="40"/>
      <c r="DY114" s="355"/>
      <c r="DZ114" s="40"/>
      <c r="EB114" s="38"/>
      <c r="EC114" s="43"/>
      <c r="EU114" s="1360">
        <f t="shared" ca="1" si="774"/>
        <v>0</v>
      </c>
      <c r="EV114" s="173">
        <v>100</v>
      </c>
      <c r="EW114" s="1">
        <v>30</v>
      </c>
      <c r="EX114" s="55">
        <v>42339</v>
      </c>
      <c r="EY114" s="55">
        <f t="shared" si="762"/>
        <v>53296.5</v>
      </c>
      <c r="EZ114" s="61">
        <f t="shared" ca="1" si="763"/>
        <v>14</v>
      </c>
      <c r="FA114" s="37" t="s">
        <v>1688</v>
      </c>
      <c r="FB114" s="39">
        <v>100.96</v>
      </c>
      <c r="FC114" s="39">
        <f t="shared" si="801"/>
        <v>0.95999999999999375</v>
      </c>
      <c r="FD114" s="40">
        <f t="shared" si="802"/>
        <v>9.5999999999998309E-3</v>
      </c>
      <c r="FE114" s="39">
        <f t="shared" ca="1" si="776"/>
        <v>6.8571428571428131E-2</v>
      </c>
      <c r="FF114" s="43">
        <f t="shared" ca="1" si="767"/>
        <v>1</v>
      </c>
      <c r="FH114" s="987"/>
      <c r="FR114" s="438"/>
      <c r="FS114" s="550">
        <v>9</v>
      </c>
      <c r="FT114" s="58">
        <v>2</v>
      </c>
      <c r="FU114" s="38">
        <v>3</v>
      </c>
      <c r="FV114" s="38">
        <f t="shared" si="799"/>
        <v>1.0007497189607399</v>
      </c>
      <c r="FW114" s="39">
        <f t="shared" si="803"/>
        <v>25.664434375844923</v>
      </c>
      <c r="FX114" s="153"/>
      <c r="GE114" s="144"/>
    </row>
    <row r="115" spans="4:187" ht="13.5" thickBot="1">
      <c r="D115" s="169" t="s">
        <v>43</v>
      </c>
      <c r="E115" s="76" t="s">
        <v>276</v>
      </c>
      <c r="F115" s="674" t="s">
        <v>270</v>
      </c>
      <c r="G115" s="675" t="s">
        <v>1361</v>
      </c>
      <c r="H115" s="806" t="s">
        <v>650</v>
      </c>
      <c r="I115" s="112"/>
      <c r="K115" s="150" t="str">
        <f>IF(AND(K90&lt;K91,K91&lt;K92,K92&lt;K93,K93&lt;K94,K94&lt;K95),"normal",IF(AND(K90&gt;K91,K91&gt;K92,K92&gt;K93,K93&gt;K94,K94&gt;K95),"inverted",IF(AND(ABS(K90-K91)&lt;L115,ABS(K90-K92)&lt;L115,ABS(K90-K93)&lt;L115,ABS(K90-K94)&lt;L115,ABS(K90-K95)&lt;L115,ABS(K91-K92)&lt;L115,ABS(K91-K93)&lt;L115,ABS(K91-K94)&lt;L115,ABS(K91-K95)&lt;L115,ABS(K92-K93)&lt;L115,ABS(K92-K94)&lt;L115,ABS(K92-K95)&lt;L115,ABS(K93-K94)&lt;L115,ABS(K93-K95)&lt;L115,ABS(K94-K95)&lt;L115),"flat","other")))</f>
        <v>normal</v>
      </c>
      <c r="L115" s="931">
        <v>2.5000000000000001E-3</v>
      </c>
      <c r="M115" s="96"/>
      <c r="O115" s="38"/>
      <c r="P115" s="62"/>
      <c r="Q115" s="62"/>
      <c r="R115" s="62"/>
      <c r="S115" s="62"/>
      <c r="T115" s="43"/>
      <c r="U115" s="62"/>
      <c r="V115" s="5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L115" s="38"/>
      <c r="BM115" s="38"/>
      <c r="BN115" s="38"/>
      <c r="BO115" s="38"/>
      <c r="BP115" s="38"/>
      <c r="BQ115" s="38"/>
      <c r="BR115" s="38"/>
      <c r="BS115" s="38"/>
      <c r="CC115" s="160"/>
      <c r="CD115" s="165"/>
      <c r="CE115" s="38"/>
      <c r="CF115" s="39"/>
      <c r="CG115" s="38"/>
      <c r="CH115" s="38"/>
      <c r="CI115" s="38"/>
      <c r="CJ115" s="38"/>
      <c r="CO115" s="38"/>
      <c r="CP115" s="154"/>
      <c r="CQ115" s="38"/>
      <c r="CR115" s="38"/>
      <c r="CS115" s="38"/>
      <c r="CT115" s="38"/>
      <c r="CU115" s="38"/>
      <c r="CV115" s="38"/>
      <c r="CY115" s="204"/>
      <c r="CZ115" s="38"/>
      <c r="DA115" s="38"/>
      <c r="DB115" s="38"/>
      <c r="DE115" s="38"/>
      <c r="DF115" s="154"/>
      <c r="DG115" s="38"/>
      <c r="DH115" s="38"/>
      <c r="DI115" s="38"/>
      <c r="DJ115" s="38"/>
      <c r="DK115" s="38"/>
      <c r="DL115" s="38"/>
      <c r="DM115" s="38"/>
      <c r="DN115" s="38"/>
      <c r="DO115" s="39"/>
      <c r="DP115" s="39"/>
      <c r="DQ115" s="38"/>
      <c r="DR115" s="38"/>
      <c r="DS115" s="38"/>
      <c r="DT115" s="38"/>
      <c r="DU115" s="39"/>
      <c r="DV115" s="38"/>
      <c r="DW115" s="40"/>
      <c r="DX115" s="40"/>
      <c r="DY115" s="355"/>
      <c r="DZ115" s="40"/>
      <c r="EB115" s="38"/>
      <c r="EC115" s="43"/>
      <c r="EU115" s="1360">
        <f t="shared" ca="1" si="774"/>
        <v>0</v>
      </c>
      <c r="EV115" s="173">
        <v>40</v>
      </c>
      <c r="EW115" s="1">
        <v>30</v>
      </c>
      <c r="EX115" s="55">
        <v>42309</v>
      </c>
      <c r="EY115" s="55">
        <f t="shared" si="762"/>
        <v>53266.5</v>
      </c>
      <c r="EZ115" s="61">
        <f t="shared" ca="1" si="763"/>
        <v>15</v>
      </c>
      <c r="FA115" s="37" t="s">
        <v>766</v>
      </c>
      <c r="FB115" s="39">
        <v>40.380000000000003</v>
      </c>
      <c r="FC115" s="39">
        <f t="shared" si="801"/>
        <v>0.38000000000000256</v>
      </c>
      <c r="FD115" s="40">
        <f t="shared" si="802"/>
        <v>9.5000000000000639E-3</v>
      </c>
      <c r="FE115" s="39">
        <f t="shared" ca="1" si="776"/>
        <v>2.5333333333333503E-2</v>
      </c>
      <c r="FF115" s="43">
        <f t="shared" ca="1" si="767"/>
        <v>1</v>
      </c>
      <c r="FH115" s="987"/>
      <c r="FR115" s="438"/>
      <c r="FS115" s="550">
        <v>9</v>
      </c>
      <c r="FT115" s="58">
        <v>2</v>
      </c>
      <c r="FU115" s="38">
        <v>4</v>
      </c>
      <c r="FV115" s="38">
        <f t="shared" si="799"/>
        <v>1.0009997501665211</v>
      </c>
      <c r="FW115" s="39">
        <f t="shared" si="803"/>
        <v>25.670846478043011</v>
      </c>
      <c r="FX115" s="153"/>
      <c r="GE115" s="144"/>
    </row>
    <row r="116" spans="4:187">
      <c r="D116" s="78">
        <v>100</v>
      </c>
      <c r="E116" s="168">
        <f>K127</f>
        <v>2.47E-2</v>
      </c>
      <c r="F116" s="91"/>
      <c r="G116" s="151"/>
      <c r="H116" s="150" t="s">
        <v>649</v>
      </c>
      <c r="I116" s="151" t="s">
        <v>8</v>
      </c>
      <c r="K116" s="150"/>
      <c r="L116" s="151"/>
      <c r="M116" s="96"/>
      <c r="O116" s="62"/>
      <c r="P116" s="62"/>
      <c r="Q116" s="62"/>
      <c r="R116" s="62"/>
      <c r="S116" s="62"/>
      <c r="T116" s="43"/>
      <c r="U116" s="62"/>
      <c r="V116" s="5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L116" s="38"/>
      <c r="BM116" s="38"/>
      <c r="BN116" s="38"/>
      <c r="BO116" s="38"/>
      <c r="BP116" s="38"/>
      <c r="BQ116" s="38"/>
      <c r="BR116" s="38"/>
      <c r="BS116" s="38"/>
      <c r="CC116" s="160"/>
      <c r="CD116" s="165"/>
      <c r="CE116" s="38"/>
      <c r="CF116" s="39"/>
      <c r="CG116" s="38"/>
      <c r="CH116" s="38"/>
      <c r="CI116" s="38"/>
      <c r="CJ116" s="38"/>
      <c r="CO116" s="38"/>
      <c r="CP116" s="154"/>
      <c r="CQ116" s="38"/>
      <c r="CR116" s="38"/>
      <c r="CS116" s="38"/>
      <c r="CT116" s="38"/>
      <c r="CU116" s="38"/>
      <c r="CV116" s="38"/>
      <c r="CY116" s="204"/>
      <c r="CZ116" s="38"/>
      <c r="DA116" s="38"/>
      <c r="DB116" s="38"/>
      <c r="DE116" s="38"/>
      <c r="DF116" s="154"/>
      <c r="DG116" s="38"/>
      <c r="DH116" s="38"/>
      <c r="DI116" s="38"/>
      <c r="DJ116" s="38"/>
      <c r="DK116" s="38"/>
      <c r="DL116" s="38"/>
      <c r="DM116" s="38"/>
      <c r="DN116" s="38"/>
      <c r="DO116" s="39"/>
      <c r="DP116" s="39"/>
      <c r="DQ116" s="38"/>
      <c r="DR116" s="38"/>
      <c r="DS116" s="38"/>
      <c r="DT116" s="38"/>
      <c r="DU116" s="39"/>
      <c r="DV116" s="38"/>
      <c r="DW116" s="40"/>
      <c r="DX116" s="40"/>
      <c r="DY116" s="355"/>
      <c r="DZ116" s="40"/>
      <c r="EB116" s="38"/>
      <c r="EC116" s="43"/>
      <c r="EU116" s="1360">
        <f t="shared" ca="1" si="774"/>
        <v>0</v>
      </c>
      <c r="EV116" s="173">
        <v>40</v>
      </c>
      <c r="EW116" s="1">
        <v>30</v>
      </c>
      <c r="EX116" s="55">
        <v>42309</v>
      </c>
      <c r="EY116" s="55">
        <f t="shared" si="762"/>
        <v>53266.5</v>
      </c>
      <c r="EZ116" s="61">
        <f t="shared" ca="1" si="763"/>
        <v>15</v>
      </c>
      <c r="FA116" s="37" t="s">
        <v>767</v>
      </c>
      <c r="FB116" s="39">
        <v>40.380000000000003</v>
      </c>
      <c r="FC116" s="39">
        <f t="shared" si="801"/>
        <v>0.38000000000000256</v>
      </c>
      <c r="FD116" s="40">
        <f t="shared" si="802"/>
        <v>9.5000000000000639E-3</v>
      </c>
      <c r="FE116" s="39">
        <f t="shared" ca="1" si="776"/>
        <v>2.5333333333333503E-2</v>
      </c>
      <c r="FF116" s="43">
        <f t="shared" ca="1" si="767"/>
        <v>1</v>
      </c>
      <c r="FH116" s="987"/>
      <c r="FR116" s="438"/>
      <c r="FS116" s="550">
        <v>9</v>
      </c>
      <c r="FT116" s="58">
        <v>2</v>
      </c>
      <c r="FU116" s="38">
        <v>5</v>
      </c>
      <c r="FV116" s="38">
        <f t="shared" si="799"/>
        <v>1.001249843841072</v>
      </c>
      <c r="FW116" s="39">
        <f t="shared" si="803"/>
        <v>25.67726018226567</v>
      </c>
      <c r="FX116" s="153"/>
      <c r="GE116" s="144"/>
    </row>
    <row r="117" spans="4:187" ht="13.5" thickBot="1">
      <c r="D117" s="83"/>
      <c r="E117" s="170"/>
      <c r="F117" s="91"/>
      <c r="G117" s="151"/>
      <c r="H117" s="1421">
        <f>E136/E119</f>
        <v>1.2145748987854252</v>
      </c>
      <c r="I117" s="1406">
        <f>G167/G130</f>
        <v>1.5236567762630313</v>
      </c>
      <c r="K117" s="133" t="s">
        <v>1722</v>
      </c>
      <c r="L117" s="151"/>
      <c r="P117" s="62"/>
      <c r="Q117" s="62"/>
      <c r="R117" s="62"/>
      <c r="S117" s="62"/>
      <c r="T117" s="43"/>
      <c r="U117" s="62"/>
      <c r="V117" s="5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L117" s="38"/>
      <c r="BM117" s="38"/>
      <c r="BN117" s="38"/>
      <c r="BO117" s="38"/>
      <c r="BP117" s="38"/>
      <c r="BQ117" s="38"/>
      <c r="BR117" s="38"/>
      <c r="BS117" s="38"/>
      <c r="CC117" s="160"/>
      <c r="CD117" s="165"/>
      <c r="CE117" s="38"/>
      <c r="CF117" s="39"/>
      <c r="CG117" s="38"/>
      <c r="CH117" s="38"/>
      <c r="CI117" s="38"/>
      <c r="CJ117" s="38"/>
      <c r="CO117" s="38"/>
      <c r="CP117" s="154"/>
      <c r="CQ117" s="38"/>
      <c r="CR117" s="38"/>
      <c r="CS117" s="38"/>
      <c r="CT117" s="38"/>
      <c r="CU117" s="38"/>
      <c r="CV117" s="38"/>
      <c r="CY117" s="204"/>
      <c r="CZ117" s="38"/>
      <c r="DA117" s="38"/>
      <c r="DB117" s="38"/>
      <c r="DE117" s="38"/>
      <c r="DF117" s="154"/>
      <c r="DG117" s="38"/>
      <c r="DH117" s="38"/>
      <c r="DI117" s="38"/>
      <c r="DJ117" s="38"/>
      <c r="DK117" s="38"/>
      <c r="DL117" s="38"/>
      <c r="DM117" s="38"/>
      <c r="DN117" s="38"/>
      <c r="DO117" s="39"/>
      <c r="DP117" s="39"/>
      <c r="DQ117" s="38"/>
      <c r="DR117" s="38"/>
      <c r="DS117" s="38"/>
      <c r="DT117" s="38"/>
      <c r="DU117" s="39"/>
      <c r="DV117" s="38"/>
      <c r="DW117" s="40"/>
      <c r="DX117" s="40"/>
      <c r="DY117" s="355"/>
      <c r="DZ117" s="40"/>
      <c r="EB117" s="38"/>
      <c r="EC117" s="43"/>
      <c r="EU117" s="1360">
        <f t="shared" ca="1" si="774"/>
        <v>0</v>
      </c>
      <c r="EV117" s="173">
        <v>40</v>
      </c>
      <c r="EW117" s="1">
        <v>30</v>
      </c>
      <c r="EX117" s="55">
        <v>42309</v>
      </c>
      <c r="EY117" s="55">
        <f t="shared" si="762"/>
        <v>53266.5</v>
      </c>
      <c r="EZ117" s="61">
        <f t="shared" ca="1" si="763"/>
        <v>15</v>
      </c>
      <c r="FA117" s="37" t="s">
        <v>768</v>
      </c>
      <c r="FB117" s="39">
        <v>40.380000000000003</v>
      </c>
      <c r="FC117" s="39">
        <f t="shared" si="801"/>
        <v>0.38000000000000256</v>
      </c>
      <c r="FD117" s="40">
        <f t="shared" si="802"/>
        <v>9.5000000000000639E-3</v>
      </c>
      <c r="FE117" s="39">
        <f t="shared" ca="1" si="776"/>
        <v>2.5333333333333503E-2</v>
      </c>
      <c r="FF117" s="43">
        <f t="shared" ca="1" si="767"/>
        <v>1</v>
      </c>
      <c r="FH117" s="987"/>
      <c r="FR117" s="438"/>
      <c r="FS117" s="550">
        <v>9</v>
      </c>
      <c r="FT117" s="58">
        <v>2</v>
      </c>
      <c r="FU117" s="38">
        <v>6</v>
      </c>
      <c r="FV117" s="38">
        <f t="shared" si="799"/>
        <v>1.0015000000000001</v>
      </c>
      <c r="FW117" s="39">
        <f t="shared" si="803"/>
        <v>25.68367548891316</v>
      </c>
      <c r="FX117" s="153"/>
      <c r="GE117" s="144"/>
    </row>
    <row r="118" spans="4:187" ht="13.5" thickBot="1">
      <c r="D118" s="135" t="s">
        <v>272</v>
      </c>
      <c r="E118" s="136" t="s">
        <v>271</v>
      </c>
      <c r="F118" s="136" t="s">
        <v>273</v>
      </c>
      <c r="G118" s="157" t="s">
        <v>274</v>
      </c>
      <c r="K118" s="854" t="str">
        <f>IF(K115="normal","long",IF(K115="inverted","short to medium","mainly short"))</f>
        <v>long</v>
      </c>
      <c r="L118" s="377"/>
      <c r="P118" s="62"/>
      <c r="Q118" s="62"/>
      <c r="R118" s="62"/>
      <c r="S118" s="62"/>
      <c r="T118" s="43"/>
      <c r="U118" s="62"/>
      <c r="V118" s="5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L118" s="38"/>
      <c r="BM118" s="38"/>
      <c r="BN118" s="38"/>
      <c r="BO118" s="38"/>
      <c r="BP118" s="38"/>
      <c r="BQ118" s="38"/>
      <c r="BR118" s="38"/>
      <c r="BS118" s="38"/>
      <c r="CC118" s="160"/>
      <c r="CD118" s="165"/>
      <c r="CE118" s="38"/>
      <c r="CF118" s="39"/>
      <c r="CG118" s="38"/>
      <c r="CH118" s="38"/>
      <c r="CI118" s="38"/>
      <c r="CJ118" s="38"/>
      <c r="CO118" s="38"/>
      <c r="CP118" s="154"/>
      <c r="CQ118" s="38"/>
      <c r="CR118" s="38"/>
      <c r="CS118" s="38"/>
      <c r="CT118" s="38"/>
      <c r="CU118" s="38"/>
      <c r="CV118" s="38"/>
      <c r="CY118" s="204"/>
      <c r="CZ118" s="38"/>
      <c r="DA118" s="38"/>
      <c r="DB118" s="38"/>
      <c r="DE118" s="38"/>
      <c r="DF118" s="154"/>
      <c r="DG118" s="38"/>
      <c r="DH118" s="38"/>
      <c r="DI118" s="38"/>
      <c r="DJ118" s="38"/>
      <c r="DK118" s="38"/>
      <c r="DL118" s="38"/>
      <c r="DM118" s="38"/>
      <c r="DN118" s="38"/>
      <c r="DO118" s="39"/>
      <c r="DP118" s="39"/>
      <c r="DQ118" s="38"/>
      <c r="DR118" s="38"/>
      <c r="DS118" s="38"/>
      <c r="DT118" s="38"/>
      <c r="DU118" s="39"/>
      <c r="DV118" s="38"/>
      <c r="DW118" s="40"/>
      <c r="DX118" s="40"/>
      <c r="DY118" s="355"/>
      <c r="DZ118" s="40"/>
      <c r="EB118" s="38"/>
      <c r="EC118" s="43"/>
      <c r="EU118" s="1360">
        <f t="shared" ca="1" si="774"/>
        <v>0</v>
      </c>
      <c r="EV118" s="173">
        <v>40</v>
      </c>
      <c r="EW118" s="1">
        <v>30</v>
      </c>
      <c r="EX118" s="55">
        <v>42309</v>
      </c>
      <c r="EY118" s="55">
        <f t="shared" si="762"/>
        <v>53266.5</v>
      </c>
      <c r="EZ118" s="61">
        <f t="shared" ca="1" si="763"/>
        <v>15</v>
      </c>
      <c r="FA118" s="37" t="s">
        <v>769</v>
      </c>
      <c r="FB118" s="39">
        <v>40.380000000000003</v>
      </c>
      <c r="FC118" s="39">
        <f t="shared" si="801"/>
        <v>0.38000000000000256</v>
      </c>
      <c r="FD118" s="40">
        <f t="shared" si="802"/>
        <v>9.5000000000000639E-3</v>
      </c>
      <c r="FE118" s="39">
        <f t="shared" ca="1" si="776"/>
        <v>2.5333333333333503E-2</v>
      </c>
      <c r="FF118" s="43">
        <f t="shared" ca="1" si="767"/>
        <v>1</v>
      </c>
      <c r="FH118" s="987"/>
      <c r="FR118" s="438"/>
      <c r="FV118" s="144"/>
      <c r="FW118" s="144"/>
      <c r="FX118" s="153"/>
      <c r="GE118" s="144"/>
    </row>
    <row r="119" spans="4:187" ht="13.5" thickBot="1">
      <c r="D119" s="150">
        <v>1</v>
      </c>
      <c r="E119" s="96">
        <f t="shared" ref="E119:E128" si="804">($D$116*$E$116)/2</f>
        <v>1.2349999999999999</v>
      </c>
      <c r="F119" s="96">
        <f>E119*2</f>
        <v>2.4699999999999998</v>
      </c>
      <c r="G119" s="82">
        <f>F119</f>
        <v>2.4699999999999998</v>
      </c>
      <c r="P119" s="62"/>
      <c r="Q119" s="62"/>
      <c r="R119" s="62"/>
      <c r="S119" s="62"/>
      <c r="T119" s="43"/>
      <c r="U119" s="62"/>
      <c r="V119" s="5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L119" s="38"/>
      <c r="BM119" s="38"/>
      <c r="BN119" s="38"/>
      <c r="BO119" s="38"/>
      <c r="BP119" s="38"/>
      <c r="BQ119" s="38"/>
      <c r="BR119" s="38"/>
      <c r="BS119" s="38"/>
      <c r="CC119" s="160"/>
      <c r="CD119" s="165"/>
      <c r="CE119" s="38"/>
      <c r="CF119" s="39"/>
      <c r="CG119" s="38"/>
      <c r="CH119" s="38"/>
      <c r="CI119" s="38"/>
      <c r="CJ119" s="38"/>
      <c r="CO119" s="38"/>
      <c r="CP119" s="154"/>
      <c r="CQ119" s="38"/>
      <c r="CR119" s="38"/>
      <c r="CS119" s="38"/>
      <c r="CT119" s="38"/>
      <c r="CU119" s="38"/>
      <c r="CV119" s="38"/>
      <c r="CY119" s="204"/>
      <c r="CZ119" s="38"/>
      <c r="DA119" s="38"/>
      <c r="DB119" s="38"/>
      <c r="DE119" s="38"/>
      <c r="DF119" s="154"/>
      <c r="DG119" s="38"/>
      <c r="DH119" s="38"/>
      <c r="DI119" s="38"/>
      <c r="DJ119" s="38"/>
      <c r="DK119" s="38"/>
      <c r="DL119" s="38"/>
      <c r="DM119" s="38"/>
      <c r="DN119" s="38"/>
      <c r="DO119" s="39"/>
      <c r="DP119" s="39"/>
      <c r="DQ119" s="38"/>
      <c r="DR119" s="38"/>
      <c r="DS119" s="38"/>
      <c r="DT119" s="38"/>
      <c r="DU119" s="39"/>
      <c r="DV119" s="38"/>
      <c r="DW119" s="40"/>
      <c r="DX119" s="40"/>
      <c r="DY119" s="355"/>
      <c r="DZ119" s="40"/>
      <c r="EB119" s="38"/>
      <c r="EC119" s="43"/>
      <c r="ES119" s="153"/>
      <c r="EU119" s="1360">
        <f t="shared" ca="1" si="774"/>
        <v>0</v>
      </c>
      <c r="EV119" s="173">
        <v>40</v>
      </c>
      <c r="EW119" s="1">
        <v>30</v>
      </c>
      <c r="EX119" s="55">
        <v>42278</v>
      </c>
      <c r="EY119" s="55">
        <f t="shared" si="762"/>
        <v>53235.5</v>
      </c>
      <c r="EZ119" s="61">
        <f t="shared" ref="EZ119:EZ182" ca="1" si="805">IF(EX119&gt;$G$1,0,DATEDIF(EX119,$G$1,"M"))</f>
        <v>16</v>
      </c>
      <c r="FA119" s="37" t="s">
        <v>761</v>
      </c>
      <c r="FB119" s="39">
        <v>40.299999999999997</v>
      </c>
      <c r="FC119" s="39">
        <f t="shared" si="801"/>
        <v>0.29999999999999716</v>
      </c>
      <c r="FD119" s="40">
        <f t="shared" si="802"/>
        <v>7.4999999999998401E-3</v>
      </c>
      <c r="FE119" s="39">
        <f t="shared" ca="1" si="776"/>
        <v>1.8749999999999822E-2</v>
      </c>
      <c r="FF119" s="43">
        <f t="shared" ref="FF119:FF182" ca="1" si="806">IF(EX119&lt;$G$1-365.25,1,0)</f>
        <v>1</v>
      </c>
      <c r="FH119" s="987"/>
      <c r="FR119" s="438"/>
      <c r="FS119" s="550">
        <v>10</v>
      </c>
      <c r="FT119" s="58">
        <v>1</v>
      </c>
      <c r="FU119" s="38">
        <v>1</v>
      </c>
      <c r="FV119" s="38">
        <f t="shared" ref="FV119:FV130" si="807">(1+$FY$2/2)^(FU119/6)</f>
        <v>1.0002498438930771</v>
      </c>
      <c r="FW119" s="39">
        <f>$FW$117*FV119</f>
        <v>25.69009239838584</v>
      </c>
      <c r="FX119" s="153"/>
      <c r="GE119" s="144"/>
    </row>
    <row r="120" spans="4:187">
      <c r="D120" s="150">
        <v>2</v>
      </c>
      <c r="E120" s="96">
        <f t="shared" si="804"/>
        <v>1.2349999999999999</v>
      </c>
      <c r="F120" s="96">
        <f t="shared" ref="F120:F127" si="808">E120*2</f>
        <v>2.4699999999999998</v>
      </c>
      <c r="G120" s="82">
        <f t="shared" ref="G120:G128" si="809">F120+G119</f>
        <v>4.9399999999999995</v>
      </c>
      <c r="J120" s="198"/>
      <c r="K120" s="89"/>
      <c r="L120" s="1470" t="s">
        <v>2763</v>
      </c>
      <c r="M120" s="788" t="s">
        <v>2764</v>
      </c>
      <c r="N120" s="77" t="s">
        <v>2765</v>
      </c>
      <c r="P120" s="62"/>
      <c r="Q120" s="62"/>
      <c r="R120" s="62"/>
      <c r="S120" s="62"/>
      <c r="T120" s="43"/>
      <c r="U120" s="62"/>
      <c r="V120" s="5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R120" s="38"/>
      <c r="BS120" s="38"/>
      <c r="CC120" s="160"/>
      <c r="CD120" s="165"/>
      <c r="CE120" s="38"/>
      <c r="CF120" s="39"/>
      <c r="CG120" s="38"/>
      <c r="CH120" s="38"/>
      <c r="CI120" s="38"/>
      <c r="CJ120" s="38"/>
      <c r="CO120" s="38"/>
      <c r="CP120" s="154"/>
      <c r="CQ120" s="38"/>
      <c r="CR120" s="38"/>
      <c r="CS120" s="38"/>
      <c r="CT120" s="38"/>
      <c r="CU120" s="38"/>
      <c r="CV120" s="38"/>
      <c r="CY120" s="204"/>
      <c r="CZ120" s="38"/>
      <c r="DA120" s="38"/>
      <c r="DB120" s="38"/>
      <c r="DE120" s="38"/>
      <c r="DF120" s="154"/>
      <c r="DG120" s="38"/>
      <c r="DH120" s="38"/>
      <c r="DI120" s="38"/>
      <c r="DJ120" s="38"/>
      <c r="DK120" s="38"/>
      <c r="DL120" s="38"/>
      <c r="DM120" s="38"/>
      <c r="DN120" s="38"/>
      <c r="DO120" s="39"/>
      <c r="DP120" s="39"/>
      <c r="DQ120" s="38"/>
      <c r="DR120" s="38"/>
      <c r="DS120" s="38"/>
      <c r="DT120" s="38"/>
      <c r="DU120" s="39"/>
      <c r="DV120" s="38"/>
      <c r="DW120" s="40"/>
      <c r="DX120" s="40"/>
      <c r="DY120" s="355"/>
      <c r="DZ120" s="40"/>
      <c r="EB120" s="38"/>
      <c r="EC120" s="43"/>
      <c r="ES120" s="153"/>
      <c r="EU120" s="1360">
        <f t="shared" ca="1" si="774"/>
        <v>0</v>
      </c>
      <c r="EV120" s="173">
        <v>40</v>
      </c>
      <c r="EW120" s="1">
        <v>30</v>
      </c>
      <c r="EX120" s="55">
        <v>42278</v>
      </c>
      <c r="EY120" s="55">
        <f t="shared" ref="EY120:EY183" si="810">EX120+EW120*365.25</f>
        <v>53235.5</v>
      </c>
      <c r="EZ120" s="61">
        <f t="shared" ca="1" si="805"/>
        <v>16</v>
      </c>
      <c r="FA120" s="37" t="s">
        <v>762</v>
      </c>
      <c r="FB120" s="39">
        <v>40.299999999999997</v>
      </c>
      <c r="FC120" s="39">
        <f t="shared" si="801"/>
        <v>0.29999999999999716</v>
      </c>
      <c r="FD120" s="40">
        <f t="shared" si="802"/>
        <v>7.4999999999998401E-3</v>
      </c>
      <c r="FE120" s="39">
        <f t="shared" ca="1" si="776"/>
        <v>1.8749999999999822E-2</v>
      </c>
      <c r="FF120" s="43">
        <f t="shared" ca="1" si="806"/>
        <v>1</v>
      </c>
      <c r="FH120" s="987"/>
      <c r="FR120" s="438"/>
      <c r="FS120" s="550">
        <v>10</v>
      </c>
      <c r="FT120" s="58">
        <v>1</v>
      </c>
      <c r="FU120" s="38">
        <v>2</v>
      </c>
      <c r="FV120" s="38">
        <f t="shared" si="807"/>
        <v>1.0004997502081252</v>
      </c>
      <c r="FW120" s="39">
        <f t="shared" ref="FW120:FW124" si="811">$FW$117*FV120</f>
        <v>25.696510911084165</v>
      </c>
      <c r="FX120" s="153"/>
      <c r="GE120" s="144"/>
    </row>
    <row r="121" spans="4:187">
      <c r="D121" s="150">
        <v>3</v>
      </c>
      <c r="E121" s="96">
        <f t="shared" si="804"/>
        <v>1.2349999999999999</v>
      </c>
      <c r="F121" s="96">
        <f t="shared" si="808"/>
        <v>2.4699999999999998</v>
      </c>
      <c r="G121" s="82">
        <f t="shared" si="809"/>
        <v>7.4099999999999993</v>
      </c>
      <c r="J121" s="113" t="s">
        <v>715</v>
      </c>
      <c r="K121" s="1463">
        <f>F70/100</f>
        <v>4.0000000000006252E-4</v>
      </c>
      <c r="L121" s="1464">
        <f t="shared" ref="L121:L128" si="812">K121/$K$121</f>
        <v>1</v>
      </c>
      <c r="M121" s="1171">
        <f>(365.25/12)/(365.25/12)</f>
        <v>1</v>
      </c>
      <c r="N121" s="1466">
        <f>L121/M121</f>
        <v>1</v>
      </c>
      <c r="O121" s="1425"/>
      <c r="P121" s="62"/>
      <c r="Q121" s="62"/>
      <c r="R121" s="62"/>
      <c r="S121" s="62"/>
      <c r="T121" s="43"/>
      <c r="U121" s="62"/>
      <c r="V121" s="5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R121" s="38"/>
      <c r="BS121" s="38"/>
      <c r="CC121" s="160"/>
      <c r="CD121" s="165"/>
      <c r="CE121" s="38"/>
      <c r="CF121" s="39"/>
      <c r="CG121" s="38"/>
      <c r="CH121" s="38"/>
      <c r="CI121" s="38"/>
      <c r="CJ121" s="38"/>
      <c r="CO121" s="38"/>
      <c r="CP121" s="154"/>
      <c r="CQ121" s="38"/>
      <c r="CR121" s="38"/>
      <c r="CS121" s="38"/>
      <c r="CT121" s="38"/>
      <c r="CU121" s="38"/>
      <c r="CV121" s="38"/>
      <c r="CY121" s="204"/>
      <c r="CZ121" s="38"/>
      <c r="DA121" s="38"/>
      <c r="DB121" s="38"/>
      <c r="DE121" s="38"/>
      <c r="DF121" s="154"/>
      <c r="DG121" s="38"/>
      <c r="DH121" s="38"/>
      <c r="DI121" s="38"/>
      <c r="DJ121" s="38"/>
      <c r="DK121" s="38"/>
      <c r="DL121" s="38"/>
      <c r="DM121" s="38"/>
      <c r="DN121" s="38"/>
      <c r="DO121" s="39"/>
      <c r="DP121" s="39"/>
      <c r="DQ121" s="38"/>
      <c r="DR121" s="38"/>
      <c r="DS121" s="38"/>
      <c r="DT121" s="38"/>
      <c r="DU121" s="39"/>
      <c r="DV121" s="38"/>
      <c r="DW121" s="40"/>
      <c r="DX121" s="40"/>
      <c r="DY121" s="355"/>
      <c r="DZ121" s="40"/>
      <c r="EB121" s="38"/>
      <c r="EC121" s="43"/>
      <c r="ES121" s="153"/>
      <c r="EU121" s="1360">
        <f t="shared" ca="1" si="774"/>
        <v>0</v>
      </c>
      <c r="EV121" s="173">
        <v>40</v>
      </c>
      <c r="EW121" s="1">
        <v>30</v>
      </c>
      <c r="EX121" s="55">
        <v>42278</v>
      </c>
      <c r="EY121" s="55">
        <f t="shared" si="810"/>
        <v>53235.5</v>
      </c>
      <c r="EZ121" s="61">
        <f t="shared" ca="1" si="805"/>
        <v>16</v>
      </c>
      <c r="FA121" s="39" t="s">
        <v>763</v>
      </c>
      <c r="FB121" s="39">
        <v>40.299999999999997</v>
      </c>
      <c r="FC121" s="39">
        <f t="shared" si="801"/>
        <v>0.29999999999999716</v>
      </c>
      <c r="FD121" s="40">
        <f t="shared" si="802"/>
        <v>7.4999999999998401E-3</v>
      </c>
      <c r="FE121" s="39">
        <f t="shared" ca="1" si="776"/>
        <v>1.8749999999999822E-2</v>
      </c>
      <c r="FF121" s="43">
        <f t="shared" ca="1" si="806"/>
        <v>1</v>
      </c>
      <c r="FH121" s="987"/>
      <c r="FR121" s="438"/>
      <c r="FS121" s="550">
        <v>10</v>
      </c>
      <c r="FT121" s="58">
        <v>1</v>
      </c>
      <c r="FU121" s="38">
        <v>3</v>
      </c>
      <c r="FV121" s="38">
        <f t="shared" si="807"/>
        <v>1.0007497189607399</v>
      </c>
      <c r="FW121" s="39">
        <f t="shared" si="811"/>
        <v>25.702931027408688</v>
      </c>
      <c r="FX121" s="153"/>
      <c r="GE121" s="144"/>
    </row>
    <row r="122" spans="4:187">
      <c r="D122" s="150">
        <v>4</v>
      </c>
      <c r="E122" s="96">
        <f t="shared" si="804"/>
        <v>1.2349999999999999</v>
      </c>
      <c r="F122" s="96">
        <f t="shared" si="808"/>
        <v>2.4699999999999998</v>
      </c>
      <c r="G122" s="82">
        <f t="shared" si="809"/>
        <v>9.879999999999999</v>
      </c>
      <c r="J122" s="113" t="s">
        <v>714</v>
      </c>
      <c r="K122" s="1463">
        <f>F71/100</f>
        <v>1.2999999999999546E-3</v>
      </c>
      <c r="L122" s="1464">
        <f t="shared" si="812"/>
        <v>3.2499999999993787</v>
      </c>
      <c r="M122" s="1171">
        <f>(0.25*365.25)/(365.25/12)</f>
        <v>3</v>
      </c>
      <c r="N122" s="1466">
        <f t="shared" ref="N122:N128" si="813">L122/M122</f>
        <v>1.0833333333331263</v>
      </c>
      <c r="P122" s="62"/>
      <c r="Q122" s="62"/>
      <c r="R122" s="62"/>
      <c r="S122" s="62"/>
      <c r="T122" s="43"/>
      <c r="U122" s="62"/>
      <c r="V122" s="5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R122" s="38"/>
      <c r="BS122" s="38"/>
      <c r="CC122" s="160"/>
      <c r="CD122" s="165"/>
      <c r="CE122" s="38"/>
      <c r="CF122" s="39"/>
      <c r="CG122" s="38"/>
      <c r="CH122" s="38"/>
      <c r="CI122" s="38"/>
      <c r="CJ122" s="38"/>
      <c r="CO122" s="38"/>
      <c r="CP122" s="154"/>
      <c r="CQ122" s="38"/>
      <c r="CR122" s="38"/>
      <c r="CS122" s="38"/>
      <c r="CT122" s="38"/>
      <c r="CU122" s="38"/>
      <c r="CV122" s="38"/>
      <c r="CY122" s="204"/>
      <c r="CZ122" s="38"/>
      <c r="DA122" s="38"/>
      <c r="DB122" s="38"/>
      <c r="DE122" s="38"/>
      <c r="DF122" s="154"/>
      <c r="DG122" s="38"/>
      <c r="DH122" s="38"/>
      <c r="DI122" s="38"/>
      <c r="DJ122" s="38"/>
      <c r="DK122" s="38"/>
      <c r="DL122" s="38"/>
      <c r="DM122" s="38"/>
      <c r="DN122" s="38"/>
      <c r="DO122" s="39"/>
      <c r="DP122" s="39"/>
      <c r="DQ122" s="38"/>
      <c r="DR122" s="38"/>
      <c r="DS122" s="38"/>
      <c r="DT122" s="38"/>
      <c r="DU122" s="39"/>
      <c r="DV122" s="38"/>
      <c r="DW122" s="40"/>
      <c r="DX122" s="40"/>
      <c r="DY122" s="355"/>
      <c r="DZ122" s="40"/>
      <c r="EB122" s="38"/>
      <c r="EC122" s="43"/>
      <c r="EE122" s="38"/>
      <c r="EF122" s="38"/>
      <c r="EG122" s="38"/>
      <c r="EH122" s="38"/>
      <c r="EI122" s="38"/>
      <c r="EK122" s="38"/>
      <c r="EL122" s="38"/>
      <c r="EM122" s="38"/>
      <c r="EN122" s="39"/>
      <c r="EO122" s="43"/>
      <c r="EP122" s="39"/>
      <c r="EQ122" s="39"/>
      <c r="ES122" s="153"/>
      <c r="EU122" s="1360">
        <f t="shared" ca="1" si="774"/>
        <v>0</v>
      </c>
      <c r="EV122" s="173">
        <v>40</v>
      </c>
      <c r="EW122" s="1">
        <v>30</v>
      </c>
      <c r="EX122" s="55">
        <v>42278</v>
      </c>
      <c r="EY122" s="55">
        <f t="shared" si="810"/>
        <v>53235.5</v>
      </c>
      <c r="EZ122" s="61">
        <f t="shared" ca="1" si="805"/>
        <v>16</v>
      </c>
      <c r="FA122" s="37" t="s">
        <v>764</v>
      </c>
      <c r="FB122" s="39">
        <v>40.299999999999997</v>
      </c>
      <c r="FC122" s="39">
        <f t="shared" si="801"/>
        <v>0.29999999999999716</v>
      </c>
      <c r="FD122" s="40">
        <f t="shared" si="802"/>
        <v>7.4999999999998401E-3</v>
      </c>
      <c r="FE122" s="39">
        <f t="shared" ca="1" si="776"/>
        <v>1.8749999999999822E-2</v>
      </c>
      <c r="FF122" s="43">
        <f t="shared" ca="1" si="806"/>
        <v>1</v>
      </c>
      <c r="FH122" s="987"/>
      <c r="FR122" s="438"/>
      <c r="FS122" s="550">
        <v>10</v>
      </c>
      <c r="FT122" s="58">
        <v>1</v>
      </c>
      <c r="FU122" s="38">
        <v>4</v>
      </c>
      <c r="FV122" s="38">
        <f t="shared" si="807"/>
        <v>1.0009997501665211</v>
      </c>
      <c r="FW122" s="39">
        <f t="shared" si="811"/>
        <v>25.709352747760075</v>
      </c>
      <c r="FX122" s="153"/>
      <c r="GE122" s="144"/>
    </row>
    <row r="123" spans="4:187">
      <c r="D123" s="150">
        <v>5</v>
      </c>
      <c r="E123" s="96">
        <f t="shared" si="804"/>
        <v>1.2349999999999999</v>
      </c>
      <c r="F123" s="96">
        <f t="shared" si="808"/>
        <v>2.4699999999999998</v>
      </c>
      <c r="G123" s="82">
        <f t="shared" si="809"/>
        <v>12.349999999999998</v>
      </c>
      <c r="J123" s="113" t="s">
        <v>716</v>
      </c>
      <c r="K123" s="1463">
        <f>F72/100</f>
        <v>3.1999999999999316E-3</v>
      </c>
      <c r="L123" s="1464">
        <f t="shared" si="812"/>
        <v>7.9999999999985789</v>
      </c>
      <c r="M123" s="1171">
        <f>(0.5*365.25)/(365.25/12)</f>
        <v>6</v>
      </c>
      <c r="N123" s="1466">
        <f t="shared" si="813"/>
        <v>1.3333333333330966</v>
      </c>
      <c r="P123" s="62"/>
      <c r="Q123" s="62"/>
      <c r="R123" s="62"/>
      <c r="S123" s="62"/>
      <c r="T123" s="43"/>
      <c r="U123" s="62"/>
      <c r="V123" s="58"/>
      <c r="W123" s="38"/>
      <c r="X123" s="38"/>
      <c r="Y123" s="38"/>
      <c r="Z123" s="38"/>
      <c r="AA123" s="38"/>
      <c r="AB123" s="38"/>
      <c r="AC123" s="38"/>
      <c r="AD123" s="38"/>
      <c r="AE123" s="38"/>
      <c r="AF123" s="38"/>
      <c r="AZ123" s="38"/>
      <c r="BA123" s="38"/>
      <c r="CC123" s="160"/>
      <c r="CD123" s="165"/>
      <c r="CE123" s="38"/>
      <c r="CF123" s="39"/>
      <c r="CG123" s="38"/>
      <c r="CH123" s="38"/>
      <c r="CI123" s="38"/>
      <c r="CJ123" s="38"/>
      <c r="CO123" s="38"/>
      <c r="CP123" s="154"/>
      <c r="CQ123" s="38"/>
      <c r="CR123" s="38"/>
      <c r="CS123" s="38"/>
      <c r="CT123" s="38"/>
      <c r="CU123" s="38"/>
      <c r="CV123" s="38"/>
      <c r="CY123" s="204"/>
      <c r="CZ123" s="38"/>
      <c r="DA123" s="38"/>
      <c r="DB123" s="38"/>
      <c r="DE123" s="38"/>
      <c r="DF123" s="154"/>
      <c r="DG123" s="38"/>
      <c r="DH123" s="38"/>
      <c r="DI123" s="38"/>
      <c r="DJ123" s="38"/>
      <c r="DK123" s="38"/>
      <c r="DL123" s="38"/>
      <c r="DM123" s="38"/>
      <c r="DN123" s="38"/>
      <c r="DO123" s="39"/>
      <c r="DP123" s="39"/>
      <c r="DQ123" s="38"/>
      <c r="DR123" s="38"/>
      <c r="DS123" s="38"/>
      <c r="DT123" s="38"/>
      <c r="DU123" s="39"/>
      <c r="DV123" s="38"/>
      <c r="DW123" s="40"/>
      <c r="DX123" s="40"/>
      <c r="DY123" s="355"/>
      <c r="DZ123" s="40"/>
      <c r="EB123" s="38"/>
      <c r="EC123" s="43"/>
      <c r="EE123" s="38"/>
      <c r="EF123" s="38"/>
      <c r="EG123" s="38"/>
      <c r="EH123" s="38"/>
      <c r="EI123" s="38"/>
      <c r="EK123" s="38"/>
      <c r="EL123" s="38"/>
      <c r="EM123" s="38"/>
      <c r="EN123" s="39"/>
      <c r="EO123" s="43"/>
      <c r="EP123" s="39"/>
      <c r="EQ123" s="39"/>
      <c r="ES123" s="153"/>
      <c r="EU123" s="1360">
        <f t="shared" ca="1" si="774"/>
        <v>0</v>
      </c>
      <c r="EV123" s="173">
        <v>40</v>
      </c>
      <c r="EW123" s="1">
        <v>30</v>
      </c>
      <c r="EX123" s="55">
        <v>42278</v>
      </c>
      <c r="EY123" s="55">
        <f t="shared" si="810"/>
        <v>53235.5</v>
      </c>
      <c r="EZ123" s="61">
        <f t="shared" ca="1" si="805"/>
        <v>16</v>
      </c>
      <c r="FA123" s="37" t="s">
        <v>765</v>
      </c>
      <c r="FB123" s="39">
        <v>40.299999999999997</v>
      </c>
      <c r="FC123" s="39">
        <f t="shared" si="801"/>
        <v>0.29999999999999716</v>
      </c>
      <c r="FD123" s="40">
        <f t="shared" si="802"/>
        <v>7.4999999999998401E-3</v>
      </c>
      <c r="FE123" s="39">
        <f t="shared" ca="1" si="776"/>
        <v>1.8749999999999822E-2</v>
      </c>
      <c r="FF123" s="43">
        <f t="shared" ca="1" si="806"/>
        <v>1</v>
      </c>
      <c r="FH123" s="987"/>
      <c r="FR123" s="438"/>
      <c r="FS123" s="550">
        <v>10</v>
      </c>
      <c r="FT123" s="58">
        <v>1</v>
      </c>
      <c r="FU123" s="38">
        <v>5</v>
      </c>
      <c r="FV123" s="38">
        <f t="shared" si="807"/>
        <v>1.001249843841072</v>
      </c>
      <c r="FW123" s="39">
        <f t="shared" si="811"/>
        <v>25.715776072539068</v>
      </c>
      <c r="FX123" s="67"/>
      <c r="GE123" s="144"/>
    </row>
    <row r="124" spans="4:187">
      <c r="D124" s="150">
        <v>6</v>
      </c>
      <c r="E124" s="96">
        <f t="shared" si="804"/>
        <v>1.2349999999999999</v>
      </c>
      <c r="F124" s="96">
        <f t="shared" si="808"/>
        <v>2.4699999999999998</v>
      </c>
      <c r="G124" s="82">
        <f t="shared" si="809"/>
        <v>14.819999999999997</v>
      </c>
      <c r="J124" s="951" t="s">
        <v>717</v>
      </c>
      <c r="K124" s="1463">
        <f>F73/100</f>
        <v>8.1000000000000221E-3</v>
      </c>
      <c r="L124" s="1464">
        <f t="shared" si="812"/>
        <v>20.249999999996891</v>
      </c>
      <c r="M124" s="1171">
        <f>(365.25)/(365.25/12)</f>
        <v>12</v>
      </c>
      <c r="N124" s="1466">
        <f t="shared" si="813"/>
        <v>1.6874999999997409</v>
      </c>
      <c r="P124" s="62"/>
      <c r="Q124" s="62"/>
      <c r="R124" s="62"/>
      <c r="S124" s="62"/>
      <c r="T124" s="43"/>
      <c r="U124" s="62"/>
      <c r="V124" s="58"/>
      <c r="W124" s="38"/>
      <c r="X124" s="38"/>
      <c r="Y124" s="38"/>
      <c r="Z124" s="38"/>
      <c r="AA124" s="38"/>
      <c r="AB124" s="38"/>
      <c r="AC124" s="38"/>
      <c r="AD124" s="38"/>
      <c r="AE124" s="38"/>
      <c r="AF124" s="38"/>
      <c r="AZ124" s="38"/>
      <c r="BA124" s="38"/>
      <c r="CC124" s="160"/>
      <c r="CD124" s="165"/>
      <c r="CE124" s="38"/>
      <c r="CF124" s="39"/>
      <c r="CG124" s="38"/>
      <c r="CH124" s="38"/>
      <c r="CI124" s="38"/>
      <c r="CJ124" s="38"/>
      <c r="CO124" s="38"/>
      <c r="CP124" s="154"/>
      <c r="CQ124" s="38"/>
      <c r="CR124" s="38"/>
      <c r="CS124" s="38"/>
      <c r="CT124" s="38"/>
      <c r="CU124" s="38"/>
      <c r="CV124" s="38"/>
      <c r="CY124" s="204"/>
      <c r="CZ124" s="38"/>
      <c r="DA124" s="38"/>
      <c r="DB124" s="38"/>
      <c r="DE124" s="38"/>
      <c r="DF124" s="154"/>
      <c r="DG124" s="38"/>
      <c r="DH124" s="38"/>
      <c r="DI124" s="38"/>
      <c r="DJ124" s="38"/>
      <c r="DK124" s="38"/>
      <c r="DL124" s="38"/>
      <c r="DM124" s="38"/>
      <c r="DN124" s="38"/>
      <c r="DO124" s="39"/>
      <c r="DP124" s="39"/>
      <c r="DQ124" s="38"/>
      <c r="DR124" s="38"/>
      <c r="DS124" s="38"/>
      <c r="DT124" s="38"/>
      <c r="DU124" s="39"/>
      <c r="DV124" s="38"/>
      <c r="DW124" s="40"/>
      <c r="DX124" s="40"/>
      <c r="DY124" s="355"/>
      <c r="DZ124" s="40"/>
      <c r="EB124" s="38"/>
      <c r="EC124" s="43"/>
      <c r="EE124" s="38"/>
      <c r="EF124" s="38"/>
      <c r="EG124" s="38"/>
      <c r="EH124" s="38"/>
      <c r="EI124" s="38"/>
      <c r="EK124" s="38"/>
      <c r="EL124" s="38"/>
      <c r="EM124" s="38"/>
      <c r="EN124" s="39"/>
      <c r="EO124" s="43"/>
      <c r="EP124" s="39"/>
      <c r="EQ124" s="39"/>
      <c r="ES124" s="153"/>
      <c r="EU124" s="1360">
        <f t="shared" ca="1" si="774"/>
        <v>0</v>
      </c>
      <c r="EV124" s="173">
        <v>40</v>
      </c>
      <c r="EW124" s="1">
        <v>30</v>
      </c>
      <c r="EX124" s="55">
        <v>42248</v>
      </c>
      <c r="EY124" s="55">
        <f t="shared" si="810"/>
        <v>53205.5</v>
      </c>
      <c r="EZ124" s="61">
        <f t="shared" ca="1" si="805"/>
        <v>17</v>
      </c>
      <c r="FA124" s="37" t="s">
        <v>757</v>
      </c>
      <c r="FB124" s="39">
        <v>40.32</v>
      </c>
      <c r="FC124" s="39">
        <f t="shared" si="801"/>
        <v>0.32000000000000028</v>
      </c>
      <c r="FD124" s="40">
        <f t="shared" si="802"/>
        <v>8.0000000000000071E-3</v>
      </c>
      <c r="FE124" s="39">
        <f t="shared" ca="1" si="776"/>
        <v>1.8823529411764722E-2</v>
      </c>
      <c r="FF124" s="43">
        <f t="shared" ca="1" si="806"/>
        <v>1</v>
      </c>
      <c r="FH124" s="987"/>
      <c r="FR124" s="438"/>
      <c r="FS124" s="550">
        <v>10</v>
      </c>
      <c r="FT124" s="58">
        <v>1</v>
      </c>
      <c r="FU124" s="38">
        <v>6</v>
      </c>
      <c r="FV124" s="38">
        <f t="shared" si="807"/>
        <v>1.0015000000000001</v>
      </c>
      <c r="FW124" s="39">
        <f t="shared" si="811"/>
        <v>25.72220100214653</v>
      </c>
      <c r="FX124" s="153"/>
      <c r="GE124" s="144"/>
    </row>
    <row r="125" spans="4:187">
      <c r="D125" s="150">
        <v>7</v>
      </c>
      <c r="E125" s="96">
        <f t="shared" si="804"/>
        <v>1.2349999999999999</v>
      </c>
      <c r="F125" s="96">
        <f t="shared" si="808"/>
        <v>2.4699999999999998</v>
      </c>
      <c r="G125" s="82">
        <f t="shared" si="809"/>
        <v>17.289999999999996</v>
      </c>
      <c r="J125" s="948" t="s">
        <v>1824</v>
      </c>
      <c r="K125" s="1465">
        <f>K92</f>
        <v>1.2E-2</v>
      </c>
      <c r="L125" s="1464">
        <f t="shared" si="812"/>
        <v>29.99999999999531</v>
      </c>
      <c r="M125" s="1171">
        <f>(2*365.25)/(365.25/12)</f>
        <v>24</v>
      </c>
      <c r="N125" s="1466">
        <f t="shared" si="813"/>
        <v>1.2499999999998046</v>
      </c>
      <c r="P125" s="62"/>
      <c r="Q125" s="62"/>
      <c r="R125" s="62"/>
      <c r="S125" s="62"/>
      <c r="T125" s="43"/>
      <c r="U125" s="62"/>
      <c r="V125" s="58"/>
      <c r="W125" s="38"/>
      <c r="X125" s="38"/>
      <c r="Y125" s="38"/>
      <c r="Z125" s="38"/>
      <c r="AA125" s="38"/>
      <c r="AB125" s="38"/>
      <c r="AC125" s="38"/>
      <c r="AD125" s="38"/>
      <c r="AE125" s="38"/>
      <c r="AF125" s="38"/>
      <c r="AZ125" s="38"/>
      <c r="BA125" s="38"/>
      <c r="CC125" s="160"/>
      <c r="CD125" s="165"/>
      <c r="CE125" s="38"/>
      <c r="CF125" s="39"/>
      <c r="CG125" s="38"/>
      <c r="CH125" s="38"/>
      <c r="CI125" s="38"/>
      <c r="CJ125" s="38"/>
      <c r="CO125" s="38"/>
      <c r="CP125" s="154"/>
      <c r="CQ125" s="38"/>
      <c r="CR125" s="38"/>
      <c r="CS125" s="38"/>
      <c r="CT125" s="38"/>
      <c r="CU125" s="38"/>
      <c r="CV125" s="38"/>
      <c r="CY125" s="204"/>
      <c r="CZ125" s="38"/>
      <c r="DA125" s="38"/>
      <c r="DB125" s="38"/>
      <c r="DG125" s="38"/>
      <c r="DH125" s="38"/>
      <c r="DI125" s="38"/>
      <c r="DJ125" s="38"/>
      <c r="DK125" s="38"/>
      <c r="DL125" s="38"/>
      <c r="DM125" s="38"/>
      <c r="DN125" s="38"/>
      <c r="DO125" s="39"/>
      <c r="DP125" s="39"/>
      <c r="DQ125" s="38"/>
      <c r="DR125" s="38"/>
      <c r="DS125" s="38"/>
      <c r="DT125" s="38"/>
      <c r="DU125" s="39"/>
      <c r="DV125" s="38"/>
      <c r="DW125" s="40"/>
      <c r="DX125" s="40"/>
      <c r="DY125" s="355"/>
      <c r="DZ125" s="40"/>
      <c r="EA125" s="153"/>
      <c r="EB125" s="38"/>
      <c r="EC125" s="43"/>
      <c r="ES125" s="153"/>
      <c r="EU125" s="1360">
        <f t="shared" ca="1" si="774"/>
        <v>0</v>
      </c>
      <c r="EV125" s="173">
        <v>40</v>
      </c>
      <c r="EW125" s="1">
        <v>30</v>
      </c>
      <c r="EX125" s="55">
        <v>42248</v>
      </c>
      <c r="EY125" s="55">
        <f t="shared" si="810"/>
        <v>53205.5</v>
      </c>
      <c r="EZ125" s="61">
        <f t="shared" ca="1" si="805"/>
        <v>17</v>
      </c>
      <c r="FA125" s="37" t="s">
        <v>758</v>
      </c>
      <c r="FB125" s="39">
        <v>40.32</v>
      </c>
      <c r="FC125" s="39">
        <f t="shared" si="801"/>
        <v>0.32000000000000028</v>
      </c>
      <c r="FD125" s="40">
        <f t="shared" si="802"/>
        <v>8.0000000000000071E-3</v>
      </c>
      <c r="FE125" s="39">
        <f t="shared" ca="1" si="776"/>
        <v>1.8823529411764722E-2</v>
      </c>
      <c r="FF125" s="43">
        <f t="shared" ca="1" si="806"/>
        <v>1</v>
      </c>
      <c r="FH125" s="987"/>
      <c r="FR125" s="438"/>
      <c r="FS125" s="550">
        <v>10</v>
      </c>
      <c r="FT125" s="58">
        <v>2</v>
      </c>
      <c r="FU125" s="38">
        <v>1</v>
      </c>
      <c r="FV125" s="38">
        <f t="shared" si="807"/>
        <v>1.0002498438930771</v>
      </c>
      <c r="FW125" s="39">
        <f>$FW$124*FV125</f>
        <v>25.728627536983421</v>
      </c>
      <c r="FX125" s="153"/>
      <c r="GE125" s="144"/>
    </row>
    <row r="126" spans="4:187">
      <c r="D126" s="150">
        <v>8</v>
      </c>
      <c r="E126" s="96">
        <f t="shared" si="804"/>
        <v>1.2349999999999999</v>
      </c>
      <c r="F126" s="96">
        <f t="shared" si="808"/>
        <v>2.4699999999999998</v>
      </c>
      <c r="G126" s="82">
        <f t="shared" si="809"/>
        <v>19.759999999999994</v>
      </c>
      <c r="J126" s="949" t="s">
        <v>1825</v>
      </c>
      <c r="K126" s="1465">
        <f>K93</f>
        <v>1.9099999999999999E-2</v>
      </c>
      <c r="L126" s="1464">
        <f t="shared" si="812"/>
        <v>47.749999999992532</v>
      </c>
      <c r="M126" s="1171">
        <f>(5*365.25)/(365.25/12)</f>
        <v>60</v>
      </c>
      <c r="N126" s="1466">
        <f t="shared" si="813"/>
        <v>0.79583333333320883</v>
      </c>
      <c r="P126" s="62"/>
      <c r="Q126" s="62"/>
      <c r="R126" s="38"/>
      <c r="S126" s="38"/>
      <c r="T126" s="43"/>
      <c r="U126" s="38"/>
      <c r="V126" s="58"/>
      <c r="W126" s="38"/>
      <c r="X126" s="38"/>
      <c r="Y126" s="38"/>
      <c r="Z126" s="38"/>
      <c r="AA126" s="38"/>
      <c r="AB126" s="38"/>
      <c r="AC126" s="38"/>
      <c r="AD126" s="38"/>
      <c r="AE126" s="38"/>
      <c r="AF126" s="38"/>
      <c r="AZ126" s="38"/>
      <c r="BA126" s="38"/>
      <c r="CC126" s="160"/>
      <c r="CD126" s="165"/>
      <c r="CE126" s="38"/>
      <c r="CF126" s="39"/>
      <c r="CG126" s="38"/>
      <c r="CH126" s="38"/>
      <c r="CI126" s="38"/>
      <c r="CJ126" s="38"/>
      <c r="CO126" s="38"/>
      <c r="CP126" s="154"/>
      <c r="CQ126" s="38"/>
      <c r="CR126" s="38"/>
      <c r="CS126" s="38"/>
      <c r="CT126" s="38"/>
      <c r="CU126" s="38"/>
      <c r="CV126" s="38"/>
      <c r="CY126" s="204"/>
      <c r="CZ126" s="38"/>
      <c r="DA126" s="38"/>
      <c r="DB126" s="38"/>
      <c r="DG126" s="38"/>
      <c r="DH126" s="38"/>
      <c r="DI126" s="38"/>
      <c r="DJ126" s="38"/>
      <c r="DK126" s="38"/>
      <c r="DL126" s="38"/>
      <c r="DM126" s="38"/>
      <c r="DN126" s="38"/>
      <c r="DO126" s="39"/>
      <c r="DP126" s="39"/>
      <c r="DQ126" s="38"/>
      <c r="DR126" s="38"/>
      <c r="DS126" s="38"/>
      <c r="DT126" s="38"/>
      <c r="DU126" s="39"/>
      <c r="DV126" s="38"/>
      <c r="DW126" s="40"/>
      <c r="DX126" s="40"/>
      <c r="DY126" s="355"/>
      <c r="DZ126" s="40"/>
      <c r="EA126" s="153"/>
      <c r="EB126" s="38"/>
      <c r="EC126" s="43"/>
      <c r="ES126" s="153"/>
      <c r="EU126" s="1360">
        <f t="shared" ca="1" si="774"/>
        <v>0</v>
      </c>
      <c r="EV126" s="173">
        <v>40</v>
      </c>
      <c r="EW126" s="1">
        <v>30</v>
      </c>
      <c r="EX126" s="55">
        <v>42248</v>
      </c>
      <c r="EY126" s="55">
        <f t="shared" si="810"/>
        <v>53205.5</v>
      </c>
      <c r="EZ126" s="61">
        <f t="shared" ca="1" si="805"/>
        <v>17</v>
      </c>
      <c r="FA126" s="37" t="s">
        <v>759</v>
      </c>
      <c r="FB126" s="39">
        <v>40.32</v>
      </c>
      <c r="FC126" s="39">
        <f t="shared" si="801"/>
        <v>0.32000000000000028</v>
      </c>
      <c r="FD126" s="40">
        <f t="shared" si="802"/>
        <v>8.0000000000000071E-3</v>
      </c>
      <c r="FE126" s="39">
        <f t="shared" ca="1" si="776"/>
        <v>1.8823529411764722E-2</v>
      </c>
      <c r="FF126" s="43">
        <f t="shared" ca="1" si="806"/>
        <v>1</v>
      </c>
      <c r="FH126" s="987"/>
      <c r="FR126" s="438"/>
      <c r="FS126" s="550">
        <v>10</v>
      </c>
      <c r="FT126" s="58">
        <v>2</v>
      </c>
      <c r="FU126" s="38">
        <v>2</v>
      </c>
      <c r="FV126" s="38">
        <f t="shared" si="807"/>
        <v>1.0004997502081252</v>
      </c>
      <c r="FW126" s="39">
        <f t="shared" ref="FW126:FW130" si="814">$FW$124*FV126</f>
        <v>25.735055677450791</v>
      </c>
      <c r="FX126" s="153"/>
      <c r="GE126" s="144"/>
    </row>
    <row r="127" spans="4:187">
      <c r="D127" s="150">
        <v>9</v>
      </c>
      <c r="E127" s="96">
        <f t="shared" si="804"/>
        <v>1.2349999999999999</v>
      </c>
      <c r="F127" s="96">
        <f t="shared" si="808"/>
        <v>2.4699999999999998</v>
      </c>
      <c r="G127" s="82">
        <f t="shared" si="809"/>
        <v>22.229999999999993</v>
      </c>
      <c r="J127" s="949" t="s">
        <v>1826</v>
      </c>
      <c r="K127" s="1465">
        <f>K94</f>
        <v>2.47E-2</v>
      </c>
      <c r="L127" s="1464">
        <f t="shared" si="812"/>
        <v>61.749999999990351</v>
      </c>
      <c r="M127" s="1171">
        <f>(10*365.25)/(365.25/12)</f>
        <v>120</v>
      </c>
      <c r="N127" s="1466">
        <f t="shared" si="813"/>
        <v>0.5145833333332529</v>
      </c>
      <c r="P127" s="62"/>
      <c r="Q127" s="62"/>
      <c r="R127" s="62"/>
      <c r="S127" s="62"/>
      <c r="T127" s="43"/>
      <c r="U127" s="62"/>
      <c r="V127" s="58"/>
      <c r="W127" s="38"/>
      <c r="X127" s="38"/>
      <c r="Y127" s="38"/>
      <c r="Z127" s="38"/>
      <c r="AA127" s="38"/>
      <c r="AB127" s="38"/>
      <c r="AC127" s="38"/>
      <c r="AD127" s="38"/>
      <c r="AE127" s="38"/>
      <c r="AF127" s="38"/>
      <c r="AZ127" s="38"/>
      <c r="BA127" s="38"/>
      <c r="CC127" s="160"/>
      <c r="CD127" s="165"/>
      <c r="CE127" s="38"/>
      <c r="CF127" s="39"/>
      <c r="CG127" s="38"/>
      <c r="CH127" s="38"/>
      <c r="CI127" s="38"/>
      <c r="CJ127" s="38"/>
      <c r="CO127" s="38"/>
      <c r="CP127" s="154"/>
      <c r="CQ127" s="38"/>
      <c r="CR127" s="38"/>
      <c r="CS127" s="38"/>
      <c r="CT127" s="38"/>
      <c r="CU127" s="38"/>
      <c r="CV127" s="38"/>
      <c r="CY127" s="204"/>
      <c r="CZ127" s="38"/>
      <c r="DA127" s="38"/>
      <c r="DB127" s="38"/>
      <c r="DG127" s="38"/>
      <c r="DH127" s="38"/>
      <c r="DI127" s="38"/>
      <c r="DJ127" s="38"/>
      <c r="DK127" s="38"/>
      <c r="DL127" s="38"/>
      <c r="DM127" s="38"/>
      <c r="DN127" s="38"/>
      <c r="DO127" s="39"/>
      <c r="DP127" s="39"/>
      <c r="DQ127" s="38"/>
      <c r="DR127" s="38"/>
      <c r="DS127" s="38"/>
      <c r="DT127" s="38"/>
      <c r="DU127" s="39"/>
      <c r="DV127" s="38"/>
      <c r="DW127" s="40"/>
      <c r="DX127" s="40"/>
      <c r="DY127" s="355"/>
      <c r="DZ127" s="40"/>
      <c r="EA127" s="153"/>
      <c r="EB127" s="38"/>
      <c r="EC127" s="43"/>
      <c r="ED127" s="40"/>
      <c r="ES127" s="153"/>
      <c r="EU127" s="1360">
        <f t="shared" ca="1" si="774"/>
        <v>0</v>
      </c>
      <c r="EV127" s="173">
        <v>40</v>
      </c>
      <c r="EW127" s="1">
        <v>30</v>
      </c>
      <c r="EX127" s="55">
        <v>42248</v>
      </c>
      <c r="EY127" s="55">
        <f t="shared" si="810"/>
        <v>53205.5</v>
      </c>
      <c r="EZ127" s="61">
        <f t="shared" ca="1" si="805"/>
        <v>17</v>
      </c>
      <c r="FA127" s="37" t="s">
        <v>760</v>
      </c>
      <c r="FB127" s="39">
        <v>40.32</v>
      </c>
      <c r="FC127" s="39">
        <f t="shared" ref="FC127:FC145" si="815">FB127-EV127</f>
        <v>0.32000000000000028</v>
      </c>
      <c r="FD127" s="40">
        <f t="shared" ref="FD127:FD145" si="816">FB127/EV127-1</f>
        <v>8.0000000000000071E-3</v>
      </c>
      <c r="FE127" s="39">
        <f t="shared" ca="1" si="776"/>
        <v>1.8823529411764722E-2</v>
      </c>
      <c r="FF127" s="43">
        <f t="shared" ca="1" si="806"/>
        <v>1</v>
      </c>
      <c r="FH127" s="987"/>
      <c r="FR127" s="438"/>
      <c r="FS127" s="550">
        <v>10</v>
      </c>
      <c r="FT127" s="58">
        <v>2</v>
      </c>
      <c r="FU127" s="38">
        <v>3</v>
      </c>
      <c r="FV127" s="38">
        <f t="shared" si="807"/>
        <v>1.0007497189607399</v>
      </c>
      <c r="FW127" s="39">
        <f t="shared" si="814"/>
        <v>25.741485423949804</v>
      </c>
      <c r="FX127" s="153"/>
      <c r="GE127" s="144"/>
    </row>
    <row r="128" spans="4:187" ht="13.5" thickBot="1">
      <c r="D128" s="150">
        <v>10</v>
      </c>
      <c r="E128" s="96">
        <f t="shared" si="804"/>
        <v>1.2349999999999999</v>
      </c>
      <c r="F128" s="96">
        <f>E128*2+D116</f>
        <v>102.47</v>
      </c>
      <c r="G128" s="82">
        <f t="shared" si="809"/>
        <v>124.69999999999999</v>
      </c>
      <c r="I128" s="160"/>
      <c r="J128" s="950" t="s">
        <v>1827</v>
      </c>
      <c r="K128" s="1467">
        <f>K95</f>
        <v>3.09E-2</v>
      </c>
      <c r="L128" s="1468">
        <f t="shared" si="812"/>
        <v>77.249999999987921</v>
      </c>
      <c r="M128" s="1469">
        <f>(30*365.25)/(365.25/12)</f>
        <v>360</v>
      </c>
      <c r="N128" s="1406">
        <f t="shared" si="813"/>
        <v>0.21458333333329979</v>
      </c>
      <c r="P128" s="38"/>
      <c r="Q128" s="73"/>
      <c r="W128" s="38"/>
      <c r="X128" s="38"/>
      <c r="Y128" s="38"/>
      <c r="Z128" s="38"/>
      <c r="AA128" s="38"/>
      <c r="AB128" s="38"/>
      <c r="AC128" s="38"/>
      <c r="AD128" s="38"/>
      <c r="AE128" s="38"/>
      <c r="AF128" s="38"/>
      <c r="AZ128" s="38"/>
      <c r="BA128" s="38"/>
      <c r="CC128" s="160"/>
      <c r="CD128" s="165"/>
      <c r="CE128" s="38"/>
      <c r="CF128" s="39"/>
      <c r="CG128" s="38"/>
      <c r="CH128" s="38"/>
      <c r="CI128" s="38"/>
      <c r="CJ128" s="38"/>
      <c r="CO128" s="38"/>
      <c r="CP128" s="154"/>
      <c r="CQ128" s="38"/>
      <c r="CR128" s="38"/>
      <c r="CS128" s="38"/>
      <c r="CT128" s="38"/>
      <c r="CU128" s="38"/>
      <c r="CV128" s="38"/>
      <c r="CY128" s="204"/>
      <c r="CZ128" s="38"/>
      <c r="DA128" s="38"/>
      <c r="DB128" s="38"/>
      <c r="DG128" s="38"/>
      <c r="DH128" s="38"/>
      <c r="DI128" s="38"/>
      <c r="DJ128" s="38"/>
      <c r="DK128" s="38"/>
      <c r="DL128" s="38"/>
      <c r="DM128" s="38"/>
      <c r="DN128" s="38"/>
      <c r="DO128" s="39"/>
      <c r="DP128" s="39"/>
      <c r="DQ128" s="38"/>
      <c r="DR128" s="38"/>
      <c r="EA128" s="153"/>
      <c r="EB128" s="38"/>
      <c r="EC128" s="43"/>
      <c r="EH128" s="38"/>
      <c r="EI128" s="38"/>
      <c r="ES128" s="153"/>
      <c r="EU128" s="1360">
        <f t="shared" ca="1" si="774"/>
        <v>0</v>
      </c>
      <c r="EV128" s="173">
        <v>40</v>
      </c>
      <c r="EW128" s="1">
        <v>30</v>
      </c>
      <c r="EX128" s="55">
        <v>42217</v>
      </c>
      <c r="EY128" s="55">
        <f t="shared" si="810"/>
        <v>53174.5</v>
      </c>
      <c r="EZ128" s="61">
        <f t="shared" ca="1" si="805"/>
        <v>18</v>
      </c>
      <c r="FA128" s="37" t="s">
        <v>753</v>
      </c>
      <c r="FB128" s="39">
        <v>40.32</v>
      </c>
      <c r="FC128" s="39">
        <f t="shared" si="815"/>
        <v>0.32000000000000028</v>
      </c>
      <c r="FD128" s="40">
        <f t="shared" si="816"/>
        <v>8.0000000000000071E-3</v>
      </c>
      <c r="FE128" s="39">
        <f t="shared" ca="1" si="776"/>
        <v>1.7777777777777795E-2</v>
      </c>
      <c r="FF128" s="43">
        <f t="shared" ca="1" si="806"/>
        <v>1</v>
      </c>
      <c r="FH128" s="987"/>
      <c r="FR128" s="438"/>
      <c r="FS128" s="550">
        <v>10</v>
      </c>
      <c r="FT128" s="58">
        <v>2</v>
      </c>
      <c r="FU128" s="38">
        <v>4</v>
      </c>
      <c r="FV128" s="38">
        <f t="shared" si="807"/>
        <v>1.0009997501665211</v>
      </c>
      <c r="FW128" s="39">
        <f t="shared" si="814"/>
        <v>25.747916776881716</v>
      </c>
      <c r="FX128" s="153"/>
      <c r="GE128" s="144"/>
    </row>
    <row r="129" spans="4:187">
      <c r="D129" s="150"/>
      <c r="E129" s="96"/>
      <c r="F129" s="96"/>
      <c r="G129" s="151"/>
      <c r="P129" s="62"/>
      <c r="Q129" s="62"/>
      <c r="W129" s="38"/>
      <c r="X129" s="38"/>
      <c r="Y129" s="38"/>
      <c r="Z129" s="38"/>
      <c r="AA129" s="38"/>
      <c r="AB129" s="38"/>
      <c r="AC129" s="38"/>
      <c r="AD129" s="38"/>
      <c r="AE129" s="38"/>
      <c r="AF129" s="38"/>
      <c r="AZ129" s="38"/>
      <c r="BA129" s="38"/>
      <c r="CC129" s="160"/>
      <c r="CD129" s="165"/>
      <c r="CE129" s="38"/>
      <c r="CF129" s="39"/>
      <c r="CG129" s="38"/>
      <c r="CH129" s="38"/>
      <c r="CI129" s="38"/>
      <c r="CJ129" s="38"/>
      <c r="CO129" s="38"/>
      <c r="CP129" s="154"/>
      <c r="CQ129" s="38"/>
      <c r="CR129" s="38"/>
      <c r="CS129" s="38"/>
      <c r="CT129" s="38"/>
      <c r="CU129" s="38"/>
      <c r="CV129" s="38"/>
      <c r="CY129" s="204"/>
      <c r="CZ129" s="38"/>
      <c r="DA129" s="38"/>
      <c r="DB129" s="38"/>
      <c r="DG129" s="38"/>
      <c r="DH129" s="38"/>
      <c r="DI129" s="38"/>
      <c r="DJ129" s="38"/>
      <c r="DK129" s="38"/>
      <c r="DL129" s="38"/>
      <c r="DM129" s="38"/>
      <c r="DN129" s="38"/>
      <c r="DO129" s="39"/>
      <c r="DP129" s="39"/>
      <c r="DQ129" s="38"/>
      <c r="DR129" s="38"/>
      <c r="EA129" s="153"/>
      <c r="EB129" s="153"/>
      <c r="EH129" s="38"/>
      <c r="EI129" s="38"/>
      <c r="EK129" s="38"/>
      <c r="EL129" s="38"/>
      <c r="EM129" s="38"/>
      <c r="EN129" s="39"/>
      <c r="EO129" s="43"/>
      <c r="EP129" s="39"/>
      <c r="EQ129" s="39"/>
      <c r="ES129" s="153"/>
      <c r="EU129" s="1360">
        <f t="shared" ca="1" si="774"/>
        <v>0</v>
      </c>
      <c r="EV129" s="173">
        <v>40</v>
      </c>
      <c r="EW129" s="1">
        <v>30</v>
      </c>
      <c r="EX129" s="55">
        <v>42217</v>
      </c>
      <c r="EY129" s="55">
        <f t="shared" si="810"/>
        <v>53174.5</v>
      </c>
      <c r="EZ129" s="61">
        <f t="shared" ca="1" si="805"/>
        <v>18</v>
      </c>
      <c r="FA129" s="37" t="s">
        <v>754</v>
      </c>
      <c r="FB129" s="39">
        <v>40.32</v>
      </c>
      <c r="FC129" s="39">
        <f t="shared" si="815"/>
        <v>0.32000000000000028</v>
      </c>
      <c r="FD129" s="40">
        <f t="shared" si="816"/>
        <v>8.0000000000000071E-3</v>
      </c>
      <c r="FE129" s="39">
        <f t="shared" ca="1" si="776"/>
        <v>1.7777777777777795E-2</v>
      </c>
      <c r="FF129" s="43">
        <f t="shared" ca="1" si="806"/>
        <v>1</v>
      </c>
      <c r="FH129" s="987"/>
      <c r="FR129" s="438"/>
      <c r="FS129" s="550">
        <v>10</v>
      </c>
      <c r="FT129" s="58">
        <v>2</v>
      </c>
      <c r="FU129" s="38">
        <v>5</v>
      </c>
      <c r="FV129" s="38">
        <f t="shared" si="807"/>
        <v>1.001249843841072</v>
      </c>
      <c r="FW129" s="39">
        <f t="shared" si="814"/>
        <v>25.754349736647878</v>
      </c>
      <c r="FX129" s="153"/>
      <c r="GE129" s="144"/>
    </row>
    <row r="130" spans="4:187" ht="13.5" thickBot="1">
      <c r="D130" s="184"/>
      <c r="E130" s="141"/>
      <c r="F130" s="152" t="s">
        <v>245</v>
      </c>
      <c r="G130" s="167">
        <f>SUM(F119:F128)</f>
        <v>124.69999999999999</v>
      </c>
      <c r="H130" s="375"/>
      <c r="Q130" s="144"/>
      <c r="W130" s="38"/>
      <c r="X130" s="38"/>
      <c r="Y130" s="38"/>
      <c r="Z130" s="38"/>
      <c r="AA130" s="38"/>
      <c r="AB130" s="38"/>
      <c r="AC130" s="38"/>
      <c r="AD130" s="38"/>
      <c r="AE130" s="38"/>
      <c r="AF130" s="38"/>
      <c r="AZ130" s="38"/>
      <c r="BA130" s="38"/>
      <c r="CC130" s="160"/>
      <c r="CD130" s="165"/>
      <c r="CE130" s="38"/>
      <c r="CF130" s="39"/>
      <c r="CG130" s="38"/>
      <c r="CH130" s="38"/>
      <c r="CI130" s="38"/>
      <c r="CJ130" s="38"/>
      <c r="CO130" s="38"/>
      <c r="CP130" s="154"/>
      <c r="CQ130" s="38"/>
      <c r="CR130" s="38"/>
      <c r="CS130" s="38"/>
      <c r="CT130" s="38"/>
      <c r="CU130" s="38"/>
      <c r="CV130" s="38"/>
      <c r="CY130" s="204"/>
      <c r="CZ130" s="38"/>
      <c r="DA130" s="38"/>
      <c r="DB130" s="38"/>
      <c r="DG130" s="38"/>
      <c r="DH130" s="38"/>
      <c r="DI130" s="38"/>
      <c r="DJ130" s="38"/>
      <c r="DK130" s="38"/>
      <c r="DL130" s="38"/>
      <c r="DM130" s="38"/>
      <c r="DN130" s="38"/>
      <c r="DO130" s="39"/>
      <c r="DP130" s="39"/>
      <c r="DQ130" s="38"/>
      <c r="DR130" s="38"/>
      <c r="EA130" s="153"/>
      <c r="EB130" s="153"/>
      <c r="EE130" s="143"/>
      <c r="EG130" s="144"/>
      <c r="EH130" s="38"/>
      <c r="EI130" s="38"/>
      <c r="EK130" s="38"/>
      <c r="EL130" s="38"/>
      <c r="EM130" s="38"/>
      <c r="EN130" s="39"/>
      <c r="EO130" s="43"/>
      <c r="EP130" s="39"/>
      <c r="EQ130" s="39"/>
      <c r="ES130" s="153"/>
      <c r="EU130" s="1360">
        <f t="shared" ca="1" si="774"/>
        <v>0</v>
      </c>
      <c r="EV130" s="173">
        <v>40</v>
      </c>
      <c r="EW130" s="1">
        <v>30</v>
      </c>
      <c r="EX130" s="55">
        <v>42217</v>
      </c>
      <c r="EY130" s="55">
        <f t="shared" si="810"/>
        <v>53174.5</v>
      </c>
      <c r="EZ130" s="61">
        <f t="shared" ca="1" si="805"/>
        <v>18</v>
      </c>
      <c r="FA130" s="37" t="s">
        <v>755</v>
      </c>
      <c r="FB130" s="39">
        <v>40.32</v>
      </c>
      <c r="FC130" s="39">
        <f t="shared" si="815"/>
        <v>0.32000000000000028</v>
      </c>
      <c r="FD130" s="40">
        <f t="shared" si="816"/>
        <v>8.0000000000000071E-3</v>
      </c>
      <c r="FE130" s="39">
        <f t="shared" ca="1" si="776"/>
        <v>1.7777777777777795E-2</v>
      </c>
      <c r="FF130" s="43">
        <f t="shared" ca="1" si="806"/>
        <v>1</v>
      </c>
      <c r="FH130" s="987"/>
      <c r="FR130" s="438"/>
      <c r="FS130" s="550">
        <v>10</v>
      </c>
      <c r="FT130" s="58">
        <v>2</v>
      </c>
      <c r="FU130" s="38">
        <v>6</v>
      </c>
      <c r="FV130" s="38">
        <f t="shared" si="807"/>
        <v>1.0015000000000001</v>
      </c>
      <c r="FW130" s="39">
        <f t="shared" si="814"/>
        <v>25.76078430364975</v>
      </c>
      <c r="FX130" s="153"/>
      <c r="GE130" s="144"/>
    </row>
    <row r="131" spans="4:187" ht="13.5" thickBot="1">
      <c r="Q131" s="144"/>
      <c r="W131" s="38"/>
      <c r="X131" s="38"/>
      <c r="Y131" s="38"/>
      <c r="Z131" s="38"/>
      <c r="AA131" s="38"/>
      <c r="AB131" s="38"/>
      <c r="AC131" s="38"/>
      <c r="AD131" s="38"/>
      <c r="AE131" s="38"/>
      <c r="AF131" s="38"/>
      <c r="AZ131" s="38"/>
      <c r="BA131" s="38"/>
      <c r="CC131" s="160"/>
      <c r="CD131" s="165"/>
      <c r="CE131" s="38"/>
      <c r="CF131" s="39"/>
      <c r="CG131" s="38"/>
      <c r="CH131" s="38"/>
      <c r="CI131" s="38"/>
      <c r="CJ131" s="38"/>
      <c r="CO131" s="38"/>
      <c r="CP131" s="154"/>
      <c r="CQ131" s="38"/>
      <c r="CR131" s="38"/>
      <c r="CS131" s="38"/>
      <c r="CT131" s="38"/>
      <c r="CU131" s="38"/>
      <c r="CV131" s="38"/>
      <c r="CY131" s="204"/>
      <c r="CZ131" s="38"/>
      <c r="DG131" s="38"/>
      <c r="DH131" s="38"/>
      <c r="DI131" s="38"/>
      <c r="DJ131" s="38"/>
      <c r="DK131" s="38"/>
      <c r="DL131" s="38"/>
      <c r="DM131" s="38"/>
      <c r="DN131" s="38"/>
      <c r="DO131" s="39"/>
      <c r="DP131" s="39"/>
      <c r="DQ131" s="38"/>
      <c r="DR131" s="38"/>
      <c r="EA131" s="153"/>
      <c r="EB131" s="153"/>
      <c r="EE131" s="143"/>
      <c r="EG131" s="144"/>
      <c r="EH131" s="38"/>
      <c r="EI131" s="38"/>
      <c r="EK131" s="38"/>
      <c r="EL131" s="38"/>
      <c r="EM131" s="38"/>
      <c r="EN131" s="39"/>
      <c r="EO131" s="43"/>
      <c r="EP131" s="39"/>
      <c r="EQ131" s="39"/>
      <c r="ES131" s="153"/>
      <c r="EU131" s="1360">
        <f t="shared" ref="EU131:EU194" ca="1" si="817">IF(EX131&lt;$G$1-5*365.25,1,0)</f>
        <v>0</v>
      </c>
      <c r="EV131" s="173">
        <v>40</v>
      </c>
      <c r="EW131" s="1">
        <v>30</v>
      </c>
      <c r="EX131" s="55">
        <v>42217</v>
      </c>
      <c r="EY131" s="55">
        <f t="shared" si="810"/>
        <v>53174.5</v>
      </c>
      <c r="EZ131" s="61">
        <f t="shared" ca="1" si="805"/>
        <v>18</v>
      </c>
      <c r="FA131" s="37" t="s">
        <v>756</v>
      </c>
      <c r="FB131" s="39">
        <v>40.32</v>
      </c>
      <c r="FC131" s="39">
        <f t="shared" si="815"/>
        <v>0.32000000000000028</v>
      </c>
      <c r="FD131" s="40">
        <f t="shared" si="816"/>
        <v>8.0000000000000071E-3</v>
      </c>
      <c r="FE131" s="39">
        <f t="shared" ca="1" si="776"/>
        <v>1.7777777777777795E-2</v>
      </c>
      <c r="FF131" s="43">
        <f t="shared" ca="1" si="806"/>
        <v>1</v>
      </c>
      <c r="FH131" s="987"/>
      <c r="FR131" s="438"/>
      <c r="FV131" s="144"/>
      <c r="FW131" s="144"/>
      <c r="FX131" s="153"/>
      <c r="GE131" s="144"/>
    </row>
    <row r="132" spans="4:187" ht="13.5" thickBot="1">
      <c r="D132" s="169" t="s">
        <v>43</v>
      </c>
      <c r="E132" s="76" t="s">
        <v>276</v>
      </c>
      <c r="F132" s="674" t="s">
        <v>281</v>
      </c>
      <c r="G132" s="675" t="s">
        <v>1362</v>
      </c>
      <c r="Q132" s="144"/>
      <c r="W132" s="38"/>
      <c r="X132" s="38"/>
      <c r="Y132" s="38"/>
      <c r="Z132" s="38"/>
      <c r="AA132" s="38"/>
      <c r="AB132" s="38"/>
      <c r="AC132" s="38"/>
      <c r="AD132" s="38"/>
      <c r="AE132" s="38"/>
      <c r="AF132" s="38"/>
      <c r="AZ132" s="38"/>
      <c r="BA132" s="38"/>
      <c r="CC132" s="160"/>
      <c r="CD132" s="165"/>
      <c r="CE132" s="38"/>
      <c r="CF132" s="39"/>
      <c r="CG132" s="38"/>
      <c r="CH132" s="38"/>
      <c r="CI132" s="38"/>
      <c r="CJ132" s="38"/>
      <c r="CO132" s="38"/>
      <c r="CP132" s="154"/>
      <c r="CQ132" s="38"/>
      <c r="CR132" s="38"/>
      <c r="CS132" s="38"/>
      <c r="CT132" s="38"/>
      <c r="CU132" s="38"/>
      <c r="CV132" s="38"/>
      <c r="CY132" s="204"/>
      <c r="CZ132" s="38"/>
      <c r="DG132" s="38"/>
      <c r="DH132" s="38"/>
      <c r="DI132" s="38"/>
      <c r="DJ132" s="38"/>
      <c r="DK132" s="38"/>
      <c r="DL132" s="38"/>
      <c r="DM132" s="38"/>
      <c r="DN132" s="38"/>
      <c r="DO132" s="39"/>
      <c r="DP132" s="39"/>
      <c r="DQ132" s="38"/>
      <c r="DR132" s="38"/>
      <c r="EA132" s="153"/>
      <c r="EB132" s="153"/>
      <c r="EH132" s="38"/>
      <c r="EI132" s="38"/>
      <c r="EK132" s="38"/>
      <c r="EL132" s="38"/>
      <c r="EM132" s="38"/>
      <c r="EN132" s="39"/>
      <c r="EO132" s="43"/>
      <c r="EP132" s="39"/>
      <c r="EQ132" s="39"/>
      <c r="ES132" s="214"/>
      <c r="EU132" s="1360">
        <f t="shared" ca="1" si="817"/>
        <v>0</v>
      </c>
      <c r="EV132" s="173">
        <v>40</v>
      </c>
      <c r="EW132" s="1">
        <v>30</v>
      </c>
      <c r="EX132" s="55">
        <v>42186</v>
      </c>
      <c r="EY132" s="55">
        <f t="shared" si="810"/>
        <v>53143.5</v>
      </c>
      <c r="EZ132" s="61">
        <f t="shared" ca="1" si="805"/>
        <v>19</v>
      </c>
      <c r="FA132" s="39" t="s">
        <v>748</v>
      </c>
      <c r="FB132" s="39">
        <v>40.32</v>
      </c>
      <c r="FC132" s="39">
        <f t="shared" si="815"/>
        <v>0.32000000000000028</v>
      </c>
      <c r="FD132" s="40">
        <f t="shared" si="816"/>
        <v>8.0000000000000071E-3</v>
      </c>
      <c r="FE132" s="39">
        <f t="shared" ref="FE132:FE195" ca="1" si="818">FC132/EZ132</f>
        <v>1.6842105263157908E-2</v>
      </c>
      <c r="FF132" s="43">
        <f t="shared" ca="1" si="806"/>
        <v>1</v>
      </c>
      <c r="FH132" s="987"/>
      <c r="FS132" s="550">
        <v>11</v>
      </c>
      <c r="FT132" s="58">
        <v>1</v>
      </c>
      <c r="FU132" s="38">
        <v>1</v>
      </c>
      <c r="FV132" s="38">
        <f t="shared" ref="FV132:FV143" si="819">(1+$FY$2/2)^(FU132/6)</f>
        <v>1.0002498438930771</v>
      </c>
      <c r="FW132" s="39">
        <f>$FW$130*FV132</f>
        <v>25.767220478288895</v>
      </c>
      <c r="FX132" s="153"/>
      <c r="GE132" s="144"/>
    </row>
    <row r="133" spans="4:187">
      <c r="D133" s="78">
        <f>D116</f>
        <v>100</v>
      </c>
      <c r="E133" s="168">
        <v>0.03</v>
      </c>
      <c r="F133" s="91"/>
      <c r="G133" s="151"/>
      <c r="Q133" s="144"/>
      <c r="W133" s="38"/>
      <c r="X133" s="38"/>
      <c r="Y133" s="38"/>
      <c r="Z133" s="38"/>
      <c r="AA133" s="38"/>
      <c r="AB133" s="38"/>
      <c r="AC133" s="38"/>
      <c r="AD133" s="38"/>
      <c r="AE133" s="38"/>
      <c r="AF133" s="38"/>
      <c r="AZ133" s="38"/>
      <c r="BA133" s="38"/>
      <c r="CC133" s="160"/>
      <c r="CD133" s="165"/>
      <c r="CE133" s="38"/>
      <c r="CF133" s="39"/>
      <c r="CG133" s="38"/>
      <c r="CH133" s="38"/>
      <c r="CI133" s="38"/>
      <c r="CJ133" s="38"/>
      <c r="CO133" s="38"/>
      <c r="CP133" s="154"/>
      <c r="CQ133" s="38"/>
      <c r="CR133" s="38"/>
      <c r="CS133" s="38"/>
      <c r="CT133" s="38"/>
      <c r="CU133" s="38"/>
      <c r="CV133" s="38"/>
      <c r="CY133" s="204"/>
      <c r="CZ133" s="38"/>
      <c r="DG133" s="38"/>
      <c r="DH133" s="38"/>
      <c r="DI133" s="38"/>
      <c r="DJ133" s="38"/>
      <c r="DK133" s="38"/>
      <c r="DL133" s="38"/>
      <c r="DM133" s="38"/>
      <c r="DN133" s="38"/>
      <c r="DO133" s="39"/>
      <c r="DP133" s="39"/>
      <c r="DQ133" s="38"/>
      <c r="DR133" s="38"/>
      <c r="EA133" s="153"/>
      <c r="EB133" s="153"/>
      <c r="EH133" s="38"/>
      <c r="EI133" s="38"/>
      <c r="EK133" s="38"/>
      <c r="EL133" s="38"/>
      <c r="EM133" s="38"/>
      <c r="EN133" s="39"/>
      <c r="EO133" s="43"/>
      <c r="EP133" s="39"/>
      <c r="EQ133" s="39"/>
      <c r="ES133" s="214"/>
      <c r="EU133" s="1360">
        <f t="shared" ca="1" si="817"/>
        <v>0</v>
      </c>
      <c r="EV133" s="173">
        <v>40</v>
      </c>
      <c r="EW133" s="1">
        <v>30</v>
      </c>
      <c r="EX133" s="55">
        <v>42186</v>
      </c>
      <c r="EY133" s="55">
        <f t="shared" si="810"/>
        <v>53143.5</v>
      </c>
      <c r="EZ133" s="61">
        <f t="shared" ca="1" si="805"/>
        <v>19</v>
      </c>
      <c r="FA133" s="39" t="s">
        <v>749</v>
      </c>
      <c r="FB133" s="39">
        <v>40.32</v>
      </c>
      <c r="FC133" s="39">
        <f t="shared" si="815"/>
        <v>0.32000000000000028</v>
      </c>
      <c r="FD133" s="40">
        <f t="shared" si="816"/>
        <v>8.0000000000000071E-3</v>
      </c>
      <c r="FE133" s="39">
        <f t="shared" ca="1" si="818"/>
        <v>1.6842105263157908E-2</v>
      </c>
      <c r="FF133" s="43">
        <f t="shared" ca="1" si="806"/>
        <v>1</v>
      </c>
      <c r="FH133" s="987"/>
      <c r="FS133" s="550">
        <v>11</v>
      </c>
      <c r="FT133" s="58">
        <v>1</v>
      </c>
      <c r="FU133" s="38">
        <v>2</v>
      </c>
      <c r="FV133" s="38">
        <f t="shared" si="819"/>
        <v>1.0004997502081252</v>
      </c>
      <c r="FW133" s="39">
        <f t="shared" ref="FW133:FW137" si="820">$FW$130*FV133</f>
        <v>25.773658260966968</v>
      </c>
      <c r="FX133" s="153"/>
      <c r="GE133" s="144"/>
    </row>
    <row r="134" spans="4:187">
      <c r="D134" s="83"/>
      <c r="E134" s="170"/>
      <c r="F134" s="91"/>
      <c r="G134" s="151"/>
      <c r="I134" s="39"/>
      <c r="Q134" s="144"/>
      <c r="W134" s="38"/>
      <c r="X134" s="38"/>
      <c r="Y134" s="38"/>
      <c r="Z134" s="38"/>
      <c r="AA134" s="38"/>
      <c r="AB134" s="38"/>
      <c r="AC134" s="38"/>
      <c r="AD134" s="38"/>
      <c r="AE134" s="38"/>
      <c r="AF134" s="38"/>
      <c r="AZ134" s="38"/>
      <c r="BA134" s="38"/>
      <c r="CC134" s="160"/>
      <c r="CD134" s="165"/>
      <c r="CE134" s="38"/>
      <c r="CF134" s="39"/>
      <c r="CG134" s="38"/>
      <c r="CH134" s="38"/>
      <c r="CI134" s="38"/>
      <c r="CJ134" s="38"/>
      <c r="CO134" s="38"/>
      <c r="CP134" s="154"/>
      <c r="CQ134" s="38"/>
      <c r="CR134" s="38"/>
      <c r="CS134" s="38"/>
      <c r="CT134" s="38"/>
      <c r="CU134" s="38"/>
      <c r="CV134" s="38"/>
      <c r="CY134" s="204"/>
      <c r="CZ134" s="38"/>
      <c r="DG134" s="38"/>
      <c r="DH134" s="38"/>
      <c r="DI134" s="38"/>
      <c r="DJ134" s="38"/>
      <c r="DK134" s="38"/>
      <c r="DL134" s="38"/>
      <c r="DM134" s="38"/>
      <c r="DN134" s="38"/>
      <c r="DO134" s="39"/>
      <c r="DP134" s="39"/>
      <c r="DQ134" s="53"/>
      <c r="DR134" s="53"/>
      <c r="EA134" s="153"/>
      <c r="EB134" s="153"/>
      <c r="EH134" s="38"/>
      <c r="EI134" s="38"/>
      <c r="EK134" s="38"/>
      <c r="EL134" s="38"/>
      <c r="EM134" s="38"/>
      <c r="EN134" s="39"/>
      <c r="EO134" s="43"/>
      <c r="EP134" s="39"/>
      <c r="EQ134" s="39"/>
      <c r="ES134" s="214"/>
      <c r="EU134" s="1360">
        <f t="shared" ca="1" si="817"/>
        <v>0</v>
      </c>
      <c r="EV134" s="173">
        <v>40</v>
      </c>
      <c r="EW134" s="1">
        <v>30</v>
      </c>
      <c r="EX134" s="55">
        <v>42186</v>
      </c>
      <c r="EY134" s="55">
        <f t="shared" si="810"/>
        <v>53143.5</v>
      </c>
      <c r="EZ134" s="61">
        <f t="shared" ca="1" si="805"/>
        <v>19</v>
      </c>
      <c r="FA134" s="39" t="s">
        <v>750</v>
      </c>
      <c r="FB134" s="39">
        <v>40.32</v>
      </c>
      <c r="FC134" s="39">
        <f t="shared" si="815"/>
        <v>0.32000000000000028</v>
      </c>
      <c r="FD134" s="40">
        <f t="shared" si="816"/>
        <v>8.0000000000000071E-3</v>
      </c>
      <c r="FE134" s="39">
        <f t="shared" ca="1" si="818"/>
        <v>1.6842105263157908E-2</v>
      </c>
      <c r="FF134" s="43">
        <f t="shared" ca="1" si="806"/>
        <v>1</v>
      </c>
      <c r="FH134" s="987"/>
      <c r="FS134" s="550">
        <v>11</v>
      </c>
      <c r="FT134" s="58">
        <v>1</v>
      </c>
      <c r="FU134" s="38">
        <v>3</v>
      </c>
      <c r="FV134" s="38">
        <f t="shared" si="819"/>
        <v>1.0007497189607399</v>
      </c>
      <c r="FW134" s="39">
        <f t="shared" si="820"/>
        <v>25.780097652085729</v>
      </c>
      <c r="FX134" s="153"/>
      <c r="GE134" s="144"/>
    </row>
    <row r="135" spans="4:187">
      <c r="D135" s="135" t="s">
        <v>272</v>
      </c>
      <c r="E135" s="136" t="s">
        <v>271</v>
      </c>
      <c r="F135" s="136" t="s">
        <v>273</v>
      </c>
      <c r="G135" s="157" t="s">
        <v>274</v>
      </c>
      <c r="I135" s="431"/>
      <c r="Q135" s="144"/>
      <c r="W135" s="38"/>
      <c r="X135" s="38"/>
      <c r="Y135" s="38"/>
      <c r="Z135" s="38"/>
      <c r="AA135" s="38"/>
      <c r="AB135" s="38"/>
      <c r="AC135" s="38"/>
      <c r="AD135" s="38"/>
      <c r="AE135" s="38"/>
      <c r="AF135" s="38"/>
      <c r="AZ135" s="38"/>
      <c r="BA135" s="38"/>
      <c r="CC135" s="160"/>
      <c r="CD135" s="165"/>
      <c r="CE135" s="38"/>
      <c r="CF135" s="39"/>
      <c r="CG135" s="38"/>
      <c r="CH135" s="38"/>
      <c r="CO135" s="38"/>
      <c r="CP135" s="154"/>
      <c r="CQ135" s="38"/>
      <c r="CR135" s="38"/>
      <c r="CS135" s="38"/>
      <c r="CT135" s="38"/>
      <c r="CU135" s="38"/>
      <c r="CV135" s="38"/>
      <c r="CY135" s="204"/>
      <c r="CZ135" s="38"/>
      <c r="DG135" s="38"/>
      <c r="DH135" s="38"/>
      <c r="DI135" s="38"/>
      <c r="DJ135" s="38"/>
      <c r="DK135" s="38"/>
      <c r="DL135" s="38"/>
      <c r="DM135" s="38"/>
      <c r="DN135" s="38"/>
      <c r="DO135" s="39"/>
      <c r="DP135" s="39"/>
      <c r="DQ135" s="53"/>
      <c r="DR135" s="53"/>
      <c r="EA135" s="153"/>
      <c r="EB135" s="153"/>
      <c r="EH135" s="38"/>
      <c r="EI135" s="38"/>
      <c r="EK135" s="38"/>
      <c r="EL135" s="38"/>
      <c r="EM135" s="38"/>
      <c r="EN135" s="39"/>
      <c r="EO135" s="43"/>
      <c r="EP135" s="39"/>
      <c r="EQ135" s="39"/>
      <c r="ES135" s="214"/>
      <c r="EU135" s="1360">
        <f t="shared" ca="1" si="817"/>
        <v>0</v>
      </c>
      <c r="EV135" s="173">
        <v>40</v>
      </c>
      <c r="EW135" s="1">
        <v>30</v>
      </c>
      <c r="EX135" s="55">
        <v>42186</v>
      </c>
      <c r="EY135" s="55">
        <f t="shared" si="810"/>
        <v>53143.5</v>
      </c>
      <c r="EZ135" s="61">
        <f t="shared" ca="1" si="805"/>
        <v>19</v>
      </c>
      <c r="FA135" s="39" t="s">
        <v>751</v>
      </c>
      <c r="FB135" s="39">
        <v>40.32</v>
      </c>
      <c r="FC135" s="39">
        <f t="shared" si="815"/>
        <v>0.32000000000000028</v>
      </c>
      <c r="FD135" s="40">
        <f t="shared" si="816"/>
        <v>8.0000000000000071E-3</v>
      </c>
      <c r="FE135" s="39">
        <f t="shared" ca="1" si="818"/>
        <v>1.6842105263157908E-2</v>
      </c>
      <c r="FF135" s="43">
        <f t="shared" ca="1" si="806"/>
        <v>1</v>
      </c>
      <c r="FH135" s="987"/>
      <c r="FS135" s="550">
        <v>11</v>
      </c>
      <c r="FT135" s="58">
        <v>1</v>
      </c>
      <c r="FU135" s="38">
        <v>4</v>
      </c>
      <c r="FV135" s="38">
        <f t="shared" si="819"/>
        <v>1.0009997501665211</v>
      </c>
      <c r="FW135" s="39">
        <f t="shared" si="820"/>
        <v>25.786538652047039</v>
      </c>
      <c r="FX135" s="67"/>
      <c r="GE135" s="144"/>
    </row>
    <row r="136" spans="4:187">
      <c r="D136" s="150">
        <v>1</v>
      </c>
      <c r="E136" s="96">
        <f t="shared" ref="E136:E165" si="821">($D$133*$E$133)/2</f>
        <v>1.5</v>
      </c>
      <c r="F136" s="96">
        <f>E136*2</f>
        <v>3</v>
      </c>
      <c r="G136" s="82">
        <f>F136</f>
        <v>3</v>
      </c>
      <c r="Q136" s="144"/>
      <c r="W136" s="38"/>
      <c r="X136" s="38"/>
      <c r="Y136" s="38"/>
      <c r="Z136" s="38"/>
      <c r="AA136" s="38"/>
      <c r="AB136" s="38"/>
      <c r="AC136" s="38"/>
      <c r="AD136" s="38"/>
      <c r="AE136" s="38"/>
      <c r="AF136" s="38"/>
      <c r="AZ136" s="38"/>
      <c r="BA136" s="38"/>
      <c r="CC136" s="160"/>
      <c r="CD136" s="165"/>
      <c r="CE136" s="38"/>
      <c r="CF136" s="39"/>
      <c r="CG136" s="38"/>
      <c r="CH136" s="38"/>
      <c r="CO136" s="38"/>
      <c r="CP136" s="154"/>
      <c r="CQ136" s="38"/>
      <c r="CR136" s="38"/>
      <c r="CS136" s="38"/>
      <c r="CT136" s="38"/>
      <c r="CU136" s="38"/>
      <c r="CV136" s="38"/>
      <c r="CY136" s="204"/>
      <c r="CZ136" s="38"/>
      <c r="DG136" s="38"/>
      <c r="DH136" s="38"/>
      <c r="DI136" s="38"/>
      <c r="DJ136" s="38"/>
      <c r="DK136" s="38"/>
      <c r="DL136" s="38"/>
      <c r="DM136" s="38"/>
      <c r="DN136" s="38"/>
      <c r="DO136" s="39"/>
      <c r="DP136" s="39"/>
      <c r="DQ136" s="53"/>
      <c r="DR136" s="53"/>
      <c r="EA136" s="153"/>
      <c r="EB136" s="153"/>
      <c r="EH136" s="38"/>
      <c r="EI136" s="38"/>
      <c r="EK136" s="38"/>
      <c r="EL136" s="38"/>
      <c r="EM136" s="38"/>
      <c r="EN136" s="39"/>
      <c r="EO136" s="43"/>
      <c r="EP136" s="39"/>
      <c r="EQ136" s="39"/>
      <c r="ES136" s="214"/>
      <c r="ET136" s="214"/>
      <c r="EU136" s="1360">
        <f t="shared" ca="1" si="817"/>
        <v>0</v>
      </c>
      <c r="EV136" s="173">
        <v>40</v>
      </c>
      <c r="EW136" s="1">
        <v>30</v>
      </c>
      <c r="EX136" s="55">
        <v>42186</v>
      </c>
      <c r="EY136" s="55">
        <f t="shared" si="810"/>
        <v>53143.5</v>
      </c>
      <c r="EZ136" s="61">
        <f t="shared" ca="1" si="805"/>
        <v>19</v>
      </c>
      <c r="FA136" s="39" t="s">
        <v>752</v>
      </c>
      <c r="FB136" s="39">
        <v>40.32</v>
      </c>
      <c r="FC136" s="39">
        <f t="shared" si="815"/>
        <v>0.32000000000000028</v>
      </c>
      <c r="FD136" s="40">
        <f t="shared" si="816"/>
        <v>8.0000000000000071E-3</v>
      </c>
      <c r="FE136" s="39">
        <f t="shared" ca="1" si="818"/>
        <v>1.6842105263157908E-2</v>
      </c>
      <c r="FF136" s="43">
        <f t="shared" ca="1" si="806"/>
        <v>1</v>
      </c>
      <c r="FH136" s="987"/>
      <c r="FS136" s="550">
        <v>11</v>
      </c>
      <c r="FT136" s="58">
        <v>1</v>
      </c>
      <c r="FU136" s="38">
        <v>5</v>
      </c>
      <c r="FV136" s="38">
        <f t="shared" si="819"/>
        <v>1.001249843841072</v>
      </c>
      <c r="FW136" s="39">
        <f t="shared" si="820"/>
        <v>25.792981261252852</v>
      </c>
      <c r="FX136" s="153"/>
      <c r="GE136" s="144"/>
    </row>
    <row r="137" spans="4:187">
      <c r="D137" s="150">
        <v>2</v>
      </c>
      <c r="E137" s="96">
        <f t="shared" si="821"/>
        <v>1.5</v>
      </c>
      <c r="F137" s="96">
        <f t="shared" ref="F137:F164" si="822">E137*2</f>
        <v>3</v>
      </c>
      <c r="G137" s="82">
        <f t="shared" ref="G137:G165" si="823">F137+G136</f>
        <v>6</v>
      </c>
      <c r="L137" s="784"/>
      <c r="Q137" s="144"/>
      <c r="W137" s="38"/>
      <c r="X137" s="38"/>
      <c r="Y137" s="38"/>
      <c r="Z137" s="38"/>
      <c r="AA137" s="38"/>
      <c r="AB137" s="38"/>
      <c r="AC137" s="38"/>
      <c r="AD137" s="38"/>
      <c r="AE137" s="38"/>
      <c r="AF137" s="38"/>
      <c r="AZ137" s="38"/>
      <c r="BA137" s="38"/>
      <c r="CC137" s="160"/>
      <c r="CD137" s="165"/>
      <c r="CE137" s="38"/>
      <c r="CF137" s="39"/>
      <c r="CG137" s="38"/>
      <c r="CH137" s="38"/>
      <c r="CO137" s="38"/>
      <c r="CP137" s="154"/>
      <c r="CQ137" s="38"/>
      <c r="CR137" s="38"/>
      <c r="CS137" s="38"/>
      <c r="CT137" s="38"/>
      <c r="CU137" s="38"/>
      <c r="CV137" s="38"/>
      <c r="CY137" s="204"/>
      <c r="CZ137" s="38"/>
      <c r="DG137" s="38"/>
      <c r="DH137" s="38"/>
      <c r="DI137" s="38"/>
      <c r="DJ137" s="38"/>
      <c r="DK137" s="38"/>
      <c r="DL137" s="38"/>
      <c r="DM137" s="38"/>
      <c r="DN137" s="38"/>
      <c r="DO137" s="39"/>
      <c r="DP137" s="39"/>
      <c r="DQ137" s="53"/>
      <c r="DR137" s="53"/>
      <c r="EA137" s="153"/>
      <c r="EB137" s="153"/>
      <c r="ES137" s="214"/>
      <c r="ET137" s="214"/>
      <c r="EU137" s="1360">
        <f t="shared" ca="1" si="817"/>
        <v>0</v>
      </c>
      <c r="EV137" s="173">
        <v>40</v>
      </c>
      <c r="EW137" s="1">
        <v>30</v>
      </c>
      <c r="EX137" s="55">
        <v>42156</v>
      </c>
      <c r="EY137" s="55">
        <f t="shared" si="810"/>
        <v>53113.5</v>
      </c>
      <c r="EZ137" s="61">
        <f t="shared" ca="1" si="805"/>
        <v>20</v>
      </c>
      <c r="FA137" s="39" t="s">
        <v>744</v>
      </c>
      <c r="FB137" s="39">
        <v>40.340000000000003</v>
      </c>
      <c r="FC137" s="39">
        <f t="shared" si="815"/>
        <v>0.34000000000000341</v>
      </c>
      <c r="FD137" s="40">
        <f t="shared" si="816"/>
        <v>8.5000000000001741E-3</v>
      </c>
      <c r="FE137" s="39">
        <f t="shared" ca="1" si="818"/>
        <v>1.7000000000000171E-2</v>
      </c>
      <c r="FF137" s="43">
        <f t="shared" ca="1" si="806"/>
        <v>1</v>
      </c>
      <c r="FH137" s="987"/>
      <c r="FS137" s="550">
        <v>11</v>
      </c>
      <c r="FT137" s="58">
        <v>1</v>
      </c>
      <c r="FU137" s="38">
        <v>6</v>
      </c>
      <c r="FV137" s="38">
        <f t="shared" si="819"/>
        <v>1.0015000000000001</v>
      </c>
      <c r="FW137" s="39">
        <f t="shared" si="820"/>
        <v>25.799425480105224</v>
      </c>
      <c r="FX137" s="153"/>
      <c r="GE137" s="144"/>
    </row>
    <row r="138" spans="4:187">
      <c r="D138" s="150">
        <v>3</v>
      </c>
      <c r="E138" s="96">
        <f t="shared" si="821"/>
        <v>1.5</v>
      </c>
      <c r="F138" s="96">
        <f t="shared" si="822"/>
        <v>3</v>
      </c>
      <c r="G138" s="82">
        <f t="shared" si="823"/>
        <v>9</v>
      </c>
      <c r="O138" s="38"/>
      <c r="Q138" s="144"/>
      <c r="W138" s="38"/>
      <c r="X138" s="38"/>
      <c r="Y138" s="38"/>
      <c r="Z138" s="38"/>
      <c r="AA138" s="38"/>
      <c r="AB138" s="38"/>
      <c r="AC138" s="38"/>
      <c r="AD138" s="38"/>
      <c r="AE138" s="38"/>
      <c r="AF138" s="38"/>
      <c r="AZ138" s="38"/>
      <c r="BA138" s="38"/>
      <c r="CC138" s="160"/>
      <c r="CD138" s="165"/>
      <c r="CE138" s="38"/>
      <c r="CF138" s="39"/>
      <c r="CG138" s="38"/>
      <c r="CH138" s="38"/>
      <c r="CO138" s="38"/>
      <c r="CP138" s="154"/>
      <c r="CQ138" s="38"/>
      <c r="CR138" s="38"/>
      <c r="CS138" s="38"/>
      <c r="CT138" s="38"/>
      <c r="CU138" s="38"/>
      <c r="CV138" s="38"/>
      <c r="CY138" s="204"/>
      <c r="CZ138" s="53"/>
      <c r="DG138" s="38"/>
      <c r="DH138" s="38"/>
      <c r="DI138" s="38"/>
      <c r="DJ138" s="38"/>
      <c r="DK138" s="38"/>
      <c r="DL138" s="38"/>
      <c r="DM138" s="38"/>
      <c r="DN138" s="38"/>
      <c r="DO138" s="39"/>
      <c r="DP138" s="39"/>
      <c r="DQ138" s="53"/>
      <c r="DR138" s="53"/>
      <c r="EA138" s="153"/>
      <c r="EB138" s="153"/>
      <c r="ES138" s="214"/>
      <c r="EU138" s="1360">
        <f t="shared" ca="1" si="817"/>
        <v>0</v>
      </c>
      <c r="EV138" s="173">
        <v>40</v>
      </c>
      <c r="EW138" s="1">
        <v>30</v>
      </c>
      <c r="EX138" s="55">
        <v>42156</v>
      </c>
      <c r="EY138" s="55">
        <f t="shared" si="810"/>
        <v>53113.5</v>
      </c>
      <c r="EZ138" s="61">
        <f t="shared" ca="1" si="805"/>
        <v>20</v>
      </c>
      <c r="FA138" s="39" t="s">
        <v>745</v>
      </c>
      <c r="FB138" s="39">
        <v>40.340000000000003</v>
      </c>
      <c r="FC138" s="39">
        <f t="shared" si="815"/>
        <v>0.34000000000000341</v>
      </c>
      <c r="FD138" s="40">
        <f t="shared" si="816"/>
        <v>8.5000000000001741E-3</v>
      </c>
      <c r="FE138" s="39">
        <f t="shared" ca="1" si="818"/>
        <v>1.7000000000000171E-2</v>
      </c>
      <c r="FF138" s="43">
        <f t="shared" ca="1" si="806"/>
        <v>1</v>
      </c>
      <c r="FH138" s="987"/>
      <c r="FI138" s="67"/>
      <c r="FJ138" s="58"/>
      <c r="FK138" s="53"/>
      <c r="FQ138" s="67"/>
      <c r="FR138" s="53"/>
      <c r="FS138" s="550">
        <v>11</v>
      </c>
      <c r="FT138" s="58">
        <v>2</v>
      </c>
      <c r="FU138" s="38">
        <v>1</v>
      </c>
      <c r="FV138" s="38">
        <f t="shared" si="819"/>
        <v>1.0002498438930771</v>
      </c>
      <c r="FW138" s="39">
        <f>$FW$137*FV138</f>
        <v>25.805871309006328</v>
      </c>
      <c r="FX138" s="153"/>
      <c r="GE138" s="144"/>
    </row>
    <row r="139" spans="4:187">
      <c r="D139" s="150">
        <v>4</v>
      </c>
      <c r="E139" s="96">
        <f t="shared" si="821"/>
        <v>1.5</v>
      </c>
      <c r="F139" s="96">
        <f t="shared" si="822"/>
        <v>3</v>
      </c>
      <c r="G139" s="82">
        <f t="shared" si="823"/>
        <v>12</v>
      </c>
      <c r="K139" s="747"/>
      <c r="O139" s="38"/>
      <c r="P139" s="143"/>
      <c r="R139" s="144"/>
      <c r="W139" s="38"/>
      <c r="X139" s="38"/>
      <c r="Y139" s="38"/>
      <c r="Z139" s="38"/>
      <c r="AA139" s="38"/>
      <c r="AB139" s="38"/>
      <c r="AC139" s="38"/>
      <c r="AD139" s="38"/>
      <c r="AE139" s="38"/>
      <c r="AF139" s="38"/>
      <c r="AZ139" s="38"/>
      <c r="BA139" s="38"/>
      <c r="CC139" s="160"/>
      <c r="CD139" s="165"/>
      <c r="CE139" s="38"/>
      <c r="CF139" s="39"/>
      <c r="CG139" s="38"/>
      <c r="CH139" s="38"/>
      <c r="CO139" s="38"/>
      <c r="CP139" s="154"/>
      <c r="CQ139" s="38"/>
      <c r="CR139" s="38"/>
      <c r="CS139" s="38"/>
      <c r="CT139" s="38"/>
      <c r="CU139" s="38"/>
      <c r="CV139" s="38"/>
      <c r="CY139" s="392"/>
      <c r="CZ139" s="53"/>
      <c r="DG139" s="38"/>
      <c r="DH139" s="38"/>
      <c r="DI139" s="38"/>
      <c r="DJ139" s="38"/>
      <c r="DK139" s="38"/>
      <c r="DL139" s="38"/>
      <c r="DM139" s="38"/>
      <c r="DN139" s="38"/>
      <c r="DO139" s="39"/>
      <c r="DP139" s="39"/>
      <c r="DQ139" s="53"/>
      <c r="DR139" s="53"/>
      <c r="EA139" s="153"/>
      <c r="EB139" s="153"/>
      <c r="ES139" s="214"/>
      <c r="EU139" s="1360">
        <f t="shared" ca="1" si="817"/>
        <v>0</v>
      </c>
      <c r="EV139" s="173">
        <v>40</v>
      </c>
      <c r="EW139" s="1">
        <v>30</v>
      </c>
      <c r="EX139" s="55">
        <v>42156</v>
      </c>
      <c r="EY139" s="55">
        <f t="shared" si="810"/>
        <v>53113.5</v>
      </c>
      <c r="EZ139" s="61">
        <f t="shared" ca="1" si="805"/>
        <v>20</v>
      </c>
      <c r="FA139" s="1" t="s">
        <v>746</v>
      </c>
      <c r="FB139" s="39">
        <v>40.340000000000003</v>
      </c>
      <c r="FC139" s="39">
        <f t="shared" si="815"/>
        <v>0.34000000000000341</v>
      </c>
      <c r="FD139" s="40">
        <f t="shared" si="816"/>
        <v>8.5000000000001741E-3</v>
      </c>
      <c r="FE139" s="39">
        <f t="shared" ca="1" si="818"/>
        <v>1.7000000000000171E-2</v>
      </c>
      <c r="FF139" s="43">
        <f t="shared" ca="1" si="806"/>
        <v>1</v>
      </c>
      <c r="FH139" s="987"/>
      <c r="FI139" s="67"/>
      <c r="FJ139" s="58"/>
      <c r="FK139" s="53"/>
      <c r="FQ139" s="67"/>
      <c r="FR139" s="53"/>
      <c r="FS139" s="550">
        <v>11</v>
      </c>
      <c r="FT139" s="58">
        <v>2</v>
      </c>
      <c r="FU139" s="38">
        <v>2</v>
      </c>
      <c r="FV139" s="38">
        <f t="shared" si="819"/>
        <v>1.0004997502081252</v>
      </c>
      <c r="FW139" s="39">
        <f t="shared" ref="FW139:FW143" si="824">$FW$137*FV139</f>
        <v>25.812318748358418</v>
      </c>
      <c r="FX139" s="153"/>
      <c r="GE139" s="144"/>
    </row>
    <row r="140" spans="4:187">
      <c r="D140" s="150">
        <v>5</v>
      </c>
      <c r="E140" s="96">
        <f t="shared" si="821"/>
        <v>1.5</v>
      </c>
      <c r="F140" s="96">
        <f t="shared" si="822"/>
        <v>3</v>
      </c>
      <c r="G140" s="82">
        <f t="shared" si="823"/>
        <v>15</v>
      </c>
      <c r="K140" s="386"/>
      <c r="O140" s="38"/>
      <c r="P140" s="143"/>
      <c r="R140" s="144"/>
      <c r="AZ140" s="38"/>
      <c r="CC140" s="160"/>
      <c r="CD140" s="165"/>
      <c r="CE140" s="38"/>
      <c r="CF140" s="39"/>
      <c r="CG140" s="38"/>
      <c r="CH140" s="38"/>
      <c r="CO140" s="38"/>
      <c r="CP140" s="154"/>
      <c r="CQ140" s="38"/>
      <c r="CR140" s="38"/>
      <c r="CS140" s="38"/>
      <c r="CT140" s="38"/>
      <c r="CU140" s="38"/>
      <c r="CV140" s="38"/>
      <c r="CY140" s="392"/>
      <c r="CZ140" s="53"/>
      <c r="DG140" s="38"/>
      <c r="DH140" s="38"/>
      <c r="DI140" s="38"/>
      <c r="DJ140" s="38"/>
      <c r="DK140" s="38"/>
      <c r="DL140" s="38"/>
      <c r="DM140" s="38"/>
      <c r="DN140" s="38"/>
      <c r="DO140" s="153"/>
      <c r="DP140" s="153"/>
      <c r="DQ140" s="53"/>
      <c r="DR140" s="53"/>
      <c r="EA140" s="153"/>
      <c r="ES140" s="214"/>
      <c r="EU140" s="1360">
        <f t="shared" ca="1" si="817"/>
        <v>0</v>
      </c>
      <c r="EV140" s="173">
        <v>40</v>
      </c>
      <c r="EW140" s="1">
        <v>30</v>
      </c>
      <c r="EX140" s="55">
        <v>42156</v>
      </c>
      <c r="EY140" s="55">
        <f t="shared" si="810"/>
        <v>53113.5</v>
      </c>
      <c r="EZ140" s="61">
        <f t="shared" ca="1" si="805"/>
        <v>20</v>
      </c>
      <c r="FA140" s="1" t="s">
        <v>747</v>
      </c>
      <c r="FB140" s="39">
        <v>40.340000000000003</v>
      </c>
      <c r="FC140" s="39">
        <f t="shared" si="815"/>
        <v>0.34000000000000341</v>
      </c>
      <c r="FD140" s="40">
        <f t="shared" si="816"/>
        <v>8.5000000000001741E-3</v>
      </c>
      <c r="FE140" s="39">
        <f t="shared" ca="1" si="818"/>
        <v>1.7000000000000171E-2</v>
      </c>
      <c r="FF140" s="43">
        <f t="shared" ca="1" si="806"/>
        <v>1</v>
      </c>
      <c r="FH140" s="987"/>
      <c r="FI140" s="67"/>
      <c r="FJ140" s="58"/>
      <c r="FK140" s="53"/>
      <c r="FQ140" s="67"/>
      <c r="FR140" s="53"/>
      <c r="FS140" s="550">
        <v>11</v>
      </c>
      <c r="FT140" s="58">
        <v>2</v>
      </c>
      <c r="FU140" s="38">
        <v>3</v>
      </c>
      <c r="FV140" s="38">
        <f t="shared" si="819"/>
        <v>1.0007497189607399</v>
      </c>
      <c r="FW140" s="39">
        <f t="shared" si="824"/>
        <v>25.818767798563858</v>
      </c>
      <c r="FX140" s="153"/>
      <c r="GE140" s="144"/>
    </row>
    <row r="141" spans="4:187">
      <c r="D141" s="150">
        <v>6</v>
      </c>
      <c r="E141" s="96">
        <f t="shared" si="821"/>
        <v>1.5</v>
      </c>
      <c r="F141" s="96">
        <f t="shared" si="822"/>
        <v>3</v>
      </c>
      <c r="G141" s="82">
        <f t="shared" si="823"/>
        <v>18</v>
      </c>
      <c r="K141" s="386"/>
      <c r="O141" s="38"/>
      <c r="P141" s="143"/>
      <c r="R141" s="144"/>
      <c r="AZ141" s="38"/>
      <c r="CC141" s="160"/>
      <c r="CD141" s="165"/>
      <c r="CE141" s="38"/>
      <c r="CF141" s="39"/>
      <c r="CG141" s="38"/>
      <c r="CH141" s="38"/>
      <c r="CO141" s="38"/>
      <c r="CP141" s="154"/>
      <c r="CQ141" s="38"/>
      <c r="CR141" s="38"/>
      <c r="CS141" s="38"/>
      <c r="CT141" s="38"/>
      <c r="CU141" s="38"/>
      <c r="CV141" s="38"/>
      <c r="CY141" s="392"/>
      <c r="CZ141" s="53"/>
      <c r="DG141" s="38"/>
      <c r="DH141" s="38"/>
      <c r="DI141" s="38"/>
      <c r="DJ141" s="38"/>
      <c r="DK141" s="38"/>
      <c r="DL141" s="38"/>
      <c r="DM141" s="38"/>
      <c r="DN141" s="38"/>
      <c r="DO141" s="153"/>
      <c r="DP141" s="153"/>
      <c r="DQ141" s="53"/>
      <c r="DR141" s="53"/>
      <c r="EA141" s="153"/>
      <c r="ES141" s="214"/>
      <c r="EU141" s="1360">
        <f t="shared" ca="1" si="817"/>
        <v>0</v>
      </c>
      <c r="EV141" s="173">
        <v>40</v>
      </c>
      <c r="EW141" s="1">
        <v>30</v>
      </c>
      <c r="EX141" s="55">
        <v>42125</v>
      </c>
      <c r="EY141" s="55">
        <f t="shared" si="810"/>
        <v>53082.5</v>
      </c>
      <c r="EZ141" s="61">
        <f t="shared" ca="1" si="805"/>
        <v>21</v>
      </c>
      <c r="FA141" s="37" t="s">
        <v>740</v>
      </c>
      <c r="FB141" s="39">
        <v>40.340000000000003</v>
      </c>
      <c r="FC141" s="39">
        <f t="shared" si="815"/>
        <v>0.34000000000000341</v>
      </c>
      <c r="FD141" s="40">
        <f t="shared" si="816"/>
        <v>8.5000000000001741E-3</v>
      </c>
      <c r="FE141" s="39">
        <f t="shared" ca="1" si="818"/>
        <v>1.6190476190476352E-2</v>
      </c>
      <c r="FF141" s="43">
        <f t="shared" ca="1" si="806"/>
        <v>1</v>
      </c>
      <c r="FH141" s="987"/>
      <c r="FI141" s="67"/>
      <c r="FJ141" s="58"/>
      <c r="FK141" s="53"/>
      <c r="FQ141" s="67"/>
      <c r="FR141" s="53"/>
      <c r="FS141" s="550">
        <v>11</v>
      </c>
      <c r="FT141" s="58">
        <v>2</v>
      </c>
      <c r="FU141" s="38">
        <v>4</v>
      </c>
      <c r="FV141" s="38">
        <f t="shared" si="819"/>
        <v>1.0009997501665211</v>
      </c>
      <c r="FW141" s="39">
        <f t="shared" si="824"/>
        <v>25.825218460025109</v>
      </c>
      <c r="FX141" s="153"/>
      <c r="GE141" s="144"/>
    </row>
    <row r="142" spans="4:187">
      <c r="D142" s="150">
        <v>7</v>
      </c>
      <c r="E142" s="96">
        <f t="shared" si="821"/>
        <v>1.5</v>
      </c>
      <c r="F142" s="96">
        <f t="shared" si="822"/>
        <v>3</v>
      </c>
      <c r="G142" s="82">
        <f t="shared" si="823"/>
        <v>21</v>
      </c>
      <c r="K142" s="386"/>
      <c r="O142" s="38"/>
      <c r="P142" s="143"/>
      <c r="R142" s="144"/>
      <c r="AZ142" s="38"/>
      <c r="CC142" s="160"/>
      <c r="CD142" s="165"/>
      <c r="CE142" s="38"/>
      <c r="CG142" s="38"/>
      <c r="CH142" s="38"/>
      <c r="CO142" s="38"/>
      <c r="CP142" s="154"/>
      <c r="CQ142" s="38"/>
      <c r="CR142" s="38"/>
      <c r="CS142" s="38"/>
      <c r="CT142" s="38"/>
      <c r="CU142" s="38"/>
      <c r="CV142" s="38"/>
      <c r="CY142" s="392"/>
      <c r="CZ142" s="53"/>
      <c r="DG142" s="38"/>
      <c r="DH142" s="38"/>
      <c r="DI142" s="38"/>
      <c r="DJ142" s="38"/>
      <c r="DK142" s="38"/>
      <c r="DL142" s="38"/>
      <c r="DM142" s="38"/>
      <c r="DN142" s="38"/>
      <c r="DO142" s="153"/>
      <c r="DP142" s="153"/>
      <c r="DQ142" s="53"/>
      <c r="DR142" s="53"/>
      <c r="EA142" s="153"/>
      <c r="ES142" s="214"/>
      <c r="EU142" s="1360">
        <f t="shared" ca="1" si="817"/>
        <v>0</v>
      </c>
      <c r="EV142" s="173">
        <v>40</v>
      </c>
      <c r="EW142" s="1">
        <v>30</v>
      </c>
      <c r="EX142" s="55">
        <v>42125</v>
      </c>
      <c r="EY142" s="55">
        <f t="shared" si="810"/>
        <v>53082.5</v>
      </c>
      <c r="EZ142" s="61">
        <f t="shared" ca="1" si="805"/>
        <v>21</v>
      </c>
      <c r="FA142" s="37" t="s">
        <v>741</v>
      </c>
      <c r="FB142" s="39">
        <v>40.340000000000003</v>
      </c>
      <c r="FC142" s="39">
        <f t="shared" si="815"/>
        <v>0.34000000000000341</v>
      </c>
      <c r="FD142" s="40">
        <f t="shared" si="816"/>
        <v>8.5000000000001741E-3</v>
      </c>
      <c r="FE142" s="39">
        <f t="shared" ca="1" si="818"/>
        <v>1.6190476190476352E-2</v>
      </c>
      <c r="FF142" s="43">
        <f t="shared" ca="1" si="806"/>
        <v>1</v>
      </c>
      <c r="FH142" s="987"/>
      <c r="FI142" s="67"/>
      <c r="FJ142" s="58"/>
      <c r="FK142" s="53"/>
      <c r="FQ142" s="67"/>
      <c r="FR142" s="53"/>
      <c r="FS142" s="550">
        <v>11</v>
      </c>
      <c r="FT142" s="58">
        <v>2</v>
      </c>
      <c r="FU142" s="38">
        <v>5</v>
      </c>
      <c r="FV142" s="38">
        <f t="shared" si="819"/>
        <v>1.001249843841072</v>
      </c>
      <c r="FW142" s="39">
        <f t="shared" si="824"/>
        <v>25.83167073314473</v>
      </c>
      <c r="FX142" s="153"/>
      <c r="GE142" s="144"/>
    </row>
    <row r="143" spans="4:187">
      <c r="D143" s="150">
        <v>8</v>
      </c>
      <c r="E143" s="96">
        <f t="shared" si="821"/>
        <v>1.5</v>
      </c>
      <c r="F143" s="96">
        <f t="shared" si="822"/>
        <v>3</v>
      </c>
      <c r="G143" s="82">
        <f t="shared" si="823"/>
        <v>24</v>
      </c>
      <c r="K143" s="386"/>
      <c r="O143" s="38"/>
      <c r="P143" s="143"/>
      <c r="R143" s="144"/>
      <c r="AZ143" s="38"/>
      <c r="CC143" s="160"/>
      <c r="CD143" s="165"/>
      <c r="CE143" s="38"/>
      <c r="CG143" s="38"/>
      <c r="CH143" s="38"/>
      <c r="CO143" s="38"/>
      <c r="CP143" s="154"/>
      <c r="CQ143" s="38"/>
      <c r="CR143" s="38"/>
      <c r="CS143" s="38"/>
      <c r="CT143" s="38"/>
      <c r="CU143" s="38"/>
      <c r="CV143" s="38"/>
      <c r="CY143" s="392"/>
      <c r="CZ143" s="53"/>
      <c r="DG143" s="38"/>
      <c r="DH143" s="38"/>
      <c r="DI143" s="38"/>
      <c r="DJ143" s="38"/>
      <c r="DK143" s="38"/>
      <c r="DL143" s="38"/>
      <c r="DM143" s="38"/>
      <c r="DN143" s="38"/>
      <c r="DO143" s="153"/>
      <c r="DP143" s="153"/>
      <c r="DQ143" s="53"/>
      <c r="DR143" s="53"/>
      <c r="EA143" s="153"/>
      <c r="ES143" s="214"/>
      <c r="EU143" s="1360">
        <f t="shared" ca="1" si="817"/>
        <v>0</v>
      </c>
      <c r="EV143" s="173">
        <v>40</v>
      </c>
      <c r="EW143" s="1">
        <v>30</v>
      </c>
      <c r="EX143" s="55">
        <v>42125</v>
      </c>
      <c r="EY143" s="55">
        <f t="shared" si="810"/>
        <v>53082.5</v>
      </c>
      <c r="EZ143" s="61">
        <f t="shared" ca="1" si="805"/>
        <v>21</v>
      </c>
      <c r="FA143" s="37" t="s">
        <v>742</v>
      </c>
      <c r="FB143" s="39">
        <v>40.340000000000003</v>
      </c>
      <c r="FC143" s="39">
        <f t="shared" si="815"/>
        <v>0.34000000000000341</v>
      </c>
      <c r="FD143" s="40">
        <f t="shared" si="816"/>
        <v>8.5000000000001741E-3</v>
      </c>
      <c r="FE143" s="39">
        <f t="shared" ca="1" si="818"/>
        <v>1.6190476190476352E-2</v>
      </c>
      <c r="FF143" s="43">
        <f t="shared" ca="1" si="806"/>
        <v>1</v>
      </c>
      <c r="FH143" s="987"/>
      <c r="FI143" s="67"/>
      <c r="FJ143" s="58"/>
      <c r="FK143" s="53"/>
      <c r="FQ143" s="67"/>
      <c r="FR143" s="53"/>
      <c r="FS143" s="550">
        <v>11</v>
      </c>
      <c r="FT143" s="58">
        <v>2</v>
      </c>
      <c r="FU143" s="38">
        <v>6</v>
      </c>
      <c r="FV143" s="38">
        <f t="shared" si="819"/>
        <v>1.0015000000000001</v>
      </c>
      <c r="FW143" s="39">
        <f t="shared" si="824"/>
        <v>25.838124618325384</v>
      </c>
      <c r="FX143" s="153"/>
      <c r="GE143" s="144"/>
    </row>
    <row r="144" spans="4:187">
      <c r="D144" s="150">
        <v>9</v>
      </c>
      <c r="E144" s="96">
        <f t="shared" si="821"/>
        <v>1.5</v>
      </c>
      <c r="F144" s="96">
        <f t="shared" si="822"/>
        <v>3</v>
      </c>
      <c r="G144" s="82">
        <f t="shared" si="823"/>
        <v>27</v>
      </c>
      <c r="K144" s="40"/>
      <c r="O144" s="38"/>
      <c r="P144" s="143"/>
      <c r="R144" s="144"/>
      <c r="AZ144" s="38"/>
      <c r="CC144" s="160"/>
      <c r="CD144" s="165"/>
      <c r="CE144" s="38"/>
      <c r="CG144" s="38"/>
      <c r="CH144" s="38"/>
      <c r="CO144" s="38"/>
      <c r="CP144" s="154"/>
      <c r="CQ144" s="38"/>
      <c r="CR144" s="38"/>
      <c r="CS144" s="38"/>
      <c r="CT144" s="38"/>
      <c r="CU144" s="38"/>
      <c r="CV144" s="38"/>
      <c r="CY144" s="392"/>
      <c r="CZ144" s="53"/>
      <c r="DG144" s="38"/>
      <c r="DH144" s="38"/>
      <c r="DI144" s="38"/>
      <c r="DJ144" s="38"/>
      <c r="DK144" s="38"/>
      <c r="DL144" s="38"/>
      <c r="DM144" s="38"/>
      <c r="DO144" s="153"/>
      <c r="DP144" s="153"/>
      <c r="DQ144" s="53"/>
      <c r="DR144" s="53"/>
      <c r="EA144" s="153"/>
      <c r="ES144" s="214"/>
      <c r="EU144" s="1360">
        <f t="shared" ca="1" si="817"/>
        <v>0</v>
      </c>
      <c r="EV144" s="173">
        <v>40</v>
      </c>
      <c r="EW144" s="1">
        <v>30</v>
      </c>
      <c r="EX144" s="55">
        <v>42125</v>
      </c>
      <c r="EY144" s="55">
        <f t="shared" si="810"/>
        <v>53082.5</v>
      </c>
      <c r="EZ144" s="61">
        <f t="shared" ca="1" si="805"/>
        <v>21</v>
      </c>
      <c r="FA144" s="37" t="s">
        <v>743</v>
      </c>
      <c r="FB144" s="39">
        <v>40.340000000000003</v>
      </c>
      <c r="FC144" s="39">
        <f t="shared" si="815"/>
        <v>0.34000000000000341</v>
      </c>
      <c r="FD144" s="40">
        <f t="shared" si="816"/>
        <v>8.5000000000001741E-3</v>
      </c>
      <c r="FE144" s="39">
        <f t="shared" ca="1" si="818"/>
        <v>1.6190476190476352E-2</v>
      </c>
      <c r="FF144" s="43">
        <f t="shared" ca="1" si="806"/>
        <v>1</v>
      </c>
      <c r="FH144" s="987"/>
      <c r="FI144" s="67"/>
      <c r="FJ144" s="58"/>
      <c r="FK144" s="53"/>
      <c r="FQ144" s="67"/>
      <c r="FR144" s="53"/>
      <c r="FX144" s="153"/>
      <c r="GE144" s="144"/>
    </row>
    <row r="145" spans="4:187" ht="13.5" thickBot="1">
      <c r="D145" s="150">
        <v>10</v>
      </c>
      <c r="E145" s="96">
        <f t="shared" si="821"/>
        <v>1.5</v>
      </c>
      <c r="F145" s="96">
        <f t="shared" si="822"/>
        <v>3</v>
      </c>
      <c r="G145" s="82">
        <f t="shared" si="823"/>
        <v>30</v>
      </c>
      <c r="K145" s="40"/>
      <c r="N145" s="54"/>
      <c r="O145" s="38"/>
      <c r="P145" s="143"/>
      <c r="R145" s="144"/>
      <c r="CC145" s="160"/>
      <c r="CD145" s="165"/>
      <c r="CE145" s="38"/>
      <c r="CG145" s="38"/>
      <c r="CH145" s="38"/>
      <c r="CO145" s="38"/>
      <c r="CP145" s="154"/>
      <c r="CQ145" s="38"/>
      <c r="CR145" s="38"/>
      <c r="CS145" s="38"/>
      <c r="CT145" s="38"/>
      <c r="CU145" s="38"/>
      <c r="CV145" s="38"/>
      <c r="CY145" s="392"/>
      <c r="CZ145" s="53"/>
      <c r="DG145" s="38"/>
      <c r="DH145" s="38"/>
      <c r="DI145" s="38"/>
      <c r="DJ145" s="38"/>
      <c r="DK145" s="38"/>
      <c r="DL145" s="38"/>
      <c r="DM145" s="38"/>
      <c r="DO145" s="153"/>
      <c r="DP145" s="153"/>
      <c r="DQ145" s="53"/>
      <c r="DR145" s="53"/>
      <c r="EA145" s="153"/>
      <c r="ES145" s="214"/>
      <c r="EU145" s="1360">
        <f t="shared" ca="1" si="817"/>
        <v>0</v>
      </c>
      <c r="EV145" s="173">
        <v>40</v>
      </c>
      <c r="EW145" s="1">
        <v>30</v>
      </c>
      <c r="EX145" s="55">
        <v>42095</v>
      </c>
      <c r="EY145" s="55">
        <f t="shared" si="810"/>
        <v>53052.5</v>
      </c>
      <c r="EZ145" s="61">
        <f t="shared" ca="1" si="805"/>
        <v>22</v>
      </c>
      <c r="FA145" s="39" t="s">
        <v>735</v>
      </c>
      <c r="FB145" s="39">
        <v>40.61</v>
      </c>
      <c r="FC145" s="39">
        <f t="shared" si="815"/>
        <v>0.60999999999999943</v>
      </c>
      <c r="FD145" s="40">
        <f t="shared" si="816"/>
        <v>1.5249999999999986E-2</v>
      </c>
      <c r="FE145" s="39">
        <f t="shared" ca="1" si="818"/>
        <v>2.7727272727272701E-2</v>
      </c>
      <c r="FF145" s="43">
        <f t="shared" ca="1" si="806"/>
        <v>1</v>
      </c>
      <c r="FH145" s="987"/>
      <c r="FI145" s="67"/>
      <c r="FJ145" s="58"/>
      <c r="FK145" s="53"/>
      <c r="FQ145" s="67"/>
      <c r="FR145" s="53"/>
      <c r="FS145" s="550">
        <v>12</v>
      </c>
      <c r="FT145" s="58">
        <v>1</v>
      </c>
      <c r="FU145" s="38">
        <v>1</v>
      </c>
      <c r="FV145" s="38">
        <f t="shared" ref="FV145:FV156" si="825">(1+$FY$2/2)^(FU145/6)</f>
        <v>1.0002498438930771</v>
      </c>
      <c r="FW145" s="39">
        <f>$FW$143*FV145</f>
        <v>25.844580115969841</v>
      </c>
      <c r="FX145" s="153"/>
      <c r="GE145" s="144"/>
    </row>
    <row r="146" spans="4:187">
      <c r="D146" s="150">
        <v>11</v>
      </c>
      <c r="E146" s="96">
        <f t="shared" si="821"/>
        <v>1.5</v>
      </c>
      <c r="F146" s="96">
        <f t="shared" si="822"/>
        <v>3</v>
      </c>
      <c r="G146" s="82">
        <f t="shared" si="823"/>
        <v>33</v>
      </c>
      <c r="K146" s="787" t="s">
        <v>1778</v>
      </c>
      <c r="L146" s="77" t="s">
        <v>1721</v>
      </c>
      <c r="O146" s="54"/>
      <c r="P146" s="143"/>
      <c r="R146" s="144"/>
      <c r="CC146" s="160"/>
      <c r="CD146" s="165"/>
      <c r="CE146" s="38"/>
      <c r="CG146" s="38"/>
      <c r="CH146" s="38"/>
      <c r="CO146" s="38"/>
      <c r="CP146" s="154"/>
      <c r="CQ146" s="38"/>
      <c r="CR146" s="38"/>
      <c r="CS146" s="38"/>
      <c r="CT146" s="38"/>
      <c r="CU146" s="38"/>
      <c r="CV146" s="38"/>
      <c r="CY146" s="392"/>
      <c r="CZ146" s="53"/>
      <c r="DG146" s="38"/>
      <c r="DH146" s="38"/>
      <c r="DI146" s="38"/>
      <c r="DJ146" s="38"/>
      <c r="DK146" s="38"/>
      <c r="DL146" s="38"/>
      <c r="DM146" s="38"/>
      <c r="DO146" s="153"/>
      <c r="DP146" s="153"/>
      <c r="DQ146" s="53"/>
      <c r="DR146" s="53"/>
      <c r="EA146" s="153"/>
      <c r="ES146" s="214"/>
      <c r="EU146" s="1360">
        <f t="shared" ca="1" si="817"/>
        <v>0</v>
      </c>
      <c r="EV146" s="173">
        <v>40</v>
      </c>
      <c r="EW146" s="1">
        <v>30</v>
      </c>
      <c r="EX146" s="55">
        <v>42095</v>
      </c>
      <c r="EY146" s="55">
        <f t="shared" si="810"/>
        <v>53052.5</v>
      </c>
      <c r="EZ146" s="61">
        <f t="shared" ca="1" si="805"/>
        <v>22</v>
      </c>
      <c r="FA146" s="39" t="s">
        <v>736</v>
      </c>
      <c r="FB146" s="39">
        <v>40.61</v>
      </c>
      <c r="FC146" s="39">
        <f t="shared" si="801"/>
        <v>0.60999999999999943</v>
      </c>
      <c r="FD146" s="40">
        <f t="shared" si="802"/>
        <v>1.5249999999999986E-2</v>
      </c>
      <c r="FE146" s="39">
        <f t="shared" ca="1" si="818"/>
        <v>2.7727272727272701E-2</v>
      </c>
      <c r="FF146" s="43">
        <f t="shared" ca="1" si="806"/>
        <v>1</v>
      </c>
      <c r="FH146" s="987"/>
      <c r="FI146" s="67"/>
      <c r="FJ146" s="58"/>
      <c r="FK146" s="53"/>
      <c r="FQ146" s="67"/>
      <c r="FR146" s="53"/>
      <c r="FS146" s="550">
        <v>12</v>
      </c>
      <c r="FT146" s="58">
        <v>1</v>
      </c>
      <c r="FU146" s="38">
        <v>2</v>
      </c>
      <c r="FV146" s="38">
        <f t="shared" si="825"/>
        <v>1.0004997502081252</v>
      </c>
      <c r="FW146" s="39">
        <f t="shared" ref="FW146:FW150" si="826">$FW$143*FV146</f>
        <v>25.851037226480958</v>
      </c>
      <c r="FX146" s="153"/>
      <c r="GE146" s="144"/>
    </row>
    <row r="147" spans="4:187">
      <c r="D147" s="150">
        <v>12</v>
      </c>
      <c r="E147" s="96">
        <f t="shared" si="821"/>
        <v>1.5</v>
      </c>
      <c r="F147" s="96">
        <f t="shared" si="822"/>
        <v>3</v>
      </c>
      <c r="G147" s="82">
        <f t="shared" si="823"/>
        <v>36</v>
      </c>
      <c r="J147" s="2"/>
      <c r="K147" s="150" t="str">
        <f>IF(AND(K121&lt;K122,K122&lt;K123,K123&lt;K124,K124&lt;K125,K125&lt;K126,K126&lt;K127,K127&lt;J128),"normal",IF(AND(K121&gt;K122,K122&gt;K123,K123&gt;K124,K124&gt;K125,K125&gt;K126,K126&gt;K127,K127&gt;K128),"inverted",IF(AND(ABS(K121-K122)&lt;L147,ABS(K121-K123)&lt;L147,ABS(K121-K124)&lt;L147,ABS(K121-K125)&lt;L147,ABS(K121-K126)&lt;L147,ABS(K121-K127)&lt;L147,ABS(K121-K128)&lt;L147,ABS(K122-K123)&lt;L147,ABS(K122-K124)&lt;L147,ABS(K122-K125)&lt;L147,ABS(K122-K126)&lt;L147,ABS(K122-K127)&lt;L147,ABS(K122-K128)&lt;L147,ABS(K123-K124)&lt;L147,ABS(K123-K125)&lt;L147,ABS(K123-K126)&lt;L147,ABS(K123-K127)&lt;L147,ABS(K123-K128)&lt;L147,ABS(K124-K125)&lt;L147,ABS(K124-K126)&lt;L147,ABS(K124-K127)&lt;L147,ABS(K124-K128)&lt;L147,ABS(K125-K126)&lt;L147,ABS(K125-K127)&lt;L147,ABS(K125-K128)&lt;L147,ABS(K126-K127)&lt;L147,ABS(K126-K128)&lt;L147,ABS(K127-K128)&lt;L147),"flat","other")))</f>
        <v>normal</v>
      </c>
      <c r="L147" s="931">
        <v>2.5000000000000001E-3</v>
      </c>
      <c r="O147" s="54"/>
      <c r="P147" s="143"/>
      <c r="R147" s="144"/>
      <c r="CC147" s="160"/>
      <c r="CD147" s="165"/>
      <c r="CE147" s="38"/>
      <c r="CO147" s="38"/>
      <c r="CP147" s="154"/>
      <c r="CQ147" s="38"/>
      <c r="CR147" s="38"/>
      <c r="CS147" s="38"/>
      <c r="CT147" s="38"/>
      <c r="CU147" s="38"/>
      <c r="CV147" s="38"/>
      <c r="CY147" s="392"/>
      <c r="CZ147" s="53"/>
      <c r="DG147" s="38"/>
      <c r="DH147" s="38"/>
      <c r="DI147" s="38"/>
      <c r="DJ147" s="38"/>
      <c r="DK147" s="38"/>
      <c r="DL147" s="38"/>
      <c r="DM147" s="38"/>
      <c r="DO147" s="153"/>
      <c r="DP147" s="153"/>
      <c r="DQ147" s="53"/>
      <c r="DR147" s="53"/>
      <c r="EA147" s="153"/>
      <c r="ES147" s="214"/>
      <c r="EU147" s="1360">
        <f t="shared" ca="1" si="817"/>
        <v>0</v>
      </c>
      <c r="EV147" s="173">
        <v>40</v>
      </c>
      <c r="EW147" s="1">
        <v>30</v>
      </c>
      <c r="EX147" s="55">
        <v>42095</v>
      </c>
      <c r="EY147" s="55">
        <f t="shared" si="810"/>
        <v>53052.5</v>
      </c>
      <c r="EZ147" s="61">
        <f t="shared" ca="1" si="805"/>
        <v>22</v>
      </c>
      <c r="FA147" s="39" t="s">
        <v>737</v>
      </c>
      <c r="FB147" s="39">
        <v>40.61</v>
      </c>
      <c r="FC147" s="39">
        <f t="shared" si="801"/>
        <v>0.60999999999999943</v>
      </c>
      <c r="FD147" s="40">
        <f t="shared" si="802"/>
        <v>1.5249999999999986E-2</v>
      </c>
      <c r="FE147" s="39">
        <f t="shared" ca="1" si="818"/>
        <v>2.7727272727272701E-2</v>
      </c>
      <c r="FF147" s="43">
        <f t="shared" ca="1" si="806"/>
        <v>1</v>
      </c>
      <c r="FH147" s="987"/>
      <c r="FI147" s="67"/>
      <c r="FJ147" s="58"/>
      <c r="FK147" s="53"/>
      <c r="FQ147" s="67"/>
      <c r="FR147" s="53"/>
      <c r="FS147" s="550">
        <v>12</v>
      </c>
      <c r="FT147" s="58">
        <v>1</v>
      </c>
      <c r="FU147" s="38">
        <v>3</v>
      </c>
      <c r="FV147" s="38">
        <f t="shared" si="825"/>
        <v>1.0007497189607399</v>
      </c>
      <c r="FW147" s="39">
        <f t="shared" si="826"/>
        <v>25.857495950261704</v>
      </c>
      <c r="FX147" s="67"/>
      <c r="GE147" s="144"/>
    </row>
    <row r="148" spans="4:187">
      <c r="D148" s="150">
        <v>13</v>
      </c>
      <c r="E148" s="96">
        <f t="shared" si="821"/>
        <v>1.5</v>
      </c>
      <c r="F148" s="96">
        <f t="shared" si="822"/>
        <v>3</v>
      </c>
      <c r="G148" s="82">
        <f t="shared" si="823"/>
        <v>39</v>
      </c>
      <c r="K148" s="150"/>
      <c r="L148" s="151"/>
      <c r="O148" s="54"/>
      <c r="P148" s="143"/>
      <c r="R148" s="144"/>
      <c r="CC148" s="160"/>
      <c r="CD148" s="165"/>
      <c r="CE148" s="38"/>
      <c r="CO148" s="38"/>
      <c r="CP148" s="154"/>
      <c r="CQ148" s="38"/>
      <c r="CR148" s="38"/>
      <c r="CS148" s="38"/>
      <c r="CT148" s="38"/>
      <c r="CU148" s="38"/>
      <c r="CV148" s="38"/>
      <c r="CY148" s="392"/>
      <c r="CZ148" s="53"/>
      <c r="EA148" s="153"/>
      <c r="ES148" s="214"/>
      <c r="EU148" s="1360">
        <f t="shared" ca="1" si="817"/>
        <v>0</v>
      </c>
      <c r="EV148" s="173">
        <v>40</v>
      </c>
      <c r="EW148" s="1">
        <v>30</v>
      </c>
      <c r="EX148" s="55">
        <v>42095</v>
      </c>
      <c r="EY148" s="55">
        <f t="shared" si="810"/>
        <v>53052.5</v>
      </c>
      <c r="EZ148" s="61">
        <f t="shared" ca="1" si="805"/>
        <v>22</v>
      </c>
      <c r="FA148" s="1" t="s">
        <v>738</v>
      </c>
      <c r="FB148" s="39">
        <v>40.61</v>
      </c>
      <c r="FC148" s="39">
        <f t="shared" si="801"/>
        <v>0.60999999999999943</v>
      </c>
      <c r="FD148" s="40">
        <f t="shared" si="802"/>
        <v>1.5249999999999986E-2</v>
      </c>
      <c r="FE148" s="39">
        <f t="shared" ca="1" si="818"/>
        <v>2.7727272727272701E-2</v>
      </c>
      <c r="FF148" s="43">
        <f t="shared" ca="1" si="806"/>
        <v>1</v>
      </c>
      <c r="FH148" s="987"/>
      <c r="FI148" s="67"/>
      <c r="FJ148" s="58"/>
      <c r="FK148" s="53"/>
      <c r="FQ148" s="67"/>
      <c r="FR148" s="53"/>
      <c r="FS148" s="550">
        <v>12</v>
      </c>
      <c r="FT148" s="58">
        <v>1</v>
      </c>
      <c r="FU148" s="38">
        <v>4</v>
      </c>
      <c r="FV148" s="38">
        <f t="shared" si="825"/>
        <v>1.0009997501665211</v>
      </c>
      <c r="FW148" s="39">
        <f t="shared" si="826"/>
        <v>25.863956287715148</v>
      </c>
      <c r="FX148" s="153"/>
      <c r="GE148" s="144"/>
    </row>
    <row r="149" spans="4:187">
      <c r="D149" s="150">
        <v>14</v>
      </c>
      <c r="E149" s="96">
        <f t="shared" si="821"/>
        <v>1.5</v>
      </c>
      <c r="F149" s="96">
        <f t="shared" si="822"/>
        <v>3</v>
      </c>
      <c r="G149" s="82">
        <f t="shared" si="823"/>
        <v>42</v>
      </c>
      <c r="K149" s="133" t="s">
        <v>1722</v>
      </c>
      <c r="L149" s="151"/>
      <c r="O149" s="54"/>
      <c r="P149" s="143"/>
      <c r="R149" s="73"/>
      <c r="S149" s="38"/>
      <c r="T149" s="43"/>
      <c r="U149" s="38"/>
      <c r="V149" s="58"/>
      <c r="CC149" s="160"/>
      <c r="CD149" s="165"/>
      <c r="CE149" s="38"/>
      <c r="CO149" s="38"/>
      <c r="CP149" s="154"/>
      <c r="CQ149" s="38"/>
      <c r="CR149" s="38"/>
      <c r="CS149" s="38"/>
      <c r="CT149" s="38"/>
      <c r="CU149" s="38"/>
      <c r="CV149" s="38"/>
      <c r="CY149" s="392"/>
      <c r="CZ149" s="53"/>
      <c r="EA149" s="153"/>
      <c r="ES149" s="214"/>
      <c r="EU149" s="1360">
        <f t="shared" ca="1" si="817"/>
        <v>0</v>
      </c>
      <c r="EV149" s="173">
        <v>40</v>
      </c>
      <c r="EW149" s="1">
        <v>30</v>
      </c>
      <c r="EX149" s="55">
        <v>42095</v>
      </c>
      <c r="EY149" s="55">
        <f t="shared" si="810"/>
        <v>53052.5</v>
      </c>
      <c r="EZ149" s="61">
        <f t="shared" ca="1" si="805"/>
        <v>22</v>
      </c>
      <c r="FA149" s="1" t="s">
        <v>739</v>
      </c>
      <c r="FB149" s="39">
        <v>40.61</v>
      </c>
      <c r="FC149" s="39">
        <f t="shared" si="801"/>
        <v>0.60999999999999943</v>
      </c>
      <c r="FD149" s="40">
        <f t="shared" si="802"/>
        <v>1.5249999999999986E-2</v>
      </c>
      <c r="FE149" s="39">
        <f t="shared" ca="1" si="818"/>
        <v>2.7727272727272701E-2</v>
      </c>
      <c r="FF149" s="43">
        <f t="shared" ca="1" si="806"/>
        <v>1</v>
      </c>
      <c r="FH149" s="987"/>
      <c r="FI149" s="67"/>
      <c r="FJ149" s="58"/>
      <c r="FK149" s="53"/>
      <c r="FQ149" s="67"/>
      <c r="FR149" s="53"/>
      <c r="FS149" s="550">
        <v>12</v>
      </c>
      <c r="FT149" s="58">
        <v>1</v>
      </c>
      <c r="FU149" s="38">
        <v>5</v>
      </c>
      <c r="FV149" s="38">
        <f t="shared" si="825"/>
        <v>1.001249843841072</v>
      </c>
      <c r="FW149" s="39">
        <f t="shared" si="826"/>
        <v>25.870418239244447</v>
      </c>
      <c r="FX149" s="153"/>
      <c r="GE149" s="144"/>
    </row>
    <row r="150" spans="4:187" ht="13.5" thickBot="1">
      <c r="D150" s="150">
        <v>15</v>
      </c>
      <c r="E150" s="96">
        <f t="shared" si="821"/>
        <v>1.5</v>
      </c>
      <c r="F150" s="96">
        <f t="shared" si="822"/>
        <v>3</v>
      </c>
      <c r="G150" s="82">
        <f t="shared" si="823"/>
        <v>45</v>
      </c>
      <c r="K150" s="854" t="str">
        <f>IF(K147="normal","long",IF(K147="inverted","short to medium","mainly short"))</f>
        <v>long</v>
      </c>
      <c r="L150" s="377"/>
      <c r="O150" s="54"/>
      <c r="P150" s="143"/>
      <c r="R150" s="73"/>
      <c r="S150" s="38"/>
      <c r="T150" s="43"/>
      <c r="U150" s="38"/>
      <c r="V150" s="58"/>
      <c r="CC150" s="160"/>
      <c r="CD150" s="165"/>
      <c r="CE150" s="38"/>
      <c r="CO150" s="38"/>
      <c r="CP150" s="154"/>
      <c r="CQ150" s="38"/>
      <c r="CR150" s="38"/>
      <c r="CS150" s="38"/>
      <c r="CT150" s="38"/>
      <c r="CU150" s="38"/>
      <c r="CV150" s="38"/>
      <c r="CY150" s="392"/>
      <c r="CZ150" s="53"/>
      <c r="EA150" s="153"/>
      <c r="ES150" s="214"/>
      <c r="EU150" s="1360">
        <f t="shared" ca="1" si="817"/>
        <v>0</v>
      </c>
      <c r="EV150" s="173">
        <v>40</v>
      </c>
      <c r="EW150" s="1">
        <v>30</v>
      </c>
      <c r="EX150" s="55">
        <v>42064</v>
      </c>
      <c r="EY150" s="55">
        <f t="shared" si="810"/>
        <v>53021.5</v>
      </c>
      <c r="EZ150" s="61">
        <f t="shared" ca="1" si="805"/>
        <v>23</v>
      </c>
      <c r="FA150" s="37" t="s">
        <v>731</v>
      </c>
      <c r="FB150" s="39">
        <v>40.619999999999997</v>
      </c>
      <c r="FC150" s="39">
        <f t="shared" si="801"/>
        <v>0.61999999999999744</v>
      </c>
      <c r="FD150" s="40">
        <f>FB150/EV150-1</f>
        <v>1.5499999999999847E-2</v>
      </c>
      <c r="FE150" s="39">
        <f t="shared" ca="1" si="818"/>
        <v>2.6956521739130324E-2</v>
      </c>
      <c r="FF150" s="43">
        <f t="shared" ca="1" si="806"/>
        <v>1</v>
      </c>
      <c r="FH150" s="987"/>
      <c r="FI150" s="67"/>
      <c r="FJ150" s="58"/>
      <c r="FK150" s="53"/>
      <c r="FQ150" s="67"/>
      <c r="FR150" s="53"/>
      <c r="FS150" s="550">
        <v>12</v>
      </c>
      <c r="FT150" s="58">
        <v>1</v>
      </c>
      <c r="FU150" s="38">
        <v>6</v>
      </c>
      <c r="FV150" s="38">
        <f t="shared" si="825"/>
        <v>1.0015000000000001</v>
      </c>
      <c r="FW150" s="39">
        <f t="shared" si="826"/>
        <v>25.876881805252875</v>
      </c>
      <c r="FX150" s="153"/>
      <c r="GE150" s="144"/>
    </row>
    <row r="151" spans="4:187">
      <c r="D151" s="150">
        <v>16</v>
      </c>
      <c r="E151" s="96">
        <f t="shared" si="821"/>
        <v>1.5</v>
      </c>
      <c r="F151" s="96">
        <f t="shared" si="822"/>
        <v>3</v>
      </c>
      <c r="G151" s="82">
        <f t="shared" si="823"/>
        <v>48</v>
      </c>
      <c r="O151" s="54"/>
      <c r="P151" s="54"/>
      <c r="Q151" s="38"/>
      <c r="R151" s="73"/>
      <c r="S151" s="38"/>
      <c r="T151" s="43"/>
      <c r="U151" s="38"/>
      <c r="V151" s="58"/>
      <c r="CC151" s="160"/>
      <c r="CD151" s="165"/>
      <c r="CE151" s="38"/>
      <c r="CO151" s="38"/>
      <c r="CP151" s="154"/>
      <c r="CQ151" s="38"/>
      <c r="CR151" s="38"/>
      <c r="CS151" s="38"/>
      <c r="CT151" s="38"/>
      <c r="CU151" s="38"/>
      <c r="CV151" s="38"/>
      <c r="CY151" s="392"/>
      <c r="CZ151" s="53"/>
      <c r="EA151" s="153"/>
      <c r="ES151" s="214"/>
      <c r="EU151" s="1360">
        <f t="shared" ca="1" si="817"/>
        <v>0</v>
      </c>
      <c r="EV151" s="173">
        <v>40</v>
      </c>
      <c r="EW151" s="1">
        <v>30</v>
      </c>
      <c r="EX151" s="55">
        <v>42064</v>
      </c>
      <c r="EY151" s="55">
        <f t="shared" si="810"/>
        <v>53021.5</v>
      </c>
      <c r="EZ151" s="61">
        <f t="shared" ca="1" si="805"/>
        <v>23</v>
      </c>
      <c r="FA151" s="37" t="s">
        <v>732</v>
      </c>
      <c r="FB151" s="39">
        <v>40.619999999999997</v>
      </c>
      <c r="FC151" s="39">
        <f t="shared" si="801"/>
        <v>0.61999999999999744</v>
      </c>
      <c r="FD151" s="40">
        <f t="shared" si="802"/>
        <v>1.5499999999999847E-2</v>
      </c>
      <c r="FE151" s="39">
        <f t="shared" ca="1" si="818"/>
        <v>2.6956521739130324E-2</v>
      </c>
      <c r="FF151" s="43">
        <f t="shared" ca="1" si="806"/>
        <v>1</v>
      </c>
      <c r="FH151" s="987"/>
      <c r="FI151" s="67"/>
      <c r="FJ151" s="58"/>
      <c r="FK151" s="53"/>
      <c r="FQ151" s="67"/>
      <c r="FR151" s="53"/>
      <c r="FS151" s="550">
        <v>12</v>
      </c>
      <c r="FT151" s="58">
        <v>2</v>
      </c>
      <c r="FU151" s="38">
        <v>1</v>
      </c>
      <c r="FV151" s="38">
        <f t="shared" si="825"/>
        <v>1.0002498438930771</v>
      </c>
      <c r="FW151" s="39">
        <f>$FW$150*FV151</f>
        <v>25.883346986143795</v>
      </c>
      <c r="FX151" s="153"/>
      <c r="GE151" s="144"/>
    </row>
    <row r="152" spans="4:187">
      <c r="D152" s="150">
        <v>17</v>
      </c>
      <c r="E152" s="96">
        <f t="shared" si="821"/>
        <v>1.5</v>
      </c>
      <c r="F152" s="96">
        <f t="shared" si="822"/>
        <v>3</v>
      </c>
      <c r="G152" s="82">
        <f t="shared" si="823"/>
        <v>51</v>
      </c>
      <c r="M152" s="54"/>
      <c r="O152" s="54"/>
      <c r="P152" s="54"/>
      <c r="Q152" s="38"/>
      <c r="R152" s="73"/>
      <c r="S152" s="38"/>
      <c r="T152" s="43"/>
      <c r="U152" s="38"/>
      <c r="V152" s="58"/>
      <c r="CC152" s="160"/>
      <c r="CD152" s="165"/>
      <c r="CE152" s="38"/>
      <c r="CO152" s="38"/>
      <c r="CP152" s="154"/>
      <c r="CQ152" s="38"/>
      <c r="CR152" s="38"/>
      <c r="CS152" s="38"/>
      <c r="CT152" s="38"/>
      <c r="CU152" s="38"/>
      <c r="CV152" s="38"/>
      <c r="EA152" s="153"/>
      <c r="ES152" s="214"/>
      <c r="EU152" s="1360">
        <f t="shared" ca="1" si="817"/>
        <v>0</v>
      </c>
      <c r="EV152" s="173">
        <v>40</v>
      </c>
      <c r="EW152" s="1">
        <v>30</v>
      </c>
      <c r="EX152" s="55">
        <v>42064</v>
      </c>
      <c r="EY152" s="55">
        <f t="shared" si="810"/>
        <v>53021.5</v>
      </c>
      <c r="EZ152" s="61">
        <f t="shared" ca="1" si="805"/>
        <v>23</v>
      </c>
      <c r="FA152" s="37" t="s">
        <v>733</v>
      </c>
      <c r="FB152" s="39">
        <v>40.619999999999997</v>
      </c>
      <c r="FC152" s="39">
        <f t="shared" si="801"/>
        <v>0.61999999999999744</v>
      </c>
      <c r="FD152" s="40">
        <f t="shared" si="802"/>
        <v>1.5499999999999847E-2</v>
      </c>
      <c r="FE152" s="39">
        <f t="shared" ca="1" si="818"/>
        <v>2.6956521739130324E-2</v>
      </c>
      <c r="FF152" s="43">
        <f t="shared" ca="1" si="806"/>
        <v>1</v>
      </c>
      <c r="FH152" s="987"/>
      <c r="FI152" s="67"/>
      <c r="FJ152" s="58"/>
      <c r="FK152" s="53"/>
      <c r="FQ152" s="67"/>
      <c r="FR152" s="53"/>
      <c r="FS152" s="550">
        <v>12</v>
      </c>
      <c r="FT152" s="58">
        <v>2</v>
      </c>
      <c r="FU152" s="38">
        <v>2</v>
      </c>
      <c r="FV152" s="38">
        <f t="shared" si="825"/>
        <v>1.0004997502081252</v>
      </c>
      <c r="FW152" s="39">
        <f t="shared" ref="FW152:FW156" si="827">$FW$150*FV152</f>
        <v>25.889813782320683</v>
      </c>
      <c r="FX152" s="153"/>
      <c r="GE152" s="144"/>
    </row>
    <row r="153" spans="4:187">
      <c r="D153" s="150">
        <v>18</v>
      </c>
      <c r="E153" s="96">
        <f t="shared" si="821"/>
        <v>1.5</v>
      </c>
      <c r="F153" s="96">
        <f t="shared" si="822"/>
        <v>3</v>
      </c>
      <c r="G153" s="82">
        <f t="shared" si="823"/>
        <v>54</v>
      </c>
      <c r="O153" s="54"/>
      <c r="P153" s="54"/>
      <c r="Q153" s="38"/>
      <c r="R153" s="73"/>
      <c r="S153" s="38"/>
      <c r="T153" s="43"/>
      <c r="U153" s="38"/>
      <c r="V153" s="58"/>
      <c r="CC153" s="160"/>
      <c r="CD153" s="165"/>
      <c r="CE153" s="38"/>
      <c r="CO153" s="38"/>
      <c r="CP153" s="154"/>
      <c r="CQ153" s="38"/>
      <c r="CR153" s="38"/>
      <c r="CS153" s="38"/>
      <c r="CT153" s="38"/>
      <c r="CU153" s="38"/>
      <c r="CV153" s="38"/>
      <c r="EA153" s="153"/>
      <c r="ES153" s="214"/>
      <c r="EU153" s="1360">
        <f t="shared" ca="1" si="817"/>
        <v>0</v>
      </c>
      <c r="EV153" s="173">
        <v>40</v>
      </c>
      <c r="EW153" s="1">
        <v>30</v>
      </c>
      <c r="EX153" s="55">
        <v>42064</v>
      </c>
      <c r="EY153" s="55">
        <f t="shared" si="810"/>
        <v>53021.5</v>
      </c>
      <c r="EZ153" s="61">
        <f t="shared" ca="1" si="805"/>
        <v>23</v>
      </c>
      <c r="FA153" s="37" t="s">
        <v>734</v>
      </c>
      <c r="FB153" s="39">
        <v>40.619999999999997</v>
      </c>
      <c r="FC153" s="39">
        <f t="shared" si="801"/>
        <v>0.61999999999999744</v>
      </c>
      <c r="FD153" s="40">
        <f t="shared" si="802"/>
        <v>1.5499999999999847E-2</v>
      </c>
      <c r="FE153" s="39">
        <f t="shared" ca="1" si="818"/>
        <v>2.6956521739130324E-2</v>
      </c>
      <c r="FF153" s="43">
        <f t="shared" ca="1" si="806"/>
        <v>1</v>
      </c>
      <c r="FH153" s="987"/>
      <c r="FI153" s="67"/>
      <c r="FJ153" s="58"/>
      <c r="FK153" s="53"/>
      <c r="FQ153" s="67"/>
      <c r="FR153" s="53"/>
      <c r="FS153" s="550">
        <v>12</v>
      </c>
      <c r="FT153" s="58">
        <v>2</v>
      </c>
      <c r="FU153" s="38">
        <v>3</v>
      </c>
      <c r="FV153" s="38">
        <f t="shared" si="825"/>
        <v>1.0007497189607399</v>
      </c>
      <c r="FW153" s="39">
        <f t="shared" si="827"/>
        <v>25.896282194187101</v>
      </c>
      <c r="FX153" s="153"/>
      <c r="GE153" s="144"/>
    </row>
    <row r="154" spans="4:187">
      <c r="D154" s="150">
        <v>19</v>
      </c>
      <c r="E154" s="96">
        <f t="shared" si="821"/>
        <v>1.5</v>
      </c>
      <c r="F154" s="96">
        <f t="shared" si="822"/>
        <v>3</v>
      </c>
      <c r="G154" s="82">
        <f t="shared" si="823"/>
        <v>57</v>
      </c>
      <c r="O154" s="54"/>
      <c r="P154" s="54"/>
      <c r="Q154" s="38"/>
      <c r="R154" s="73"/>
      <c r="S154" s="38"/>
      <c r="T154" s="43"/>
      <c r="U154" s="38"/>
      <c r="V154" s="58"/>
      <c r="CC154" s="160"/>
      <c r="CD154" s="165"/>
      <c r="CE154" s="38"/>
      <c r="EA154" s="153"/>
      <c r="ES154" s="214"/>
      <c r="EU154" s="1360">
        <f t="shared" ca="1" si="817"/>
        <v>0</v>
      </c>
      <c r="EV154" s="173">
        <v>40</v>
      </c>
      <c r="EW154" s="1">
        <v>30</v>
      </c>
      <c r="EX154" s="55">
        <v>42036</v>
      </c>
      <c r="EY154" s="55">
        <f t="shared" si="810"/>
        <v>52993.5</v>
      </c>
      <c r="EZ154" s="61">
        <f t="shared" ca="1" si="805"/>
        <v>24</v>
      </c>
      <c r="FA154" s="37" t="s">
        <v>727</v>
      </c>
      <c r="FB154" s="39">
        <v>40.619999999999997</v>
      </c>
      <c r="FC154" s="39">
        <f t="shared" si="801"/>
        <v>0.61999999999999744</v>
      </c>
      <c r="FD154" s="40">
        <f t="shared" si="802"/>
        <v>1.5499999999999847E-2</v>
      </c>
      <c r="FE154" s="39">
        <f t="shared" ca="1" si="818"/>
        <v>2.5833333333333226E-2</v>
      </c>
      <c r="FF154" s="43">
        <f t="shared" ca="1" si="806"/>
        <v>1</v>
      </c>
      <c r="FH154" s="987"/>
      <c r="FI154" s="67"/>
      <c r="FJ154" s="58"/>
      <c r="FK154" s="53"/>
      <c r="FQ154" s="67"/>
      <c r="FR154" s="53"/>
      <c r="FS154" s="550">
        <v>12</v>
      </c>
      <c r="FT154" s="58">
        <v>2</v>
      </c>
      <c r="FU154" s="38">
        <v>4</v>
      </c>
      <c r="FV154" s="38">
        <f t="shared" si="825"/>
        <v>1.0009997501665211</v>
      </c>
      <c r="FW154" s="39">
        <f t="shared" si="827"/>
        <v>25.902752222146724</v>
      </c>
      <c r="FX154" s="153"/>
      <c r="GE154" s="144"/>
    </row>
    <row r="155" spans="4:187">
      <c r="D155" s="150">
        <v>20</v>
      </c>
      <c r="E155" s="96">
        <f t="shared" si="821"/>
        <v>1.5</v>
      </c>
      <c r="F155" s="96">
        <f t="shared" si="822"/>
        <v>3</v>
      </c>
      <c r="G155" s="82">
        <f t="shared" si="823"/>
        <v>60</v>
      </c>
      <c r="O155" s="54"/>
      <c r="P155" s="54"/>
      <c r="Q155" s="38"/>
      <c r="R155" s="73"/>
      <c r="S155" s="38"/>
      <c r="T155" s="43"/>
      <c r="U155" s="38"/>
      <c r="V155" s="58"/>
      <c r="CC155" s="160"/>
      <c r="CD155" s="165"/>
      <c r="CE155" s="38"/>
      <c r="EA155" s="153"/>
      <c r="ES155" s="214"/>
      <c r="EU155" s="1360">
        <f t="shared" ca="1" si="817"/>
        <v>0</v>
      </c>
      <c r="EV155" s="173">
        <v>40</v>
      </c>
      <c r="EW155" s="1">
        <v>30</v>
      </c>
      <c r="EX155" s="55">
        <v>42036</v>
      </c>
      <c r="EY155" s="55">
        <f t="shared" si="810"/>
        <v>52993.5</v>
      </c>
      <c r="EZ155" s="61">
        <f t="shared" ca="1" si="805"/>
        <v>24</v>
      </c>
      <c r="FA155" s="37" t="s">
        <v>728</v>
      </c>
      <c r="FB155" s="39">
        <v>40.619999999999997</v>
      </c>
      <c r="FC155" s="39">
        <f t="shared" si="801"/>
        <v>0.61999999999999744</v>
      </c>
      <c r="FD155" s="40">
        <f t="shared" si="802"/>
        <v>1.5499999999999847E-2</v>
      </c>
      <c r="FE155" s="39">
        <f t="shared" ca="1" si="818"/>
        <v>2.5833333333333226E-2</v>
      </c>
      <c r="FF155" s="43">
        <f t="shared" ca="1" si="806"/>
        <v>1</v>
      </c>
      <c r="FH155" s="987"/>
      <c r="FI155" s="67"/>
      <c r="FJ155" s="58"/>
      <c r="FK155" s="53"/>
      <c r="FQ155" s="67"/>
      <c r="FR155" s="53"/>
      <c r="FS155" s="550">
        <v>12</v>
      </c>
      <c r="FT155" s="58">
        <v>2</v>
      </c>
      <c r="FU155" s="38">
        <v>5</v>
      </c>
      <c r="FV155" s="38">
        <f t="shared" si="825"/>
        <v>1.001249843841072</v>
      </c>
      <c r="FW155" s="39">
        <f t="shared" si="827"/>
        <v>25.909223866603316</v>
      </c>
      <c r="FX155" s="153"/>
      <c r="GE155" s="144"/>
    </row>
    <row r="156" spans="4:187">
      <c r="D156" s="150">
        <v>21</v>
      </c>
      <c r="E156" s="96">
        <f t="shared" si="821"/>
        <v>1.5</v>
      </c>
      <c r="F156" s="96">
        <f t="shared" si="822"/>
        <v>3</v>
      </c>
      <c r="G156" s="82">
        <f t="shared" si="823"/>
        <v>63</v>
      </c>
      <c r="O156" s="54"/>
      <c r="P156" s="54"/>
      <c r="Q156" s="38"/>
      <c r="R156" s="73"/>
      <c r="S156" s="38"/>
      <c r="T156" s="43"/>
      <c r="U156" s="38"/>
      <c r="V156" s="58"/>
      <c r="CC156" s="160"/>
      <c r="CD156" s="165"/>
      <c r="CE156" s="38"/>
      <c r="EA156" s="153"/>
      <c r="ES156" s="214"/>
      <c r="EU156" s="1360">
        <f t="shared" ca="1" si="817"/>
        <v>0</v>
      </c>
      <c r="EV156" s="173">
        <v>40</v>
      </c>
      <c r="EW156" s="1">
        <v>30</v>
      </c>
      <c r="EX156" s="55">
        <v>42036</v>
      </c>
      <c r="EY156" s="55">
        <f t="shared" si="810"/>
        <v>52993.5</v>
      </c>
      <c r="EZ156" s="61">
        <f t="shared" ca="1" si="805"/>
        <v>24</v>
      </c>
      <c r="FA156" s="37" t="s">
        <v>729</v>
      </c>
      <c r="FB156" s="39">
        <v>40.619999999999997</v>
      </c>
      <c r="FC156" s="39">
        <f t="shared" si="801"/>
        <v>0.61999999999999744</v>
      </c>
      <c r="FD156" s="40">
        <f t="shared" si="802"/>
        <v>1.5499999999999847E-2</v>
      </c>
      <c r="FE156" s="39">
        <f t="shared" ca="1" si="818"/>
        <v>2.5833333333333226E-2</v>
      </c>
      <c r="FF156" s="43">
        <f t="shared" ca="1" si="806"/>
        <v>1</v>
      </c>
      <c r="FH156" s="987"/>
      <c r="FI156" s="67"/>
      <c r="FJ156" s="58"/>
      <c r="FK156" s="53"/>
      <c r="FQ156" s="67"/>
      <c r="FR156" s="53"/>
      <c r="FS156" s="550">
        <v>12</v>
      </c>
      <c r="FT156" s="58">
        <v>2</v>
      </c>
      <c r="FU156" s="38">
        <v>6</v>
      </c>
      <c r="FV156" s="38">
        <f t="shared" si="825"/>
        <v>1.0015000000000001</v>
      </c>
      <c r="FW156" s="39">
        <f t="shared" si="827"/>
        <v>25.915697127960755</v>
      </c>
      <c r="FX156" s="153"/>
      <c r="GE156" s="144"/>
    </row>
    <row r="157" spans="4:187">
      <c r="D157" s="150">
        <v>22</v>
      </c>
      <c r="E157" s="96">
        <f t="shared" si="821"/>
        <v>1.5</v>
      </c>
      <c r="F157" s="96">
        <f t="shared" si="822"/>
        <v>3</v>
      </c>
      <c r="G157" s="82">
        <f t="shared" si="823"/>
        <v>66</v>
      </c>
      <c r="O157" s="54"/>
      <c r="P157" s="54"/>
      <c r="Q157" s="38"/>
      <c r="R157" s="73"/>
      <c r="S157" s="38"/>
      <c r="T157" s="43"/>
      <c r="U157" s="38"/>
      <c r="V157" s="58"/>
      <c r="CC157" s="160"/>
      <c r="CD157" s="165"/>
      <c r="CE157" s="38"/>
      <c r="EA157" s="153"/>
      <c r="ES157" s="214"/>
      <c r="EU157" s="1360">
        <f t="shared" ca="1" si="817"/>
        <v>0</v>
      </c>
      <c r="EV157" s="173">
        <v>40</v>
      </c>
      <c r="EW157" s="1">
        <v>30</v>
      </c>
      <c r="EX157" s="55">
        <v>42036</v>
      </c>
      <c r="EY157" s="55">
        <f t="shared" si="810"/>
        <v>52993.5</v>
      </c>
      <c r="EZ157" s="61">
        <f t="shared" ca="1" si="805"/>
        <v>24</v>
      </c>
      <c r="FA157" s="37" t="s">
        <v>730</v>
      </c>
      <c r="FB157" s="39">
        <v>40.619999999999997</v>
      </c>
      <c r="FC157" s="39">
        <f t="shared" si="801"/>
        <v>0.61999999999999744</v>
      </c>
      <c r="FD157" s="40">
        <f t="shared" si="802"/>
        <v>1.5499999999999847E-2</v>
      </c>
      <c r="FE157" s="39">
        <f t="shared" ca="1" si="818"/>
        <v>2.5833333333333226E-2</v>
      </c>
      <c r="FF157" s="43">
        <f t="shared" ca="1" si="806"/>
        <v>1</v>
      </c>
      <c r="FH157" s="987"/>
      <c r="FI157" s="67"/>
      <c r="FJ157" s="58"/>
      <c r="FK157" s="53"/>
      <c r="FQ157" s="67"/>
      <c r="FR157" s="53"/>
      <c r="FX157" s="153"/>
      <c r="GE157" s="144"/>
    </row>
    <row r="158" spans="4:187">
      <c r="D158" s="150">
        <v>23</v>
      </c>
      <c r="E158" s="96">
        <f t="shared" si="821"/>
        <v>1.5</v>
      </c>
      <c r="F158" s="96">
        <f t="shared" si="822"/>
        <v>3</v>
      </c>
      <c r="G158" s="82">
        <f t="shared" si="823"/>
        <v>69</v>
      </c>
      <c r="O158" s="54"/>
      <c r="P158" s="38"/>
      <c r="Q158" s="38"/>
      <c r="R158" s="38"/>
      <c r="S158" s="38"/>
      <c r="T158" s="43"/>
      <c r="U158" s="38"/>
      <c r="V158" s="58"/>
      <c r="CC158" s="160"/>
      <c r="CD158" s="165"/>
      <c r="CE158" s="38"/>
      <c r="EA158" s="153"/>
      <c r="ES158" s="214"/>
      <c r="EU158" s="1360">
        <f t="shared" ca="1" si="817"/>
        <v>0</v>
      </c>
      <c r="EV158" s="173">
        <v>40</v>
      </c>
      <c r="EW158" s="1">
        <v>30</v>
      </c>
      <c r="EX158" s="55">
        <v>42005</v>
      </c>
      <c r="EY158" s="55">
        <f t="shared" si="810"/>
        <v>52962.5</v>
      </c>
      <c r="EZ158" s="61">
        <f t="shared" ca="1" si="805"/>
        <v>25</v>
      </c>
      <c r="FA158" s="39" t="s">
        <v>722</v>
      </c>
      <c r="FB158" s="39">
        <v>40.619999999999997</v>
      </c>
      <c r="FC158" s="39">
        <f t="shared" si="801"/>
        <v>0.61999999999999744</v>
      </c>
      <c r="FD158" s="40">
        <f t="shared" si="802"/>
        <v>1.5499999999999847E-2</v>
      </c>
      <c r="FE158" s="39">
        <f t="shared" ca="1" si="818"/>
        <v>2.4799999999999899E-2</v>
      </c>
      <c r="FF158" s="43">
        <f t="shared" ca="1" si="806"/>
        <v>1</v>
      </c>
      <c r="FH158" s="987"/>
      <c r="FI158" s="67"/>
      <c r="FJ158" s="58"/>
      <c r="FK158" s="53"/>
      <c r="FQ158" s="67"/>
      <c r="FR158" s="53"/>
      <c r="FS158" s="550">
        <v>13</v>
      </c>
      <c r="FT158" s="58">
        <v>1</v>
      </c>
      <c r="FU158" s="38">
        <v>1</v>
      </c>
      <c r="FV158" s="38">
        <f t="shared" ref="FV158:FV169" si="828">(1+$FY$2/2)^(FU158/6)</f>
        <v>1.0002498438930771</v>
      </c>
      <c r="FW158" s="39">
        <f>$FW$156*FV158</f>
        <v>25.922172006623011</v>
      </c>
      <c r="FX158" s="153"/>
      <c r="GE158" s="144"/>
    </row>
    <row r="159" spans="4:187">
      <c r="D159" s="150">
        <v>24</v>
      </c>
      <c r="E159" s="96">
        <f t="shared" si="821"/>
        <v>1.5</v>
      </c>
      <c r="F159" s="96">
        <f t="shared" si="822"/>
        <v>3</v>
      </c>
      <c r="G159" s="82">
        <f t="shared" si="823"/>
        <v>72</v>
      </c>
      <c r="O159" s="54"/>
      <c r="P159" s="38"/>
      <c r="Q159" s="38"/>
      <c r="R159" s="38"/>
      <c r="S159" s="38"/>
      <c r="T159" s="43"/>
      <c r="U159" s="38"/>
      <c r="V159" s="58"/>
      <c r="CC159" s="160"/>
      <c r="CD159" s="165"/>
      <c r="CE159" s="38"/>
      <c r="EA159" s="153"/>
      <c r="ES159" s="214"/>
      <c r="EU159" s="1360">
        <f t="shared" ca="1" si="817"/>
        <v>0</v>
      </c>
      <c r="EV159" s="173">
        <v>40</v>
      </c>
      <c r="EW159" s="1">
        <v>30</v>
      </c>
      <c r="EX159" s="55">
        <v>42005</v>
      </c>
      <c r="EY159" s="55">
        <f t="shared" si="810"/>
        <v>52962.5</v>
      </c>
      <c r="EZ159" s="61">
        <f t="shared" ca="1" si="805"/>
        <v>25</v>
      </c>
      <c r="FA159" s="39" t="s">
        <v>723</v>
      </c>
      <c r="FB159" s="39">
        <v>40.619999999999997</v>
      </c>
      <c r="FC159" s="39">
        <f t="shared" si="801"/>
        <v>0.61999999999999744</v>
      </c>
      <c r="FD159" s="40">
        <f t="shared" si="802"/>
        <v>1.5499999999999847E-2</v>
      </c>
      <c r="FE159" s="39">
        <f t="shared" ca="1" si="818"/>
        <v>2.4799999999999899E-2</v>
      </c>
      <c r="FF159" s="43">
        <f t="shared" ca="1" si="806"/>
        <v>1</v>
      </c>
      <c r="FH159" s="987"/>
      <c r="FI159" s="67"/>
      <c r="FJ159" s="58"/>
      <c r="FK159" s="53"/>
      <c r="FQ159" s="67"/>
      <c r="FR159" s="53"/>
      <c r="FS159" s="550">
        <v>13</v>
      </c>
      <c r="FT159" s="58">
        <v>1</v>
      </c>
      <c r="FU159" s="38">
        <v>2</v>
      </c>
      <c r="FV159" s="38">
        <f t="shared" si="828"/>
        <v>1.0004997502081252</v>
      </c>
      <c r="FW159" s="39">
        <f t="shared" ref="FW159:FW163" si="829">$FW$156*FV159</f>
        <v>25.928648502994164</v>
      </c>
      <c r="FX159" s="67"/>
      <c r="GE159" s="144"/>
    </row>
    <row r="160" spans="4:187">
      <c r="D160" s="150">
        <v>25</v>
      </c>
      <c r="E160" s="96">
        <f t="shared" si="821"/>
        <v>1.5</v>
      </c>
      <c r="F160" s="96">
        <f t="shared" si="822"/>
        <v>3</v>
      </c>
      <c r="G160" s="82">
        <f t="shared" si="823"/>
        <v>75</v>
      </c>
      <c r="O160" s="54"/>
      <c r="P160" s="38"/>
      <c r="Q160" s="38"/>
      <c r="R160" s="38"/>
      <c r="S160" s="38"/>
      <c r="T160" s="43"/>
      <c r="U160" s="38"/>
      <c r="V160" s="58"/>
      <c r="CC160" s="160"/>
      <c r="CD160" s="165"/>
      <c r="CE160" s="38"/>
      <c r="EA160" s="153"/>
      <c r="ES160" s="214"/>
      <c r="EU160" s="1360">
        <f t="shared" ca="1" si="817"/>
        <v>0</v>
      </c>
      <c r="EV160" s="173">
        <v>40</v>
      </c>
      <c r="EW160" s="1">
        <v>30</v>
      </c>
      <c r="EX160" s="55">
        <v>42005</v>
      </c>
      <c r="EY160" s="55">
        <f t="shared" si="810"/>
        <v>52962.5</v>
      </c>
      <c r="EZ160" s="61">
        <f t="shared" ca="1" si="805"/>
        <v>25</v>
      </c>
      <c r="FA160" s="39" t="s">
        <v>724</v>
      </c>
      <c r="FB160" s="39">
        <v>40.619999999999997</v>
      </c>
      <c r="FC160" s="39">
        <f t="shared" si="801"/>
        <v>0.61999999999999744</v>
      </c>
      <c r="FD160" s="40">
        <f t="shared" si="802"/>
        <v>1.5499999999999847E-2</v>
      </c>
      <c r="FE160" s="39">
        <f t="shared" ca="1" si="818"/>
        <v>2.4799999999999899E-2</v>
      </c>
      <c r="FF160" s="43">
        <f t="shared" ca="1" si="806"/>
        <v>1</v>
      </c>
      <c r="FH160" s="987"/>
      <c r="FI160" s="67"/>
      <c r="FJ160" s="58"/>
      <c r="FK160" s="53"/>
      <c r="FQ160" s="67"/>
      <c r="FR160" s="53"/>
      <c r="FS160" s="550">
        <v>13</v>
      </c>
      <c r="FT160" s="58">
        <v>1</v>
      </c>
      <c r="FU160" s="38">
        <v>3</v>
      </c>
      <c r="FV160" s="38">
        <f t="shared" si="828"/>
        <v>1.0007497189607399</v>
      </c>
      <c r="FW160" s="39">
        <f t="shared" si="829"/>
        <v>25.935126617478382</v>
      </c>
      <c r="FX160" s="153"/>
      <c r="GE160" s="144"/>
    </row>
    <row r="161" spans="3:187">
      <c r="D161" s="150">
        <v>26</v>
      </c>
      <c r="E161" s="96">
        <f t="shared" si="821"/>
        <v>1.5</v>
      </c>
      <c r="F161" s="96">
        <f t="shared" si="822"/>
        <v>3</v>
      </c>
      <c r="G161" s="82">
        <f t="shared" si="823"/>
        <v>78</v>
      </c>
      <c r="O161" s="54"/>
      <c r="P161" s="38"/>
      <c r="Q161" s="38"/>
      <c r="R161" s="38"/>
      <c r="S161" s="38"/>
      <c r="T161" s="43"/>
      <c r="U161" s="38"/>
      <c r="V161" s="58"/>
      <c r="CC161" s="160"/>
      <c r="CD161" s="165"/>
      <c r="CE161" s="38"/>
      <c r="EA161" s="153"/>
      <c r="ES161" s="214"/>
      <c r="EU161" s="1360">
        <f t="shared" ca="1" si="817"/>
        <v>0</v>
      </c>
      <c r="EV161" s="173">
        <v>40</v>
      </c>
      <c r="EW161" s="1">
        <v>30</v>
      </c>
      <c r="EX161" s="55">
        <v>42005</v>
      </c>
      <c r="EY161" s="55">
        <f t="shared" si="810"/>
        <v>52962.5</v>
      </c>
      <c r="EZ161" s="61">
        <f t="shared" ca="1" si="805"/>
        <v>25</v>
      </c>
      <c r="FA161" s="39" t="s">
        <v>725</v>
      </c>
      <c r="FB161" s="39">
        <v>40.619999999999997</v>
      </c>
      <c r="FC161" s="39">
        <f t="shared" si="801"/>
        <v>0.61999999999999744</v>
      </c>
      <c r="FD161" s="40">
        <f t="shared" si="802"/>
        <v>1.5499999999999847E-2</v>
      </c>
      <c r="FE161" s="39">
        <f t="shared" ca="1" si="818"/>
        <v>2.4799999999999899E-2</v>
      </c>
      <c r="FF161" s="43">
        <f t="shared" ca="1" si="806"/>
        <v>1</v>
      </c>
      <c r="FH161" s="987"/>
      <c r="FI161" s="67"/>
      <c r="FJ161" s="58"/>
      <c r="FK161" s="53"/>
      <c r="FQ161" s="67"/>
      <c r="FR161" s="53"/>
      <c r="FS161" s="550">
        <v>13</v>
      </c>
      <c r="FT161" s="58">
        <v>1</v>
      </c>
      <c r="FU161" s="38">
        <v>4</v>
      </c>
      <c r="FV161" s="38">
        <f t="shared" si="828"/>
        <v>1.0009997501665211</v>
      </c>
      <c r="FW161" s="39">
        <f t="shared" si="829"/>
        <v>25.941606350479944</v>
      </c>
      <c r="FX161" s="153"/>
      <c r="GE161" s="144"/>
    </row>
    <row r="162" spans="3:187">
      <c r="D162" s="150">
        <v>27</v>
      </c>
      <c r="E162" s="96">
        <f t="shared" si="821"/>
        <v>1.5</v>
      </c>
      <c r="F162" s="96">
        <f t="shared" si="822"/>
        <v>3</v>
      </c>
      <c r="G162" s="82">
        <f t="shared" si="823"/>
        <v>81</v>
      </c>
      <c r="O162" s="54"/>
      <c r="P162" s="38"/>
      <c r="Q162" s="38"/>
      <c r="R162" s="38"/>
      <c r="S162" s="38"/>
      <c r="T162" s="43"/>
      <c r="U162" s="38"/>
      <c r="V162" s="58"/>
      <c r="CC162" s="160"/>
      <c r="CD162" s="165"/>
      <c r="CE162" s="38"/>
      <c r="EA162" s="153"/>
      <c r="ED162" s="53"/>
      <c r="EE162" s="38"/>
      <c r="EF162" s="38"/>
      <c r="EJ162" s="53"/>
      <c r="EL162" s="38"/>
      <c r="EN162" s="53"/>
      <c r="EO162" s="53"/>
      <c r="ES162" s="214"/>
      <c r="EU162" s="1360">
        <f t="shared" ca="1" si="817"/>
        <v>0</v>
      </c>
      <c r="EV162" s="173">
        <v>40</v>
      </c>
      <c r="EW162" s="1">
        <v>30</v>
      </c>
      <c r="EX162" s="55">
        <v>42005</v>
      </c>
      <c r="EY162" s="55">
        <f t="shared" si="810"/>
        <v>52962.5</v>
      </c>
      <c r="EZ162" s="61">
        <f t="shared" ca="1" si="805"/>
        <v>25</v>
      </c>
      <c r="FA162" s="39" t="s">
        <v>726</v>
      </c>
      <c r="FB162" s="39">
        <v>40.619999999999997</v>
      </c>
      <c r="FC162" s="39">
        <f t="shared" si="801"/>
        <v>0.61999999999999744</v>
      </c>
      <c r="FD162" s="40">
        <f t="shared" si="802"/>
        <v>1.5499999999999847E-2</v>
      </c>
      <c r="FE162" s="39">
        <f t="shared" ca="1" si="818"/>
        <v>2.4799999999999899E-2</v>
      </c>
      <c r="FF162" s="43">
        <f t="shared" ca="1" si="806"/>
        <v>1</v>
      </c>
      <c r="FH162" s="987"/>
      <c r="FI162" s="67"/>
      <c r="FJ162" s="58"/>
      <c r="FK162" s="53"/>
      <c r="FQ162" s="67"/>
      <c r="FR162" s="53"/>
      <c r="FS162" s="550">
        <v>13</v>
      </c>
      <c r="FT162" s="58">
        <v>1</v>
      </c>
      <c r="FU162" s="38">
        <v>5</v>
      </c>
      <c r="FV162" s="38">
        <f t="shared" si="828"/>
        <v>1.001249843841072</v>
      </c>
      <c r="FW162" s="39">
        <f t="shared" si="829"/>
        <v>25.948087702403221</v>
      </c>
      <c r="FX162" s="153"/>
      <c r="GE162" s="144"/>
    </row>
    <row r="163" spans="3:187">
      <c r="D163" s="150">
        <v>28</v>
      </c>
      <c r="E163" s="96">
        <f t="shared" si="821"/>
        <v>1.5</v>
      </c>
      <c r="F163" s="96">
        <f t="shared" si="822"/>
        <v>3</v>
      </c>
      <c r="G163" s="82">
        <f t="shared" si="823"/>
        <v>84</v>
      </c>
      <c r="O163" s="54"/>
      <c r="P163" s="38"/>
      <c r="Q163" s="38"/>
      <c r="R163" s="38"/>
      <c r="S163" s="38"/>
      <c r="T163" s="43"/>
      <c r="U163" s="38"/>
      <c r="V163" s="58"/>
      <c r="CC163" s="160"/>
      <c r="CD163" s="165"/>
      <c r="CE163" s="38"/>
      <c r="EA163" s="153"/>
      <c r="ED163" s="53"/>
      <c r="EE163" s="38"/>
      <c r="EF163" s="38"/>
      <c r="EJ163" s="53"/>
      <c r="EL163" s="38"/>
      <c r="EN163" s="53"/>
      <c r="EO163" s="53"/>
      <c r="ES163" s="214"/>
      <c r="EU163" s="1360">
        <f t="shared" ca="1" si="817"/>
        <v>0</v>
      </c>
      <c r="EV163" s="173">
        <v>35</v>
      </c>
      <c r="EW163" s="1">
        <v>30</v>
      </c>
      <c r="EX163" s="55">
        <v>41974</v>
      </c>
      <c r="EY163" s="55">
        <f t="shared" si="810"/>
        <v>52931.5</v>
      </c>
      <c r="EZ163" s="61">
        <f t="shared" ca="1" si="805"/>
        <v>26</v>
      </c>
      <c r="FA163" s="37" t="s">
        <v>786</v>
      </c>
      <c r="FB163" s="39">
        <v>35.56</v>
      </c>
      <c r="FC163" s="39">
        <f t="shared" ref="FC163:FC218" si="830">FB163-EV163</f>
        <v>0.56000000000000227</v>
      </c>
      <c r="FD163" s="40">
        <f t="shared" ref="FD163:FD218" si="831">FB163/EV163-1</f>
        <v>1.6000000000000014E-2</v>
      </c>
      <c r="FE163" s="39">
        <f t="shared" ca="1" si="818"/>
        <v>2.1538461538461624E-2</v>
      </c>
      <c r="FF163" s="43">
        <f t="shared" ca="1" si="806"/>
        <v>1</v>
      </c>
      <c r="FH163" s="987"/>
      <c r="FI163" s="67"/>
      <c r="FJ163" s="58"/>
      <c r="FK163" s="53"/>
      <c r="FQ163" s="67"/>
      <c r="FR163" s="53"/>
      <c r="FS163" s="550">
        <v>13</v>
      </c>
      <c r="FT163" s="58">
        <v>1</v>
      </c>
      <c r="FU163" s="38">
        <v>6</v>
      </c>
      <c r="FV163" s="38">
        <f t="shared" si="828"/>
        <v>1.0015000000000001</v>
      </c>
      <c r="FW163" s="39">
        <f t="shared" si="829"/>
        <v>25.954570673652697</v>
      </c>
      <c r="FX163" s="153"/>
      <c r="GE163" s="144"/>
    </row>
    <row r="164" spans="3:187">
      <c r="D164" s="150">
        <v>29</v>
      </c>
      <c r="E164" s="96">
        <f t="shared" si="821"/>
        <v>1.5</v>
      </c>
      <c r="F164" s="96">
        <f t="shared" si="822"/>
        <v>3</v>
      </c>
      <c r="G164" s="82">
        <f t="shared" si="823"/>
        <v>87</v>
      </c>
      <c r="O164" s="54"/>
      <c r="P164" s="38"/>
      <c r="Q164" s="38"/>
      <c r="R164" s="38"/>
      <c r="S164" s="38"/>
      <c r="T164" s="43"/>
      <c r="U164" s="38"/>
      <c r="V164" s="58"/>
      <c r="CC164" s="160"/>
      <c r="CD164" s="165"/>
      <c r="CE164" s="38"/>
      <c r="EA164" s="153"/>
      <c r="ED164" s="53"/>
      <c r="EE164" s="38"/>
      <c r="EF164" s="38"/>
      <c r="EJ164" s="53"/>
      <c r="EL164" s="38"/>
      <c r="EN164" s="53"/>
      <c r="EO164" s="53"/>
      <c r="ES164" s="214"/>
      <c r="EU164" s="1360">
        <f t="shared" ca="1" si="817"/>
        <v>0</v>
      </c>
      <c r="EV164" s="173">
        <v>35</v>
      </c>
      <c r="EW164" s="1">
        <v>30</v>
      </c>
      <c r="EX164" s="55">
        <v>41974</v>
      </c>
      <c r="EY164" s="55">
        <f t="shared" si="810"/>
        <v>52931.5</v>
      </c>
      <c r="EZ164" s="61">
        <f t="shared" ca="1" si="805"/>
        <v>26</v>
      </c>
      <c r="FA164" s="37" t="s">
        <v>787</v>
      </c>
      <c r="FB164" s="39">
        <v>35.56</v>
      </c>
      <c r="FC164" s="39">
        <f t="shared" si="830"/>
        <v>0.56000000000000227</v>
      </c>
      <c r="FD164" s="40">
        <f t="shared" si="831"/>
        <v>1.6000000000000014E-2</v>
      </c>
      <c r="FE164" s="39">
        <f t="shared" ca="1" si="818"/>
        <v>2.1538461538461624E-2</v>
      </c>
      <c r="FF164" s="43">
        <f t="shared" ca="1" si="806"/>
        <v>1</v>
      </c>
      <c r="FH164" s="987"/>
      <c r="FI164" s="67"/>
      <c r="FJ164" s="58"/>
      <c r="FK164" s="53"/>
      <c r="FQ164" s="67"/>
      <c r="FR164" s="53"/>
      <c r="FS164" s="550">
        <v>13</v>
      </c>
      <c r="FT164" s="58">
        <v>2</v>
      </c>
      <c r="FU164" s="38">
        <v>1</v>
      </c>
      <c r="FV164" s="38">
        <f t="shared" si="828"/>
        <v>1.0002498438930771</v>
      </c>
      <c r="FW164" s="39">
        <f>$FW$163*FV164</f>
        <v>25.961055264632947</v>
      </c>
      <c r="FX164" s="153"/>
      <c r="GE164" s="144"/>
    </row>
    <row r="165" spans="3:187">
      <c r="D165" s="150">
        <v>30</v>
      </c>
      <c r="E165" s="96">
        <f t="shared" si="821"/>
        <v>1.5</v>
      </c>
      <c r="F165" s="96">
        <f>E165*2+D133</f>
        <v>103</v>
      </c>
      <c r="G165" s="82">
        <f t="shared" si="823"/>
        <v>190</v>
      </c>
      <c r="O165" s="54"/>
      <c r="P165" s="38"/>
      <c r="Q165" s="38"/>
      <c r="R165" s="38"/>
      <c r="S165" s="38"/>
      <c r="T165" s="43"/>
      <c r="U165" s="38"/>
      <c r="V165" s="58"/>
      <c r="EA165" s="153"/>
      <c r="ED165" s="53"/>
      <c r="EE165" s="38"/>
      <c r="EF165" s="38"/>
      <c r="EJ165" s="53"/>
      <c r="EL165" s="38"/>
      <c r="EN165" s="53"/>
      <c r="EO165" s="53"/>
      <c r="ES165" s="214"/>
      <c r="EU165" s="1360">
        <f t="shared" ca="1" si="817"/>
        <v>0</v>
      </c>
      <c r="EV165" s="173">
        <v>35</v>
      </c>
      <c r="EW165" s="1">
        <v>30</v>
      </c>
      <c r="EX165" s="55">
        <v>41974</v>
      </c>
      <c r="EY165" s="55">
        <f t="shared" si="810"/>
        <v>52931.5</v>
      </c>
      <c r="EZ165" s="61">
        <f t="shared" ca="1" si="805"/>
        <v>26</v>
      </c>
      <c r="FA165" s="37" t="s">
        <v>788</v>
      </c>
      <c r="FB165" s="39">
        <v>35.56</v>
      </c>
      <c r="FC165" s="39">
        <f t="shared" si="830"/>
        <v>0.56000000000000227</v>
      </c>
      <c r="FD165" s="40">
        <f t="shared" si="831"/>
        <v>1.6000000000000014E-2</v>
      </c>
      <c r="FE165" s="39">
        <f t="shared" ca="1" si="818"/>
        <v>2.1538461538461624E-2</v>
      </c>
      <c r="FF165" s="43">
        <f t="shared" ca="1" si="806"/>
        <v>1</v>
      </c>
      <c r="FH165" s="987"/>
      <c r="FI165" s="67"/>
      <c r="FJ165" s="58"/>
      <c r="FK165" s="53"/>
      <c r="FQ165" s="67"/>
      <c r="FR165" s="53"/>
      <c r="FS165" s="550">
        <v>13</v>
      </c>
      <c r="FT165" s="58">
        <v>2</v>
      </c>
      <c r="FU165" s="38">
        <v>2</v>
      </c>
      <c r="FV165" s="38">
        <f t="shared" si="828"/>
        <v>1.0004997502081252</v>
      </c>
      <c r="FW165" s="39">
        <f t="shared" ref="FW165:FW169" si="832">$FW$163*FV165</f>
        <v>25.967541475748654</v>
      </c>
      <c r="FX165" s="153"/>
      <c r="GE165" s="144"/>
    </row>
    <row r="166" spans="3:187">
      <c r="D166" s="150"/>
      <c r="E166" s="96"/>
      <c r="F166" s="96"/>
      <c r="G166" s="151"/>
      <c r="O166" s="38"/>
      <c r="P166" s="38"/>
      <c r="Q166" s="38"/>
      <c r="R166" s="38"/>
      <c r="S166" s="38"/>
      <c r="T166" s="43"/>
      <c r="U166" s="38"/>
      <c r="V166" s="58"/>
      <c r="EA166" s="153"/>
      <c r="ED166" s="53"/>
      <c r="EE166" s="38"/>
      <c r="EF166" s="38"/>
      <c r="EJ166" s="53"/>
      <c r="EL166" s="38"/>
      <c r="EN166" s="53"/>
      <c r="EO166" s="53"/>
      <c r="ES166" s="214"/>
      <c r="EU166" s="1360">
        <f t="shared" ca="1" si="817"/>
        <v>0</v>
      </c>
      <c r="EV166" s="173">
        <v>35</v>
      </c>
      <c r="EW166" s="1">
        <v>30</v>
      </c>
      <c r="EX166" s="55">
        <v>41974</v>
      </c>
      <c r="EY166" s="55">
        <f t="shared" si="810"/>
        <v>52931.5</v>
      </c>
      <c r="EZ166" s="61">
        <f t="shared" ca="1" si="805"/>
        <v>26</v>
      </c>
      <c r="FA166" s="37" t="s">
        <v>789</v>
      </c>
      <c r="FB166" s="39">
        <v>35.56</v>
      </c>
      <c r="FC166" s="39">
        <f t="shared" si="830"/>
        <v>0.56000000000000227</v>
      </c>
      <c r="FD166" s="40">
        <f t="shared" si="831"/>
        <v>1.6000000000000014E-2</v>
      </c>
      <c r="FE166" s="39">
        <f t="shared" ca="1" si="818"/>
        <v>2.1538461538461624E-2</v>
      </c>
      <c r="FF166" s="43">
        <f t="shared" ca="1" si="806"/>
        <v>1</v>
      </c>
      <c r="FH166" s="987"/>
      <c r="FI166" s="67"/>
      <c r="FJ166" s="58"/>
      <c r="FK166" s="53"/>
      <c r="FQ166" s="67"/>
      <c r="FR166" s="53"/>
      <c r="FS166" s="550">
        <v>13</v>
      </c>
      <c r="FT166" s="58">
        <v>2</v>
      </c>
      <c r="FU166" s="38">
        <v>3</v>
      </c>
      <c r="FV166" s="38">
        <f t="shared" si="828"/>
        <v>1.0007497189607399</v>
      </c>
      <c r="FW166" s="39">
        <f t="shared" si="832"/>
        <v>25.974029307404599</v>
      </c>
      <c r="FX166" s="153"/>
      <c r="GE166" s="144"/>
    </row>
    <row r="167" spans="3:187" ht="13.5" thickBot="1">
      <c r="D167" s="184"/>
      <c r="E167" s="141"/>
      <c r="F167" s="152" t="s">
        <v>245</v>
      </c>
      <c r="G167" s="167">
        <f>SUM(F136:F165)</f>
        <v>190</v>
      </c>
      <c r="O167" s="38"/>
      <c r="P167" s="38"/>
      <c r="Q167" s="38"/>
      <c r="R167" s="38"/>
      <c r="S167" s="38"/>
      <c r="T167" s="43"/>
      <c r="U167" s="38"/>
      <c r="V167" s="58"/>
      <c r="EA167" s="153"/>
      <c r="ED167" s="53"/>
      <c r="EE167" s="38"/>
      <c r="EF167" s="38"/>
      <c r="EJ167" s="53"/>
      <c r="EL167" s="38"/>
      <c r="EN167" s="53"/>
      <c r="EO167" s="53"/>
      <c r="ES167" s="214"/>
      <c r="EU167" s="1360">
        <f t="shared" ca="1" si="817"/>
        <v>0</v>
      </c>
      <c r="EV167" s="173">
        <v>25</v>
      </c>
      <c r="EW167" s="1">
        <v>30</v>
      </c>
      <c r="EX167" s="55">
        <v>41974</v>
      </c>
      <c r="EY167" s="55">
        <f t="shared" si="810"/>
        <v>52931.5</v>
      </c>
      <c r="EZ167" s="61">
        <f t="shared" ca="1" si="805"/>
        <v>26</v>
      </c>
      <c r="FA167" s="37" t="s">
        <v>864</v>
      </c>
      <c r="FB167" s="39">
        <v>25.4</v>
      </c>
      <c r="FC167" s="39">
        <f t="shared" ref="FC167" si="833">FB167-EV167</f>
        <v>0.39999999999999858</v>
      </c>
      <c r="FD167" s="40">
        <f t="shared" ref="FD167" si="834">FB167/EV167-1</f>
        <v>1.6000000000000014E-2</v>
      </c>
      <c r="FE167" s="39">
        <f t="shared" ca="1" si="818"/>
        <v>1.538461538461533E-2</v>
      </c>
      <c r="FF167" s="43">
        <f t="shared" ca="1" si="806"/>
        <v>1</v>
      </c>
      <c r="FH167" s="987"/>
      <c r="FI167" s="67"/>
      <c r="FJ167" s="58"/>
      <c r="FK167" s="53"/>
      <c r="FQ167" s="67"/>
      <c r="FR167" s="53"/>
      <c r="FS167" s="550">
        <v>13</v>
      </c>
      <c r="FT167" s="58">
        <v>2</v>
      </c>
      <c r="FU167" s="38">
        <v>4</v>
      </c>
      <c r="FV167" s="38">
        <f t="shared" si="828"/>
        <v>1.0009997501665211</v>
      </c>
      <c r="FW167" s="39">
        <f t="shared" si="832"/>
        <v>25.980518760005666</v>
      </c>
      <c r="FX167" s="153"/>
      <c r="GE167" s="144"/>
    </row>
    <row r="168" spans="3:187" ht="13.5" thickBot="1">
      <c r="O168" s="38"/>
      <c r="P168" s="38"/>
      <c r="Q168" s="38"/>
      <c r="R168" s="38"/>
      <c r="S168" s="38"/>
      <c r="T168" s="43"/>
      <c r="U168" s="38"/>
      <c r="V168" s="58"/>
      <c r="EA168" s="153"/>
      <c r="ED168" s="53"/>
      <c r="EE168" s="38"/>
      <c r="EF168" s="38"/>
      <c r="EJ168" s="53"/>
      <c r="EL168" s="38"/>
      <c r="EN168" s="53"/>
      <c r="EO168" s="53"/>
      <c r="ES168" s="214"/>
      <c r="EU168" s="1360">
        <f t="shared" ca="1" si="817"/>
        <v>0</v>
      </c>
      <c r="EV168" s="173">
        <v>25</v>
      </c>
      <c r="EW168" s="1">
        <v>30</v>
      </c>
      <c r="EX168" s="55">
        <v>41974</v>
      </c>
      <c r="EY168" s="55">
        <f t="shared" si="810"/>
        <v>52931.5</v>
      </c>
      <c r="EZ168" s="61">
        <f t="shared" ca="1" si="805"/>
        <v>26</v>
      </c>
      <c r="FA168" s="37" t="s">
        <v>865</v>
      </c>
      <c r="FB168" s="39">
        <v>25.4</v>
      </c>
      <c r="FC168" s="39">
        <f t="shared" ref="FC168" si="835">FB168-EV168</f>
        <v>0.39999999999999858</v>
      </c>
      <c r="FD168" s="40">
        <f t="shared" ref="FD168" si="836">FB168/EV168-1</f>
        <v>1.6000000000000014E-2</v>
      </c>
      <c r="FE168" s="39">
        <f t="shared" ca="1" si="818"/>
        <v>1.538461538461533E-2</v>
      </c>
      <c r="FF168" s="43">
        <f t="shared" ca="1" si="806"/>
        <v>1</v>
      </c>
      <c r="FH168" s="987"/>
      <c r="FI168" s="67"/>
      <c r="FJ168" s="58"/>
      <c r="FK168" s="53"/>
      <c r="FQ168" s="67"/>
      <c r="FR168" s="53"/>
      <c r="FS168" s="550">
        <v>13</v>
      </c>
      <c r="FT168" s="58">
        <v>2</v>
      </c>
      <c r="FU168" s="38">
        <v>5</v>
      </c>
      <c r="FV168" s="38">
        <f t="shared" si="828"/>
        <v>1.001249843841072</v>
      </c>
      <c r="FW168" s="39">
        <f t="shared" si="832"/>
        <v>25.987009833956829</v>
      </c>
      <c r="FX168" s="153"/>
      <c r="GE168" s="144"/>
    </row>
    <row r="169" spans="3:187">
      <c r="C169" s="114"/>
      <c r="D169" s="198" t="s">
        <v>819</v>
      </c>
      <c r="E169" s="89" t="s">
        <v>384</v>
      </c>
      <c r="F169" s="89" t="s">
        <v>817</v>
      </c>
      <c r="G169" s="389" t="s">
        <v>887</v>
      </c>
      <c r="H169" s="90" t="s">
        <v>818</v>
      </c>
      <c r="O169" s="38"/>
      <c r="P169" s="38"/>
      <c r="Q169" s="38"/>
      <c r="R169" s="38"/>
      <c r="S169" s="38"/>
      <c r="T169" s="43"/>
      <c r="U169" s="38"/>
      <c r="V169" s="58"/>
      <c r="EA169" s="153"/>
      <c r="ED169" s="53"/>
      <c r="EE169" s="38"/>
      <c r="EF169" s="38"/>
      <c r="EJ169" s="53"/>
      <c r="EL169" s="38"/>
      <c r="EN169" s="53"/>
      <c r="EO169" s="53"/>
      <c r="ES169" s="214"/>
      <c r="EU169" s="1360">
        <f t="shared" ca="1" si="817"/>
        <v>0</v>
      </c>
      <c r="EV169" s="173">
        <v>35</v>
      </c>
      <c r="EW169" s="1">
        <v>30</v>
      </c>
      <c r="EX169" s="55">
        <v>41944</v>
      </c>
      <c r="EY169" s="55">
        <f t="shared" si="810"/>
        <v>52901.5</v>
      </c>
      <c r="EZ169" s="61">
        <f t="shared" ca="1" si="805"/>
        <v>27</v>
      </c>
      <c r="FA169" s="37" t="s">
        <v>781</v>
      </c>
      <c r="FB169" s="39">
        <v>35.56</v>
      </c>
      <c r="FC169" s="39">
        <f t="shared" si="830"/>
        <v>0.56000000000000227</v>
      </c>
      <c r="FD169" s="40">
        <f t="shared" si="831"/>
        <v>1.6000000000000014E-2</v>
      </c>
      <c r="FE169" s="39">
        <f t="shared" ca="1" si="818"/>
        <v>2.0740740740740823E-2</v>
      </c>
      <c r="FF169" s="43">
        <f t="shared" ca="1" si="806"/>
        <v>1</v>
      </c>
      <c r="FH169" s="987"/>
      <c r="FI169" s="67"/>
      <c r="FJ169" s="58"/>
      <c r="FK169" s="53"/>
      <c r="FQ169" s="67"/>
      <c r="FR169" s="53"/>
      <c r="FS169" s="550">
        <v>13</v>
      </c>
      <c r="FT169" s="58">
        <v>2</v>
      </c>
      <c r="FU169" s="38">
        <v>6</v>
      </c>
      <c r="FV169" s="38">
        <f t="shared" si="828"/>
        <v>1.0015000000000001</v>
      </c>
      <c r="FW169" s="39">
        <f t="shared" si="832"/>
        <v>25.993502529663179</v>
      </c>
      <c r="FX169" s="153"/>
      <c r="GE169" s="144"/>
    </row>
    <row r="170" spans="3:187">
      <c r="C170" s="114"/>
      <c r="D170" s="150">
        <v>1</v>
      </c>
      <c r="E170" s="91" t="s">
        <v>56</v>
      </c>
      <c r="F170" s="91"/>
      <c r="G170" s="91"/>
      <c r="H170" s="151"/>
      <c r="O170" s="38"/>
      <c r="P170" s="38"/>
      <c r="Q170" s="38"/>
      <c r="R170" s="38"/>
      <c r="S170" s="38"/>
      <c r="T170" s="43"/>
      <c r="U170" s="38"/>
      <c r="V170" s="58"/>
      <c r="EA170" s="153"/>
      <c r="ED170" s="53"/>
      <c r="EE170" s="38"/>
      <c r="EF170" s="38"/>
      <c r="EJ170" s="53"/>
      <c r="EL170" s="38"/>
      <c r="EN170" s="53"/>
      <c r="EO170" s="53"/>
      <c r="ES170" s="214"/>
      <c r="EU170" s="1360">
        <f t="shared" ca="1" si="817"/>
        <v>0</v>
      </c>
      <c r="EV170" s="173">
        <v>35</v>
      </c>
      <c r="EW170" s="1">
        <v>30</v>
      </c>
      <c r="EX170" s="55">
        <v>41944</v>
      </c>
      <c r="EY170" s="55">
        <f t="shared" si="810"/>
        <v>52901.5</v>
      </c>
      <c r="EZ170" s="61">
        <f t="shared" ca="1" si="805"/>
        <v>27</v>
      </c>
      <c r="FA170" s="37" t="s">
        <v>782</v>
      </c>
      <c r="FB170" s="39">
        <v>35.56</v>
      </c>
      <c r="FC170" s="39">
        <f t="shared" si="830"/>
        <v>0.56000000000000227</v>
      </c>
      <c r="FD170" s="40">
        <f t="shared" si="831"/>
        <v>1.6000000000000014E-2</v>
      </c>
      <c r="FE170" s="39">
        <f t="shared" ca="1" si="818"/>
        <v>2.0740740740740823E-2</v>
      </c>
      <c r="FF170" s="43">
        <f t="shared" ca="1" si="806"/>
        <v>1</v>
      </c>
      <c r="FH170" s="987"/>
      <c r="FI170" s="67"/>
      <c r="FJ170" s="58"/>
      <c r="FK170" s="53"/>
      <c r="FQ170" s="67"/>
      <c r="FR170" s="53"/>
      <c r="FX170" s="153"/>
      <c r="GE170" s="144"/>
    </row>
    <row r="171" spans="3:187">
      <c r="C171" s="114"/>
      <c r="D171" s="150">
        <v>2</v>
      </c>
      <c r="E171" s="91" t="s">
        <v>56</v>
      </c>
      <c r="F171" s="91"/>
      <c r="G171" s="91"/>
      <c r="H171" s="151"/>
      <c r="N171" s="747"/>
      <c r="O171" s="747"/>
      <c r="P171" s="38"/>
      <c r="Q171" s="38"/>
      <c r="R171" s="38"/>
      <c r="S171" s="38"/>
      <c r="T171" s="43"/>
      <c r="U171" s="38"/>
      <c r="V171" s="58"/>
      <c r="EA171" s="153"/>
      <c r="ED171" s="53"/>
      <c r="EE171" s="38"/>
      <c r="EF171" s="38"/>
      <c r="EJ171" s="53"/>
      <c r="EL171" s="38"/>
      <c r="EN171" s="53"/>
      <c r="EO171" s="53"/>
      <c r="ES171" s="214"/>
      <c r="EU171" s="1360">
        <f t="shared" ca="1" si="817"/>
        <v>0</v>
      </c>
      <c r="EV171" s="173">
        <v>35</v>
      </c>
      <c r="EW171" s="1">
        <v>30</v>
      </c>
      <c r="EX171" s="55">
        <v>41944</v>
      </c>
      <c r="EY171" s="55">
        <f t="shared" si="810"/>
        <v>52901.5</v>
      </c>
      <c r="EZ171" s="61">
        <f t="shared" ca="1" si="805"/>
        <v>27</v>
      </c>
      <c r="FA171" s="37" t="s">
        <v>783</v>
      </c>
      <c r="FB171" s="39">
        <v>35.56</v>
      </c>
      <c r="FC171" s="39">
        <f t="shared" si="830"/>
        <v>0.56000000000000227</v>
      </c>
      <c r="FD171" s="40">
        <f t="shared" si="831"/>
        <v>1.6000000000000014E-2</v>
      </c>
      <c r="FE171" s="39">
        <f t="shared" ca="1" si="818"/>
        <v>2.0740740740740823E-2</v>
      </c>
      <c r="FF171" s="43">
        <f t="shared" ca="1" si="806"/>
        <v>1</v>
      </c>
      <c r="FH171" s="987"/>
      <c r="FI171" s="67"/>
      <c r="FJ171" s="58"/>
      <c r="FK171" s="53"/>
      <c r="FQ171" s="67"/>
      <c r="FR171" s="53"/>
      <c r="FS171" s="550">
        <v>14</v>
      </c>
      <c r="FT171" s="58">
        <v>1</v>
      </c>
      <c r="FU171" s="38">
        <v>1</v>
      </c>
      <c r="FV171" s="38">
        <f t="shared" ref="FV171:FV182" si="837">(1+$FY$2/2)^(FU171/6)</f>
        <v>1.0002498438930771</v>
      </c>
      <c r="FW171" s="39">
        <f>$FW$169*FV171</f>
        <v>25.9999968475299</v>
      </c>
      <c r="FX171" s="67"/>
      <c r="GE171" s="144"/>
    </row>
    <row r="172" spans="3:187">
      <c r="C172" s="114"/>
      <c r="D172" s="150">
        <v>3</v>
      </c>
      <c r="E172" s="91" t="s">
        <v>56</v>
      </c>
      <c r="F172" s="91" t="s">
        <v>54</v>
      </c>
      <c r="G172" s="91"/>
      <c r="H172" s="151"/>
      <c r="N172" s="355"/>
      <c r="O172" s="39"/>
      <c r="P172" s="38"/>
      <c r="Q172" s="38"/>
      <c r="R172" s="38"/>
      <c r="S172" s="38"/>
      <c r="T172" s="43"/>
      <c r="U172" s="38"/>
      <c r="V172" s="58"/>
      <c r="EA172" s="153"/>
      <c r="ED172" s="53"/>
      <c r="EF172" s="38"/>
      <c r="EJ172" s="53"/>
      <c r="EL172" s="38"/>
      <c r="EN172" s="53"/>
      <c r="EO172" s="53"/>
      <c r="ES172" s="214"/>
      <c r="ET172" s="53"/>
      <c r="EU172" s="1360">
        <f t="shared" ca="1" si="817"/>
        <v>0</v>
      </c>
      <c r="EV172" s="173">
        <v>35</v>
      </c>
      <c r="EW172" s="1">
        <v>30</v>
      </c>
      <c r="EX172" s="55">
        <v>41944</v>
      </c>
      <c r="EY172" s="55">
        <f t="shared" si="810"/>
        <v>52901.5</v>
      </c>
      <c r="EZ172" s="61">
        <f t="shared" ca="1" si="805"/>
        <v>27</v>
      </c>
      <c r="FA172" s="37" t="s">
        <v>784</v>
      </c>
      <c r="FB172" s="39">
        <v>35.56</v>
      </c>
      <c r="FC172" s="39">
        <f t="shared" si="830"/>
        <v>0.56000000000000227</v>
      </c>
      <c r="FD172" s="40">
        <f t="shared" si="831"/>
        <v>1.6000000000000014E-2</v>
      </c>
      <c r="FE172" s="39">
        <f t="shared" ca="1" si="818"/>
        <v>2.0740740740740823E-2</v>
      </c>
      <c r="FF172" s="43">
        <f t="shared" ca="1" si="806"/>
        <v>1</v>
      </c>
      <c r="FG172" s="214"/>
      <c r="FH172" s="987"/>
      <c r="FJ172" s="58"/>
      <c r="FK172" s="67"/>
      <c r="FL172" s="58"/>
      <c r="FR172" s="53"/>
      <c r="FS172" s="550">
        <v>14</v>
      </c>
      <c r="FT172" s="58">
        <v>1</v>
      </c>
      <c r="FU172" s="38">
        <v>2</v>
      </c>
      <c r="FV172" s="38">
        <f t="shared" si="837"/>
        <v>1.0004997502081252</v>
      </c>
      <c r="FW172" s="39">
        <f t="shared" ref="FW172:FW176" si="838">$FW$169*FV172</f>
        <v>26.00649278796228</v>
      </c>
      <c r="FX172" s="153"/>
      <c r="GE172" s="144"/>
    </row>
    <row r="173" spans="3:187">
      <c r="C173" s="114"/>
      <c r="D173" s="150">
        <v>4</v>
      </c>
      <c r="E173" s="91" t="s">
        <v>56</v>
      </c>
      <c r="F173" s="91"/>
      <c r="G173" s="91"/>
      <c r="H173" s="151"/>
      <c r="N173" s="355"/>
      <c r="O173" s="39"/>
      <c r="P173" s="38"/>
      <c r="Q173" s="38"/>
      <c r="R173" s="38"/>
      <c r="S173" s="38"/>
      <c r="T173" s="43"/>
      <c r="U173" s="38"/>
      <c r="V173" s="58"/>
      <c r="EA173" s="153"/>
      <c r="ED173" s="53"/>
      <c r="EE173" s="38"/>
      <c r="EJ173" s="53"/>
      <c r="EK173" s="38"/>
      <c r="EN173" s="53"/>
      <c r="EO173" s="153"/>
      <c r="ES173" s="214"/>
      <c r="ET173" s="53"/>
      <c r="EU173" s="1360">
        <f t="shared" ca="1" si="817"/>
        <v>0</v>
      </c>
      <c r="EV173" s="173">
        <v>35</v>
      </c>
      <c r="EW173" s="1">
        <v>30</v>
      </c>
      <c r="EX173" s="55">
        <v>41913</v>
      </c>
      <c r="EY173" s="55">
        <f t="shared" si="810"/>
        <v>52870.5</v>
      </c>
      <c r="EZ173" s="61">
        <f t="shared" ca="1" si="805"/>
        <v>28</v>
      </c>
      <c r="FA173" s="37" t="s">
        <v>803</v>
      </c>
      <c r="FB173" s="39">
        <v>35.92</v>
      </c>
      <c r="FC173" s="39">
        <f t="shared" ref="FC173" si="839">FB173-EV173</f>
        <v>0.92000000000000171</v>
      </c>
      <c r="FD173" s="40">
        <f t="shared" ref="FD173" si="840">FB173/EV173-1</f>
        <v>2.6285714285714246E-2</v>
      </c>
      <c r="FE173" s="39">
        <f t="shared" ca="1" si="818"/>
        <v>3.2857142857142918E-2</v>
      </c>
      <c r="FF173" s="43">
        <f t="shared" ca="1" si="806"/>
        <v>1</v>
      </c>
      <c r="FG173" s="214"/>
      <c r="FH173" s="987"/>
      <c r="FJ173" s="58"/>
      <c r="FK173" s="67"/>
      <c r="FL173" s="58"/>
      <c r="FR173" s="53"/>
      <c r="FS173" s="550">
        <v>14</v>
      </c>
      <c r="FT173" s="58">
        <v>1</v>
      </c>
      <c r="FU173" s="38">
        <v>3</v>
      </c>
      <c r="FV173" s="38">
        <f t="shared" si="837"/>
        <v>1.0007497189607399</v>
      </c>
      <c r="FW173" s="39">
        <f t="shared" si="838"/>
        <v>26.012990351365708</v>
      </c>
      <c r="FX173" s="153"/>
      <c r="GE173" s="144"/>
    </row>
    <row r="174" spans="3:187">
      <c r="C174" s="114"/>
      <c r="D174" s="150">
        <v>5</v>
      </c>
      <c r="E174" s="91" t="s">
        <v>56</v>
      </c>
      <c r="F174" s="91"/>
      <c r="G174" s="91"/>
      <c r="H174" s="151"/>
      <c r="N174" s="355"/>
      <c r="O174" s="39"/>
      <c r="P174" s="38"/>
      <c r="Q174" s="38"/>
      <c r="R174" s="38"/>
      <c r="S174" s="38"/>
      <c r="T174" s="43"/>
      <c r="U174" s="38"/>
      <c r="V174" s="58"/>
      <c r="EA174" s="153"/>
      <c r="ED174" s="53"/>
      <c r="EE174" s="38"/>
      <c r="EJ174" s="53"/>
      <c r="EK174" s="38"/>
      <c r="EN174" s="53"/>
      <c r="EO174" s="153"/>
      <c r="ES174" s="214"/>
      <c r="ET174" s="53"/>
      <c r="EU174" s="1360">
        <f t="shared" ca="1" si="817"/>
        <v>0</v>
      </c>
      <c r="EV174" s="173">
        <v>35</v>
      </c>
      <c r="EW174" s="1">
        <v>30</v>
      </c>
      <c r="EX174" s="55">
        <v>41913</v>
      </c>
      <c r="EY174" s="55">
        <f t="shared" si="810"/>
        <v>52870.5</v>
      </c>
      <c r="EZ174" s="61">
        <f t="shared" ca="1" si="805"/>
        <v>28</v>
      </c>
      <c r="FA174" s="37" t="s">
        <v>776</v>
      </c>
      <c r="FB174" s="39">
        <v>35.92</v>
      </c>
      <c r="FC174" s="39">
        <f t="shared" si="830"/>
        <v>0.92000000000000171</v>
      </c>
      <c r="FD174" s="40">
        <f t="shared" si="831"/>
        <v>2.6285714285714246E-2</v>
      </c>
      <c r="FE174" s="39">
        <f t="shared" ca="1" si="818"/>
        <v>3.2857142857142918E-2</v>
      </c>
      <c r="FF174" s="43">
        <f t="shared" ca="1" si="806"/>
        <v>1</v>
      </c>
      <c r="FG174" s="214"/>
      <c r="FH174" s="987"/>
      <c r="FJ174" s="58"/>
      <c r="FK174" s="67"/>
      <c r="FL174" s="58"/>
      <c r="FR174" s="53"/>
      <c r="FS174" s="550">
        <v>14</v>
      </c>
      <c r="FT174" s="58">
        <v>1</v>
      </c>
      <c r="FU174" s="38">
        <v>4</v>
      </c>
      <c r="FV174" s="38">
        <f t="shared" si="837"/>
        <v>1.0009997501665211</v>
      </c>
      <c r="FW174" s="39">
        <f t="shared" si="838"/>
        <v>26.019489538145677</v>
      </c>
      <c r="FX174" s="153"/>
      <c r="GE174" s="144"/>
    </row>
    <row r="175" spans="3:187">
      <c r="D175" s="150">
        <v>6</v>
      </c>
      <c r="E175" s="91" t="s">
        <v>56</v>
      </c>
      <c r="F175" s="91" t="s">
        <v>54</v>
      </c>
      <c r="G175" s="172" t="s">
        <v>882</v>
      </c>
      <c r="H175" s="151"/>
      <c r="N175" s="355"/>
      <c r="O175" s="39"/>
      <c r="P175" s="38"/>
      <c r="Q175" s="38"/>
      <c r="R175" s="38"/>
      <c r="S175" s="38"/>
      <c r="T175" s="43"/>
      <c r="U175" s="38"/>
      <c r="V175" s="58"/>
      <c r="EA175" s="153"/>
      <c r="ED175" s="53"/>
      <c r="EE175" s="38"/>
      <c r="EJ175" s="53"/>
      <c r="EK175" s="38"/>
      <c r="EN175" s="53"/>
      <c r="EO175" s="153"/>
      <c r="ES175" s="214"/>
      <c r="ET175" s="53"/>
      <c r="EU175" s="1360">
        <f t="shared" ca="1" si="817"/>
        <v>0</v>
      </c>
      <c r="EV175" s="173">
        <v>35</v>
      </c>
      <c r="EW175" s="1">
        <v>30</v>
      </c>
      <c r="EX175" s="55">
        <v>41913</v>
      </c>
      <c r="EY175" s="55">
        <f t="shared" si="810"/>
        <v>52870.5</v>
      </c>
      <c r="EZ175" s="61">
        <f t="shared" ca="1" si="805"/>
        <v>28</v>
      </c>
      <c r="FA175" s="37" t="s">
        <v>777</v>
      </c>
      <c r="FB175" s="39">
        <v>35.92</v>
      </c>
      <c r="FC175" s="39">
        <f t="shared" si="830"/>
        <v>0.92000000000000171</v>
      </c>
      <c r="FD175" s="40">
        <f t="shared" si="831"/>
        <v>2.6285714285714246E-2</v>
      </c>
      <c r="FE175" s="39">
        <f t="shared" ca="1" si="818"/>
        <v>3.2857142857142918E-2</v>
      </c>
      <c r="FF175" s="43">
        <f t="shared" ca="1" si="806"/>
        <v>1</v>
      </c>
      <c r="FG175" s="214"/>
      <c r="FH175" s="987"/>
      <c r="FJ175" s="58"/>
      <c r="FK175" s="67"/>
      <c r="FL175" s="58"/>
      <c r="FR175" s="53"/>
      <c r="FS175" s="550">
        <v>14</v>
      </c>
      <c r="FT175" s="58">
        <v>1</v>
      </c>
      <c r="FU175" s="38">
        <v>5</v>
      </c>
      <c r="FV175" s="38">
        <f t="shared" si="837"/>
        <v>1.001249843841072</v>
      </c>
      <c r="FW175" s="39">
        <f t="shared" si="838"/>
        <v>26.025990348707765</v>
      </c>
      <c r="FX175" s="153"/>
      <c r="GE175" s="144"/>
    </row>
    <row r="176" spans="3:187">
      <c r="D176" s="150">
        <v>7</v>
      </c>
      <c r="E176" s="91" t="s">
        <v>56</v>
      </c>
      <c r="F176" s="91"/>
      <c r="G176" s="91"/>
      <c r="H176" s="151"/>
      <c r="N176" s="355"/>
      <c r="O176" s="39"/>
      <c r="P176" s="38"/>
      <c r="Q176" s="38"/>
      <c r="R176" s="38"/>
      <c r="S176" s="38"/>
      <c r="T176" s="43"/>
      <c r="U176" s="38"/>
      <c r="V176" s="58"/>
      <c r="EA176" s="153"/>
      <c r="ED176" s="53"/>
      <c r="EE176" s="38"/>
      <c r="EJ176" s="53"/>
      <c r="EK176" s="38"/>
      <c r="EN176" s="53"/>
      <c r="EO176" s="153"/>
      <c r="ES176" s="214"/>
      <c r="ET176" s="53"/>
      <c r="EU176" s="1360">
        <f t="shared" ca="1" si="817"/>
        <v>0</v>
      </c>
      <c r="EV176" s="173">
        <v>35</v>
      </c>
      <c r="EW176" s="1">
        <v>30</v>
      </c>
      <c r="EX176" s="55">
        <v>41913</v>
      </c>
      <c r="EY176" s="55">
        <f t="shared" si="810"/>
        <v>52870.5</v>
      </c>
      <c r="EZ176" s="61">
        <f t="shared" ca="1" si="805"/>
        <v>28</v>
      </c>
      <c r="FA176" s="37" t="s">
        <v>778</v>
      </c>
      <c r="FB176" s="39">
        <v>35.92</v>
      </c>
      <c r="FC176" s="39">
        <f t="shared" si="830"/>
        <v>0.92000000000000171</v>
      </c>
      <c r="FD176" s="40">
        <f t="shared" si="831"/>
        <v>2.6285714285714246E-2</v>
      </c>
      <c r="FE176" s="39">
        <f t="shared" ca="1" si="818"/>
        <v>3.2857142857142918E-2</v>
      </c>
      <c r="FF176" s="43">
        <f t="shared" ca="1" si="806"/>
        <v>1</v>
      </c>
      <c r="FG176" s="214"/>
      <c r="FH176" s="987"/>
      <c r="FJ176" s="58"/>
      <c r="FK176" s="67"/>
      <c r="FL176" s="58"/>
      <c r="FR176" s="53"/>
      <c r="FS176" s="550">
        <v>14</v>
      </c>
      <c r="FT176" s="58">
        <v>1</v>
      </c>
      <c r="FU176" s="38">
        <v>6</v>
      </c>
      <c r="FV176" s="38">
        <f t="shared" si="837"/>
        <v>1.0015000000000001</v>
      </c>
      <c r="FW176" s="39">
        <f t="shared" si="838"/>
        <v>26.032492783457673</v>
      </c>
      <c r="FX176" s="153"/>
      <c r="GE176" s="144"/>
    </row>
    <row r="177" spans="4:187" ht="13.5" thickBot="1">
      <c r="D177" s="150">
        <v>8</v>
      </c>
      <c r="E177" s="91" t="s">
        <v>56</v>
      </c>
      <c r="F177" s="91"/>
      <c r="G177" s="91"/>
      <c r="H177" s="151"/>
      <c r="N177" s="355"/>
      <c r="O177" s="39"/>
      <c r="P177" s="38"/>
      <c r="Q177" s="38"/>
      <c r="R177" s="38"/>
      <c r="S177" s="38"/>
      <c r="T177" s="43"/>
      <c r="U177" s="38"/>
      <c r="V177" s="58"/>
      <c r="EA177" s="153"/>
      <c r="ED177" s="53"/>
      <c r="EE177" s="38"/>
      <c r="EJ177" s="53"/>
      <c r="EK177" s="38"/>
      <c r="EN177" s="53"/>
      <c r="EO177" s="153"/>
      <c r="ES177" s="214"/>
      <c r="ET177" s="53"/>
      <c r="EU177" s="1360">
        <f t="shared" ca="1" si="817"/>
        <v>0</v>
      </c>
      <c r="EV177" s="173">
        <v>35</v>
      </c>
      <c r="EW177" s="1">
        <v>30</v>
      </c>
      <c r="EX177" s="55">
        <v>41913</v>
      </c>
      <c r="EY177" s="55">
        <f t="shared" si="810"/>
        <v>52870.5</v>
      </c>
      <c r="EZ177" s="61">
        <f t="shared" ca="1" si="805"/>
        <v>28</v>
      </c>
      <c r="FA177" s="37" t="s">
        <v>779</v>
      </c>
      <c r="FB177" s="39">
        <v>35.92</v>
      </c>
      <c r="FC177" s="39">
        <f t="shared" si="830"/>
        <v>0.92000000000000171</v>
      </c>
      <c r="FD177" s="40">
        <f t="shared" si="831"/>
        <v>2.6285714285714246E-2</v>
      </c>
      <c r="FE177" s="39">
        <f t="shared" ca="1" si="818"/>
        <v>3.2857142857142918E-2</v>
      </c>
      <c r="FF177" s="43">
        <f t="shared" ca="1" si="806"/>
        <v>1</v>
      </c>
      <c r="FG177" s="214"/>
      <c r="FH177" s="987"/>
      <c r="FJ177" s="58"/>
      <c r="FK177" s="67"/>
      <c r="FL177" s="58"/>
      <c r="FR177" s="53"/>
      <c r="FS177" s="550">
        <v>14</v>
      </c>
      <c r="FT177" s="58">
        <v>2</v>
      </c>
      <c r="FU177" s="38">
        <v>1</v>
      </c>
      <c r="FV177" s="38">
        <f t="shared" si="837"/>
        <v>1.0002498438930771</v>
      </c>
      <c r="FW177" s="39">
        <f>$FW$176*FV177</f>
        <v>26.038996842801193</v>
      </c>
      <c r="FX177" s="153"/>
      <c r="GE177" s="144"/>
    </row>
    <row r="178" spans="4:187">
      <c r="D178" s="150">
        <v>9</v>
      </c>
      <c r="E178" s="91" t="s">
        <v>56</v>
      </c>
      <c r="F178" s="91" t="s">
        <v>54</v>
      </c>
      <c r="G178" s="91"/>
      <c r="H178" s="151"/>
      <c r="J178" s="787" t="s">
        <v>272</v>
      </c>
      <c r="K178" s="788" t="s">
        <v>1961</v>
      </c>
      <c r="L178" s="1239" t="s">
        <v>1967</v>
      </c>
      <c r="M178" s="747"/>
      <c r="N178" s="355"/>
      <c r="O178" s="39"/>
      <c r="P178" s="38"/>
      <c r="Q178" s="38"/>
      <c r="R178" s="38"/>
      <c r="S178" s="38"/>
      <c r="T178" s="43"/>
      <c r="U178" s="38"/>
      <c r="V178" s="58"/>
      <c r="EA178" s="153"/>
      <c r="ED178" s="53"/>
      <c r="EE178" s="38"/>
      <c r="EJ178" s="53"/>
      <c r="EK178" s="38"/>
      <c r="EN178" s="53"/>
      <c r="EO178" s="153"/>
      <c r="ES178" s="214"/>
      <c r="ET178" s="53"/>
      <c r="EU178" s="1360">
        <f t="shared" ca="1" si="817"/>
        <v>0</v>
      </c>
      <c r="EV178" s="173">
        <v>35</v>
      </c>
      <c r="EW178" s="1">
        <v>30</v>
      </c>
      <c r="EX178" s="55">
        <v>41883</v>
      </c>
      <c r="EY178" s="55">
        <f t="shared" si="810"/>
        <v>52840.5</v>
      </c>
      <c r="EZ178" s="61">
        <f t="shared" ca="1" si="805"/>
        <v>29</v>
      </c>
      <c r="FA178" s="39" t="s">
        <v>699</v>
      </c>
      <c r="FB178" s="39">
        <v>35.92</v>
      </c>
      <c r="FC178" s="39">
        <f t="shared" si="830"/>
        <v>0.92000000000000171</v>
      </c>
      <c r="FD178" s="40">
        <f t="shared" si="831"/>
        <v>2.6285714285714246E-2</v>
      </c>
      <c r="FE178" s="39">
        <f t="shared" ca="1" si="818"/>
        <v>3.1724137931034541E-2</v>
      </c>
      <c r="FF178" s="43">
        <f t="shared" ca="1" si="806"/>
        <v>1</v>
      </c>
      <c r="FG178" s="214"/>
      <c r="FH178" s="987"/>
      <c r="FJ178" s="58"/>
      <c r="FK178" s="67"/>
      <c r="FL178" s="58"/>
      <c r="FR178" s="53"/>
      <c r="FS178" s="550">
        <v>14</v>
      </c>
      <c r="FT178" s="58">
        <v>2</v>
      </c>
      <c r="FU178" s="38">
        <v>2</v>
      </c>
      <c r="FV178" s="38">
        <f t="shared" si="837"/>
        <v>1.0004997502081252</v>
      </c>
      <c r="FW178" s="39">
        <f t="shared" ref="FW178:FW182" si="841">$FW$176*FV178</f>
        <v>26.045502527144226</v>
      </c>
      <c r="FX178" s="153"/>
      <c r="GE178" s="144"/>
    </row>
    <row r="179" spans="4:187">
      <c r="D179" s="150">
        <v>10</v>
      </c>
      <c r="E179" s="91" t="s">
        <v>56</v>
      </c>
      <c r="F179" s="91"/>
      <c r="G179" s="91"/>
      <c r="H179" s="151"/>
      <c r="J179" s="150">
        <f ca="1">YEAR(TODAY())</f>
        <v>2017</v>
      </c>
      <c r="K179" s="96">
        <f t="shared" ref="K179:K212" ca="1" si="842">SUMIFS($M$219:$M$628,$B$219:$B$628,"&gt;="&amp;DATE(J179,1,1),$B$219:$B$628,"&lt;="&amp;DATE(J179,12,31))</f>
        <v>1700</v>
      </c>
      <c r="L179" s="1013">
        <f t="shared" ref="L179:L212" ca="1" si="843">K179/$K$214</f>
        <v>6.0284457532081968E-2</v>
      </c>
      <c r="M179" s="355"/>
      <c r="N179" s="355"/>
      <c r="O179" s="39"/>
      <c r="P179" s="38"/>
      <c r="Q179" s="38"/>
      <c r="R179" s="38"/>
      <c r="S179" s="38"/>
      <c r="T179" s="43"/>
      <c r="U179" s="38"/>
      <c r="V179" s="58"/>
      <c r="EA179" s="153"/>
      <c r="ED179" s="53"/>
      <c r="EE179" s="38"/>
      <c r="EJ179" s="53"/>
      <c r="EK179" s="38"/>
      <c r="EN179" s="53"/>
      <c r="EO179" s="153"/>
      <c r="ES179" s="214"/>
      <c r="ET179" s="53"/>
      <c r="EU179" s="1360">
        <f t="shared" ca="1" si="817"/>
        <v>0</v>
      </c>
      <c r="EV179" s="173">
        <v>35</v>
      </c>
      <c r="EW179" s="1">
        <v>30</v>
      </c>
      <c r="EX179" s="55">
        <v>41883</v>
      </c>
      <c r="EY179" s="55">
        <f t="shared" si="810"/>
        <v>52840.5</v>
      </c>
      <c r="EZ179" s="61">
        <f t="shared" ca="1" si="805"/>
        <v>29</v>
      </c>
      <c r="FA179" s="39" t="s">
        <v>700</v>
      </c>
      <c r="FB179" s="39">
        <v>35.92</v>
      </c>
      <c r="FC179" s="39">
        <f t="shared" si="830"/>
        <v>0.92000000000000171</v>
      </c>
      <c r="FD179" s="40">
        <f t="shared" si="831"/>
        <v>2.6285714285714246E-2</v>
      </c>
      <c r="FE179" s="39">
        <f t="shared" ca="1" si="818"/>
        <v>3.1724137931034541E-2</v>
      </c>
      <c r="FF179" s="43">
        <f t="shared" ca="1" si="806"/>
        <v>1</v>
      </c>
      <c r="FG179" s="214"/>
      <c r="FH179" s="987"/>
      <c r="FJ179" s="58"/>
      <c r="FK179" s="67"/>
      <c r="FL179" s="58"/>
      <c r="FR179" s="53"/>
      <c r="FS179" s="550">
        <v>14</v>
      </c>
      <c r="FT179" s="58">
        <v>2</v>
      </c>
      <c r="FU179" s="38">
        <v>3</v>
      </c>
      <c r="FV179" s="38">
        <f t="shared" si="837"/>
        <v>1.0007497189607399</v>
      </c>
      <c r="FW179" s="39">
        <f t="shared" si="841"/>
        <v>26.052009836892758</v>
      </c>
      <c r="FX179" s="153"/>
      <c r="GE179" s="144"/>
    </row>
    <row r="180" spans="4:187">
      <c r="D180" s="150">
        <v>11</v>
      </c>
      <c r="E180" s="91" t="s">
        <v>56</v>
      </c>
      <c r="F180" s="91"/>
      <c r="G180" s="91"/>
      <c r="H180" s="151"/>
      <c r="J180" s="150">
        <f t="shared" ref="J180:J212" ca="1" si="844">J179+1</f>
        <v>2018</v>
      </c>
      <c r="K180" s="96">
        <f t="shared" ca="1" si="842"/>
        <v>1500</v>
      </c>
      <c r="L180" s="1013">
        <f t="shared" ca="1" si="843"/>
        <v>5.3192168410660566E-2</v>
      </c>
      <c r="M180" s="355"/>
      <c r="N180" s="355"/>
      <c r="O180" s="39"/>
      <c r="P180" s="38"/>
      <c r="Q180" s="38"/>
      <c r="R180" s="38"/>
      <c r="S180" s="38"/>
      <c r="T180" s="43"/>
      <c r="U180" s="38"/>
      <c r="V180" s="58"/>
      <c r="EA180" s="153"/>
      <c r="ED180" s="53"/>
      <c r="EE180" s="38"/>
      <c r="EJ180" s="53"/>
      <c r="EK180" s="38"/>
      <c r="EN180" s="53"/>
      <c r="EO180" s="153"/>
      <c r="ES180" s="214"/>
      <c r="ET180" s="53"/>
      <c r="EU180" s="1360">
        <f t="shared" ca="1" si="817"/>
        <v>0</v>
      </c>
      <c r="EV180" s="173">
        <v>35</v>
      </c>
      <c r="EW180" s="1">
        <v>30</v>
      </c>
      <c r="EX180" s="55">
        <v>41883</v>
      </c>
      <c r="EY180" s="55">
        <f t="shared" si="810"/>
        <v>52840.5</v>
      </c>
      <c r="EZ180" s="61">
        <f t="shared" ca="1" si="805"/>
        <v>29</v>
      </c>
      <c r="FA180" s="39" t="s">
        <v>701</v>
      </c>
      <c r="FB180" s="39">
        <v>35.92</v>
      </c>
      <c r="FC180" s="39">
        <f t="shared" si="830"/>
        <v>0.92000000000000171</v>
      </c>
      <c r="FD180" s="40">
        <f t="shared" si="831"/>
        <v>2.6285714285714246E-2</v>
      </c>
      <c r="FE180" s="39">
        <f t="shared" ca="1" si="818"/>
        <v>3.1724137931034541E-2</v>
      </c>
      <c r="FF180" s="43">
        <f t="shared" ca="1" si="806"/>
        <v>1</v>
      </c>
      <c r="FG180" s="214"/>
      <c r="FH180" s="987"/>
      <c r="FJ180" s="58"/>
      <c r="FK180" s="67"/>
      <c r="FL180" s="58"/>
      <c r="FR180" s="53"/>
      <c r="FS180" s="550">
        <v>14</v>
      </c>
      <c r="FT180" s="58">
        <v>2</v>
      </c>
      <c r="FU180" s="38">
        <v>4</v>
      </c>
      <c r="FV180" s="38">
        <f t="shared" si="837"/>
        <v>1.0009997501665211</v>
      </c>
      <c r="FW180" s="39">
        <f t="shared" si="841"/>
        <v>26.058518772452896</v>
      </c>
      <c r="FX180" s="153"/>
      <c r="GE180" s="144"/>
    </row>
    <row r="181" spans="4:187">
      <c r="D181" s="150">
        <v>12</v>
      </c>
      <c r="E181" s="91" t="s">
        <v>56</v>
      </c>
      <c r="F181" s="91" t="s">
        <v>54</v>
      </c>
      <c r="G181" s="172" t="s">
        <v>882</v>
      </c>
      <c r="H181" s="151" t="s">
        <v>57</v>
      </c>
      <c r="J181" s="150">
        <f t="shared" ca="1" si="844"/>
        <v>2019</v>
      </c>
      <c r="K181" s="96">
        <f t="shared" ca="1" si="842"/>
        <v>0</v>
      </c>
      <c r="L181" s="1013">
        <f t="shared" ca="1" si="843"/>
        <v>0</v>
      </c>
      <c r="M181" s="355"/>
      <c r="N181" s="355"/>
      <c r="O181" s="39"/>
      <c r="P181" s="38"/>
      <c r="Q181" s="38"/>
      <c r="R181" s="38"/>
      <c r="S181" s="38"/>
      <c r="T181" s="43"/>
      <c r="U181" s="38"/>
      <c r="V181" s="58"/>
      <c r="EA181" s="153"/>
      <c r="ED181" s="53"/>
      <c r="EE181" s="38"/>
      <c r="EJ181" s="53"/>
      <c r="EK181" s="38"/>
      <c r="EN181" s="53"/>
      <c r="EO181" s="153"/>
      <c r="ES181" s="214"/>
      <c r="ET181" s="53"/>
      <c r="EU181" s="1360">
        <f t="shared" ca="1" si="817"/>
        <v>0</v>
      </c>
      <c r="EV181" s="173">
        <v>35</v>
      </c>
      <c r="EW181" s="1">
        <v>30</v>
      </c>
      <c r="EX181" s="55">
        <v>41883</v>
      </c>
      <c r="EY181" s="55">
        <f t="shared" si="810"/>
        <v>52840.5</v>
      </c>
      <c r="EZ181" s="61">
        <f t="shared" ca="1" si="805"/>
        <v>29</v>
      </c>
      <c r="FA181" s="39" t="s">
        <v>702</v>
      </c>
      <c r="FB181" s="39">
        <v>35.92</v>
      </c>
      <c r="FC181" s="39">
        <f t="shared" si="830"/>
        <v>0.92000000000000171</v>
      </c>
      <c r="FD181" s="40">
        <f t="shared" si="831"/>
        <v>2.6285714285714246E-2</v>
      </c>
      <c r="FE181" s="39">
        <f t="shared" ca="1" si="818"/>
        <v>3.1724137931034541E-2</v>
      </c>
      <c r="FF181" s="43">
        <f t="shared" ca="1" si="806"/>
        <v>1</v>
      </c>
      <c r="FG181" s="214"/>
      <c r="FH181" s="987"/>
      <c r="FJ181" s="58"/>
      <c r="FK181" s="67"/>
      <c r="FL181" s="58"/>
      <c r="FR181" s="53"/>
      <c r="FS181" s="550">
        <v>14</v>
      </c>
      <c r="FT181" s="58">
        <v>2</v>
      </c>
      <c r="FU181" s="38">
        <v>5</v>
      </c>
      <c r="FV181" s="38">
        <f t="shared" si="837"/>
        <v>1.001249843841072</v>
      </c>
      <c r="FW181" s="39">
        <f t="shared" si="841"/>
        <v>26.065029334230829</v>
      </c>
      <c r="FX181" s="153"/>
      <c r="GE181" s="144"/>
    </row>
    <row r="182" spans="4:187" ht="13.5" thickBot="1">
      <c r="D182" s="497"/>
      <c r="E182" s="114"/>
      <c r="F182" s="114"/>
      <c r="G182" s="114"/>
      <c r="H182" s="151"/>
      <c r="J182" s="150">
        <f t="shared" ca="1" si="844"/>
        <v>2020</v>
      </c>
      <c r="K182" s="96">
        <f t="shared" ca="1" si="842"/>
        <v>100</v>
      </c>
      <c r="L182" s="1013">
        <f t="shared" ca="1" si="843"/>
        <v>3.5461445607107042E-3</v>
      </c>
      <c r="M182" s="355"/>
      <c r="N182" s="355"/>
      <c r="O182" s="39"/>
      <c r="P182" s="38"/>
      <c r="Q182" s="38"/>
      <c r="R182" s="38"/>
      <c r="S182" s="38"/>
      <c r="T182" s="43"/>
      <c r="U182" s="38"/>
      <c r="V182" s="58"/>
      <c r="EA182" s="153"/>
      <c r="ED182" s="53"/>
      <c r="EE182" s="38"/>
      <c r="EJ182" s="53"/>
      <c r="EK182" s="38"/>
      <c r="EN182" s="53"/>
      <c r="EO182" s="153"/>
      <c r="ES182" s="214"/>
      <c r="ET182" s="53"/>
      <c r="EU182" s="1360">
        <f t="shared" ca="1" si="817"/>
        <v>0</v>
      </c>
      <c r="EV182" s="173">
        <v>35</v>
      </c>
      <c r="EW182" s="1">
        <v>30</v>
      </c>
      <c r="EX182" s="55">
        <v>41852</v>
      </c>
      <c r="EY182" s="55">
        <f t="shared" si="810"/>
        <v>52809.5</v>
      </c>
      <c r="EZ182" s="61">
        <f t="shared" ca="1" si="805"/>
        <v>30</v>
      </c>
      <c r="FA182" s="37" t="s">
        <v>669</v>
      </c>
      <c r="FB182" s="39">
        <v>35.94</v>
      </c>
      <c r="FC182" s="39">
        <f t="shared" si="830"/>
        <v>0.93999999999999773</v>
      </c>
      <c r="FD182" s="40">
        <f t="shared" si="831"/>
        <v>2.6857142857142691E-2</v>
      </c>
      <c r="FE182" s="39">
        <f t="shared" ca="1" si="818"/>
        <v>3.1333333333333255E-2</v>
      </c>
      <c r="FF182" s="43">
        <f t="shared" ca="1" si="806"/>
        <v>1</v>
      </c>
      <c r="FG182" s="214"/>
      <c r="FH182" s="987"/>
      <c r="FJ182" s="58"/>
      <c r="FK182" s="67"/>
      <c r="FL182" s="58"/>
      <c r="FR182" s="53"/>
      <c r="FS182" s="550">
        <v>14</v>
      </c>
      <c r="FT182" s="58">
        <v>2</v>
      </c>
      <c r="FU182" s="38">
        <v>6</v>
      </c>
      <c r="FV182" s="38">
        <f t="shared" si="837"/>
        <v>1.0015000000000001</v>
      </c>
      <c r="FW182" s="39">
        <f t="shared" si="841"/>
        <v>26.071541522632863</v>
      </c>
      <c r="FX182" s="153"/>
      <c r="GE182" s="144"/>
    </row>
    <row r="183" spans="4:187">
      <c r="D183" s="198" t="s">
        <v>43</v>
      </c>
      <c r="E183" s="89" t="s">
        <v>56</v>
      </c>
      <c r="F183" s="89" t="s">
        <v>54</v>
      </c>
      <c r="G183" s="389" t="s">
        <v>882</v>
      </c>
      <c r="H183" s="90" t="s">
        <v>57</v>
      </c>
      <c r="J183" s="150">
        <f t="shared" ca="1" si="844"/>
        <v>2021</v>
      </c>
      <c r="K183" s="96">
        <f t="shared" ca="1" si="842"/>
        <v>100</v>
      </c>
      <c r="L183" s="1013">
        <f t="shared" ca="1" si="843"/>
        <v>3.5461445607107042E-3</v>
      </c>
      <c r="M183" s="355"/>
      <c r="N183" s="355"/>
      <c r="O183" s="39"/>
      <c r="P183" s="38"/>
      <c r="Q183" s="38"/>
      <c r="R183" s="38"/>
      <c r="S183" s="38"/>
      <c r="T183" s="43"/>
      <c r="U183" s="38"/>
      <c r="V183" s="58"/>
      <c r="EA183" s="153"/>
      <c r="ED183" s="53"/>
      <c r="EE183" s="38"/>
      <c r="EJ183" s="53"/>
      <c r="EK183" s="38"/>
      <c r="EN183" s="53"/>
      <c r="EO183" s="153"/>
      <c r="ES183" s="214"/>
      <c r="ET183" s="53"/>
      <c r="EU183" s="1360">
        <f t="shared" ca="1" si="817"/>
        <v>0</v>
      </c>
      <c r="EV183" s="173">
        <v>35</v>
      </c>
      <c r="EW183" s="1">
        <v>30</v>
      </c>
      <c r="EX183" s="55">
        <v>41852</v>
      </c>
      <c r="EY183" s="55">
        <f t="shared" si="810"/>
        <v>52809.5</v>
      </c>
      <c r="EZ183" s="61">
        <f t="shared" ref="EZ183:EZ246" ca="1" si="845">IF(EX183&gt;$G$1,0,DATEDIF(EX183,$G$1,"M"))</f>
        <v>30</v>
      </c>
      <c r="FA183" s="37" t="s">
        <v>670</v>
      </c>
      <c r="FB183" s="39">
        <v>35.94</v>
      </c>
      <c r="FC183" s="39">
        <f t="shared" si="830"/>
        <v>0.93999999999999773</v>
      </c>
      <c r="FD183" s="40">
        <f t="shared" si="831"/>
        <v>2.6857142857142691E-2</v>
      </c>
      <c r="FE183" s="39">
        <f t="shared" ca="1" si="818"/>
        <v>3.1333333333333255E-2</v>
      </c>
      <c r="FF183" s="43">
        <f t="shared" ref="FF183:FF246" ca="1" si="846">IF(EX183&lt;$G$1-365.25,1,0)</f>
        <v>1</v>
      </c>
      <c r="FG183" s="214"/>
      <c r="FH183" s="987"/>
      <c r="FJ183" s="58"/>
      <c r="FK183" s="67"/>
      <c r="FL183" s="58"/>
      <c r="FR183" s="53"/>
      <c r="FS183" s="69"/>
      <c r="FX183" s="67"/>
      <c r="GE183" s="144"/>
    </row>
    <row r="184" spans="4:187" ht="13.5" thickBot="1">
      <c r="D184" s="454">
        <v>100</v>
      </c>
      <c r="E184" s="102">
        <f>D184/12</f>
        <v>8.3333333333333339</v>
      </c>
      <c r="F184" s="102">
        <f>D184/4</f>
        <v>25</v>
      </c>
      <c r="G184" s="102">
        <f>D184/2</f>
        <v>50</v>
      </c>
      <c r="H184" s="88">
        <f>D184/1</f>
        <v>100</v>
      </c>
      <c r="J184" s="150">
        <f t="shared" ca="1" si="844"/>
        <v>2022</v>
      </c>
      <c r="K184" s="96">
        <f t="shared" ca="1" si="842"/>
        <v>0</v>
      </c>
      <c r="L184" s="1013">
        <f t="shared" ca="1" si="843"/>
        <v>0</v>
      </c>
      <c r="M184" s="355"/>
      <c r="N184" s="355"/>
      <c r="O184" s="39"/>
      <c r="P184" s="38"/>
      <c r="Q184" s="38"/>
      <c r="R184" s="38"/>
      <c r="S184" s="38"/>
      <c r="T184" s="43"/>
      <c r="U184" s="38"/>
      <c r="V184" s="58"/>
      <c r="EA184" s="153"/>
      <c r="ED184" s="53"/>
      <c r="EE184" s="38"/>
      <c r="EJ184" s="53"/>
      <c r="EK184" s="38"/>
      <c r="EN184" s="53"/>
      <c r="EO184" s="153"/>
      <c r="ES184" s="214"/>
      <c r="ET184" s="53"/>
      <c r="EU184" s="1360">
        <f t="shared" ca="1" si="817"/>
        <v>0</v>
      </c>
      <c r="EV184" s="173">
        <v>35</v>
      </c>
      <c r="EW184" s="1">
        <v>30</v>
      </c>
      <c r="EX184" s="55">
        <v>41852</v>
      </c>
      <c r="EY184" s="55">
        <f t="shared" ref="EY184:EY247" si="847">EX184+EW184*365.25</f>
        <v>52809.5</v>
      </c>
      <c r="EZ184" s="61">
        <f t="shared" ca="1" si="845"/>
        <v>30</v>
      </c>
      <c r="FA184" s="37" t="s">
        <v>671</v>
      </c>
      <c r="FB184" s="39">
        <v>35.94</v>
      </c>
      <c r="FC184" s="39">
        <f t="shared" si="830"/>
        <v>0.93999999999999773</v>
      </c>
      <c r="FD184" s="40">
        <f t="shared" si="831"/>
        <v>2.6857142857142691E-2</v>
      </c>
      <c r="FE184" s="39">
        <f t="shared" ca="1" si="818"/>
        <v>3.1333333333333255E-2</v>
      </c>
      <c r="FF184" s="43">
        <f t="shared" ca="1" si="846"/>
        <v>1</v>
      </c>
      <c r="FG184" s="214"/>
      <c r="FH184" s="987"/>
      <c r="FJ184" s="58"/>
      <c r="FK184" s="67"/>
      <c r="FL184" s="58"/>
      <c r="FR184" s="53"/>
      <c r="FS184" s="550">
        <v>15</v>
      </c>
      <c r="FT184" s="58">
        <v>1</v>
      </c>
      <c r="FU184" s="38">
        <v>1</v>
      </c>
      <c r="FV184" s="38">
        <f t="shared" ref="FV184:FV195" si="848">(1+$FY$2/2)^(FU184/6)</f>
        <v>1.0002498438930771</v>
      </c>
      <c r="FW184" s="39">
        <f>$FW$182*FV184</f>
        <v>26.078055338065401</v>
      </c>
      <c r="FX184" s="153"/>
      <c r="GE184" s="144"/>
    </row>
    <row r="185" spans="4:187">
      <c r="J185" s="150">
        <f t="shared" ca="1" si="844"/>
        <v>2023</v>
      </c>
      <c r="K185" s="96">
        <f t="shared" ca="1" si="842"/>
        <v>200</v>
      </c>
      <c r="L185" s="1013">
        <f t="shared" ca="1" si="843"/>
        <v>7.0922891214214084E-3</v>
      </c>
      <c r="M185" s="355"/>
      <c r="N185" s="355"/>
      <c r="O185" s="39"/>
      <c r="P185" s="38"/>
      <c r="Q185" s="38"/>
      <c r="R185" s="38"/>
      <c r="S185" s="38"/>
      <c r="T185" s="43"/>
      <c r="U185" s="38"/>
      <c r="V185" s="58"/>
      <c r="EA185" s="153"/>
      <c r="ED185" s="53"/>
      <c r="EE185" s="38"/>
      <c r="EJ185" s="53"/>
      <c r="EK185" s="38"/>
      <c r="EN185" s="53"/>
      <c r="EO185" s="153"/>
      <c r="ES185" s="214"/>
      <c r="ET185" s="53"/>
      <c r="EU185" s="1360">
        <f t="shared" ca="1" si="817"/>
        <v>0</v>
      </c>
      <c r="EV185" s="173">
        <v>35</v>
      </c>
      <c r="EW185" s="1">
        <v>30</v>
      </c>
      <c r="EX185" s="55">
        <v>41852</v>
      </c>
      <c r="EY185" s="55">
        <f t="shared" si="847"/>
        <v>52809.5</v>
      </c>
      <c r="EZ185" s="61">
        <f t="shared" ca="1" si="845"/>
        <v>30</v>
      </c>
      <c r="FA185" s="37" t="s">
        <v>672</v>
      </c>
      <c r="FB185" s="39">
        <v>35.94</v>
      </c>
      <c r="FC185" s="39">
        <f t="shared" ref="FC185:FC187" si="849">FB185-EV185</f>
        <v>0.93999999999999773</v>
      </c>
      <c r="FD185" s="40">
        <f t="shared" ref="FD185:FD187" si="850">FB185/EV185-1</f>
        <v>2.6857142857142691E-2</v>
      </c>
      <c r="FE185" s="39">
        <f t="shared" ca="1" si="818"/>
        <v>3.1333333333333255E-2</v>
      </c>
      <c r="FF185" s="43">
        <f t="shared" ca="1" si="846"/>
        <v>1</v>
      </c>
      <c r="FG185" s="214"/>
      <c r="FH185" s="987"/>
      <c r="FJ185" s="58"/>
      <c r="FK185" s="67"/>
      <c r="FL185" s="58"/>
      <c r="FR185" s="53"/>
      <c r="FS185" s="550">
        <v>15</v>
      </c>
      <c r="FT185" s="58">
        <v>1</v>
      </c>
      <c r="FU185" s="38">
        <v>2</v>
      </c>
      <c r="FV185" s="38">
        <f t="shared" si="848"/>
        <v>1.0004997502081252</v>
      </c>
      <c r="FW185" s="39">
        <f t="shared" ref="FW185:FW189" si="851">$FW$182*FV185</f>
        <v>26.084570780934943</v>
      </c>
      <c r="FX185" s="153"/>
      <c r="GE185" s="144"/>
    </row>
    <row r="186" spans="4:187">
      <c r="D186" s="53" t="s">
        <v>866</v>
      </c>
      <c r="E186" s="52" t="s">
        <v>1247</v>
      </c>
      <c r="F186" s="53" t="s">
        <v>869</v>
      </c>
      <c r="G186" s="53">
        <v>1</v>
      </c>
      <c r="H186" s="386"/>
      <c r="J186" s="150">
        <f t="shared" ca="1" si="844"/>
        <v>2024</v>
      </c>
      <c r="K186" s="96">
        <f t="shared" ca="1" si="842"/>
        <v>400</v>
      </c>
      <c r="L186" s="1013">
        <f t="shared" ca="1" si="843"/>
        <v>1.4184578242842817E-2</v>
      </c>
      <c r="M186" s="355"/>
      <c r="N186" s="355"/>
      <c r="O186" s="39"/>
      <c r="P186" s="38"/>
      <c r="Q186" s="38"/>
      <c r="R186" s="38"/>
      <c r="S186" s="38"/>
      <c r="T186" s="43"/>
      <c r="U186" s="38"/>
      <c r="V186" s="58"/>
      <c r="EA186" s="153"/>
      <c r="ED186" s="53"/>
      <c r="EE186" s="38"/>
      <c r="EJ186" s="53"/>
      <c r="EK186" s="38"/>
      <c r="EN186" s="53"/>
      <c r="EO186" s="153"/>
      <c r="ES186" s="214"/>
      <c r="ET186" s="53"/>
      <c r="EU186" s="1360">
        <f t="shared" ca="1" si="817"/>
        <v>0</v>
      </c>
      <c r="EV186" s="173">
        <v>35</v>
      </c>
      <c r="EW186" s="1">
        <v>30</v>
      </c>
      <c r="EX186" s="55">
        <v>41852</v>
      </c>
      <c r="EY186" s="55">
        <f t="shared" si="847"/>
        <v>52809.5</v>
      </c>
      <c r="EZ186" s="61">
        <f t="shared" ca="1" si="845"/>
        <v>30</v>
      </c>
      <c r="FA186" s="37" t="s">
        <v>673</v>
      </c>
      <c r="FB186" s="39">
        <v>35.94</v>
      </c>
      <c r="FC186" s="39">
        <f t="shared" ref="FC186" si="852">FB186-EV186</f>
        <v>0.93999999999999773</v>
      </c>
      <c r="FD186" s="40">
        <f t="shared" ref="FD186" si="853">FB186/EV186-1</f>
        <v>2.6857142857142691E-2</v>
      </c>
      <c r="FE186" s="39">
        <f t="shared" ca="1" si="818"/>
        <v>3.1333333333333255E-2</v>
      </c>
      <c r="FF186" s="43">
        <f t="shared" ca="1" si="846"/>
        <v>1</v>
      </c>
      <c r="FG186" s="214"/>
      <c r="FH186" s="987"/>
      <c r="FJ186" s="58"/>
      <c r="FK186" s="67"/>
      <c r="FL186" s="58"/>
      <c r="FR186" s="53"/>
      <c r="FS186" s="550">
        <v>15</v>
      </c>
      <c r="FT186" s="58">
        <v>1</v>
      </c>
      <c r="FU186" s="38">
        <v>3</v>
      </c>
      <c r="FV186" s="38">
        <f t="shared" si="848"/>
        <v>1.0007497189607399</v>
      </c>
      <c r="FW186" s="39">
        <f t="shared" si="851"/>
        <v>26.091087851648101</v>
      </c>
      <c r="FX186" s="153"/>
      <c r="GE186" s="144"/>
    </row>
    <row r="187" spans="4:187">
      <c r="D187" s="53" t="s">
        <v>9</v>
      </c>
      <c r="E187" s="52" t="s">
        <v>1248</v>
      </c>
      <c r="F187" s="53" t="s">
        <v>870</v>
      </c>
      <c r="G187" s="53">
        <v>3</v>
      </c>
      <c r="H187" s="386"/>
      <c r="J187" s="150">
        <f t="shared" ca="1" si="844"/>
        <v>2025</v>
      </c>
      <c r="K187" s="96">
        <f t="shared" ca="1" si="842"/>
        <v>500</v>
      </c>
      <c r="L187" s="1013">
        <f t="shared" ca="1" si="843"/>
        <v>1.773072280355352E-2</v>
      </c>
      <c r="M187" s="355"/>
      <c r="N187" s="355"/>
      <c r="O187" s="39"/>
      <c r="P187" s="38"/>
      <c r="Q187" s="38"/>
      <c r="R187" s="38"/>
      <c r="S187" s="38"/>
      <c r="T187" s="43"/>
      <c r="U187" s="38"/>
      <c r="V187" s="58"/>
      <c r="EA187" s="153"/>
      <c r="ED187" s="53"/>
      <c r="EE187" s="38"/>
      <c r="EJ187" s="53"/>
      <c r="EK187" s="38"/>
      <c r="EN187" s="53"/>
      <c r="EO187" s="153"/>
      <c r="ES187" s="214"/>
      <c r="ET187" s="53"/>
      <c r="EU187" s="1360">
        <f t="shared" ca="1" si="817"/>
        <v>0</v>
      </c>
      <c r="EV187" s="173">
        <v>200</v>
      </c>
      <c r="EW187" s="1">
        <v>30</v>
      </c>
      <c r="EX187" s="55">
        <v>41852</v>
      </c>
      <c r="EY187" s="55">
        <f t="shared" si="847"/>
        <v>52809.5</v>
      </c>
      <c r="EZ187" s="61">
        <f t="shared" ca="1" si="845"/>
        <v>30</v>
      </c>
      <c r="FA187" s="37" t="s">
        <v>687</v>
      </c>
      <c r="FB187" s="39">
        <v>205.36</v>
      </c>
      <c r="FC187" s="39">
        <f t="shared" si="849"/>
        <v>5.3600000000000136</v>
      </c>
      <c r="FD187" s="40">
        <f t="shared" si="850"/>
        <v>2.6800000000000157E-2</v>
      </c>
      <c r="FE187" s="39">
        <f t="shared" ca="1" si="818"/>
        <v>0.17866666666666711</v>
      </c>
      <c r="FF187" s="43">
        <f t="shared" ca="1" si="846"/>
        <v>1</v>
      </c>
      <c r="FG187" s="214"/>
      <c r="FH187" s="987"/>
      <c r="FJ187" s="58"/>
      <c r="FK187" s="67"/>
      <c r="FL187" s="58"/>
      <c r="FR187" s="53"/>
      <c r="FS187" s="550">
        <v>15</v>
      </c>
      <c r="FT187" s="58">
        <v>1</v>
      </c>
      <c r="FU187" s="38">
        <v>4</v>
      </c>
      <c r="FV187" s="38">
        <f t="shared" si="848"/>
        <v>1.0009997501665211</v>
      </c>
      <c r="FW187" s="39">
        <f t="shared" si="851"/>
        <v>26.097606550611577</v>
      </c>
      <c r="FX187" s="153"/>
      <c r="GE187" s="144"/>
    </row>
    <row r="188" spans="4:187">
      <c r="D188" s="53" t="s">
        <v>867</v>
      </c>
      <c r="E188" s="52" t="s">
        <v>1249</v>
      </c>
      <c r="F188" s="53" t="s">
        <v>871</v>
      </c>
      <c r="G188" s="53">
        <v>2</v>
      </c>
      <c r="H188" s="386"/>
      <c r="J188" s="150">
        <f t="shared" ca="1" si="844"/>
        <v>2026</v>
      </c>
      <c r="K188" s="96">
        <f t="shared" ca="1" si="842"/>
        <v>600</v>
      </c>
      <c r="L188" s="1013">
        <f t="shared" ca="1" si="843"/>
        <v>2.1276867364264224E-2</v>
      </c>
      <c r="M188" s="355"/>
      <c r="N188" s="355"/>
      <c r="O188" s="39"/>
      <c r="P188" s="38"/>
      <c r="Q188" s="38"/>
      <c r="R188" s="38"/>
      <c r="S188" s="38"/>
      <c r="T188" s="43"/>
      <c r="U188" s="38"/>
      <c r="V188" s="58"/>
      <c r="EA188" s="153"/>
      <c r="ED188" s="53"/>
      <c r="EE188" s="38"/>
      <c r="EJ188" s="53"/>
      <c r="EK188" s="38"/>
      <c r="EN188" s="53"/>
      <c r="EO188" s="153"/>
      <c r="ES188" s="214"/>
      <c r="ET188" s="53"/>
      <c r="EU188" s="1360">
        <f t="shared" ca="1" si="817"/>
        <v>0</v>
      </c>
      <c r="EV188" s="173">
        <v>200</v>
      </c>
      <c r="EW188" s="1">
        <v>30</v>
      </c>
      <c r="EX188" s="55">
        <v>41852</v>
      </c>
      <c r="EY188" s="55">
        <f t="shared" si="847"/>
        <v>52809.5</v>
      </c>
      <c r="EZ188" s="61">
        <f t="shared" ca="1" si="845"/>
        <v>30</v>
      </c>
      <c r="FA188" s="37" t="s">
        <v>689</v>
      </c>
      <c r="FB188" s="39">
        <v>205.36</v>
      </c>
      <c r="FC188" s="39">
        <f t="shared" ref="FC188" si="854">FB188-EV188</f>
        <v>5.3600000000000136</v>
      </c>
      <c r="FD188" s="40">
        <f t="shared" ref="FD188" si="855">FB188/EV188-1</f>
        <v>2.6800000000000157E-2</v>
      </c>
      <c r="FE188" s="39">
        <f t="shared" ca="1" si="818"/>
        <v>0.17866666666666711</v>
      </c>
      <c r="FF188" s="43">
        <f t="shared" ca="1" si="846"/>
        <v>1</v>
      </c>
      <c r="FG188" s="214"/>
      <c r="FH188" s="987"/>
      <c r="FJ188" s="58"/>
      <c r="FK188" s="67"/>
      <c r="FL188" s="58"/>
      <c r="FR188" s="53"/>
      <c r="FS188" s="550">
        <v>15</v>
      </c>
      <c r="FT188" s="58">
        <v>1</v>
      </c>
      <c r="FU188" s="38">
        <v>5</v>
      </c>
      <c r="FV188" s="38">
        <f t="shared" si="848"/>
        <v>1.001249843841072</v>
      </c>
      <c r="FW188" s="39">
        <f t="shared" si="851"/>
        <v>26.104126878232179</v>
      </c>
      <c r="FX188" s="153"/>
      <c r="GE188" s="144"/>
    </row>
    <row r="189" spans="4:187">
      <c r="D189" s="53" t="s">
        <v>300</v>
      </c>
      <c r="E189" s="53" t="s">
        <v>872</v>
      </c>
      <c r="J189" s="150">
        <f t="shared" ca="1" si="844"/>
        <v>2027</v>
      </c>
      <c r="K189" s="96">
        <f t="shared" ca="1" si="842"/>
        <v>200</v>
      </c>
      <c r="L189" s="1013">
        <f t="shared" ca="1" si="843"/>
        <v>7.0922891214214084E-3</v>
      </c>
      <c r="M189" s="355"/>
      <c r="N189" s="355"/>
      <c r="O189" s="39"/>
      <c r="P189" s="38"/>
      <c r="Q189" s="38"/>
      <c r="R189" s="38"/>
      <c r="S189" s="38"/>
      <c r="T189" s="43"/>
      <c r="U189" s="38"/>
      <c r="V189" s="58"/>
      <c r="EA189" s="153"/>
      <c r="ED189" s="53"/>
      <c r="EE189" s="38"/>
      <c r="EJ189" s="53"/>
      <c r="EK189" s="38"/>
      <c r="EN189" s="53"/>
      <c r="EO189" s="153"/>
      <c r="ES189" s="214"/>
      <c r="ET189" s="53"/>
      <c r="EU189" s="1360">
        <f t="shared" ca="1" si="817"/>
        <v>0</v>
      </c>
      <c r="EV189" s="173">
        <v>35</v>
      </c>
      <c r="EW189" s="1">
        <v>30</v>
      </c>
      <c r="EX189" s="55">
        <v>41821</v>
      </c>
      <c r="EY189" s="55">
        <f t="shared" si="847"/>
        <v>52778.5</v>
      </c>
      <c r="EZ189" s="61">
        <f t="shared" ca="1" si="845"/>
        <v>31</v>
      </c>
      <c r="FA189" s="37" t="s">
        <v>616</v>
      </c>
      <c r="FB189" s="39">
        <v>35.94</v>
      </c>
      <c r="FC189" s="39">
        <f t="shared" si="830"/>
        <v>0.93999999999999773</v>
      </c>
      <c r="FD189" s="40">
        <f t="shared" si="831"/>
        <v>2.6857142857142691E-2</v>
      </c>
      <c r="FE189" s="39">
        <f t="shared" ca="1" si="818"/>
        <v>3.0322580645161218E-2</v>
      </c>
      <c r="FF189" s="43">
        <f t="shared" ca="1" si="846"/>
        <v>1</v>
      </c>
      <c r="FG189" s="214"/>
      <c r="FH189" s="987"/>
      <c r="FJ189" s="58"/>
      <c r="FK189" s="67"/>
      <c r="FL189" s="58"/>
      <c r="FR189" s="53"/>
      <c r="FS189" s="550">
        <v>15</v>
      </c>
      <c r="FT189" s="58">
        <v>1</v>
      </c>
      <c r="FU189" s="38">
        <v>6</v>
      </c>
      <c r="FV189" s="38">
        <f t="shared" si="848"/>
        <v>1.0015000000000001</v>
      </c>
      <c r="FW189" s="39">
        <f t="shared" si="851"/>
        <v>26.110648834916812</v>
      </c>
      <c r="FX189" s="153"/>
      <c r="GE189" s="144"/>
    </row>
    <row r="190" spans="4:187">
      <c r="D190" s="53" t="s">
        <v>868</v>
      </c>
      <c r="E190" s="53" t="s">
        <v>870</v>
      </c>
      <c r="J190" s="150">
        <f t="shared" ca="1" si="844"/>
        <v>2028</v>
      </c>
      <c r="K190" s="96">
        <f t="shared" ca="1" si="842"/>
        <v>0</v>
      </c>
      <c r="L190" s="1013">
        <f t="shared" ca="1" si="843"/>
        <v>0</v>
      </c>
      <c r="M190" s="355"/>
      <c r="N190" s="355"/>
      <c r="O190" s="39"/>
      <c r="P190" s="38"/>
      <c r="Q190" s="38"/>
      <c r="R190" s="38"/>
      <c r="S190" s="38"/>
      <c r="T190" s="43"/>
      <c r="U190" s="38"/>
      <c r="V190" s="58"/>
      <c r="EA190" s="153"/>
      <c r="ED190" s="53"/>
      <c r="EE190" s="38"/>
      <c r="EJ190" s="53"/>
      <c r="EK190" s="38"/>
      <c r="EN190" s="53"/>
      <c r="EO190" s="153"/>
      <c r="ES190" s="214"/>
      <c r="ET190" s="53"/>
      <c r="EU190" s="1360">
        <f t="shared" ca="1" si="817"/>
        <v>0</v>
      </c>
      <c r="EV190" s="173">
        <v>35</v>
      </c>
      <c r="EW190" s="1">
        <v>30</v>
      </c>
      <c r="EX190" s="55">
        <v>41821</v>
      </c>
      <c r="EY190" s="55">
        <f t="shared" si="847"/>
        <v>52778.5</v>
      </c>
      <c r="EZ190" s="61">
        <f t="shared" ca="1" si="845"/>
        <v>31</v>
      </c>
      <c r="FA190" s="37" t="s">
        <v>615</v>
      </c>
      <c r="FB190" s="39">
        <v>35.94</v>
      </c>
      <c r="FC190" s="39">
        <f t="shared" si="830"/>
        <v>0.93999999999999773</v>
      </c>
      <c r="FD190" s="40">
        <f t="shared" si="831"/>
        <v>2.6857142857142691E-2</v>
      </c>
      <c r="FE190" s="39">
        <f t="shared" ca="1" si="818"/>
        <v>3.0322580645161218E-2</v>
      </c>
      <c r="FF190" s="43">
        <f t="shared" ca="1" si="846"/>
        <v>1</v>
      </c>
      <c r="FG190" s="214"/>
      <c r="FH190" s="987"/>
      <c r="FJ190" s="58"/>
      <c r="FK190" s="67"/>
      <c r="FL190" s="58"/>
      <c r="FR190" s="53"/>
      <c r="FS190" s="550">
        <v>15</v>
      </c>
      <c r="FT190" s="58">
        <v>2</v>
      </c>
      <c r="FU190" s="38">
        <v>1</v>
      </c>
      <c r="FV190" s="38">
        <f t="shared" si="848"/>
        <v>1.0002498438930771</v>
      </c>
      <c r="FW190" s="39">
        <f>$FW$189*FV190</f>
        <v>26.1171724210725</v>
      </c>
      <c r="FX190" s="153"/>
      <c r="GE190" s="144"/>
    </row>
    <row r="191" spans="4:187">
      <c r="J191" s="150">
        <f t="shared" ca="1" si="844"/>
        <v>2029</v>
      </c>
      <c r="K191" s="96">
        <f t="shared" ca="1" si="842"/>
        <v>0</v>
      </c>
      <c r="L191" s="1013">
        <f t="shared" ca="1" si="843"/>
        <v>0</v>
      </c>
      <c r="M191" s="355"/>
      <c r="N191" s="355"/>
      <c r="O191" s="39"/>
      <c r="P191" s="38"/>
      <c r="Q191" s="38"/>
      <c r="R191" s="38"/>
      <c r="S191" s="38"/>
      <c r="T191" s="43"/>
      <c r="U191" s="38"/>
      <c r="V191" s="58"/>
      <c r="EA191" s="153"/>
      <c r="ED191" s="53"/>
      <c r="EE191" s="38"/>
      <c r="EJ191" s="53"/>
      <c r="EK191" s="38"/>
      <c r="EN191" s="53"/>
      <c r="EO191" s="153"/>
      <c r="ES191" s="214"/>
      <c r="ET191" s="53"/>
      <c r="EU191" s="1360">
        <f t="shared" ca="1" si="817"/>
        <v>0</v>
      </c>
      <c r="EV191" s="173">
        <v>35</v>
      </c>
      <c r="EW191" s="1">
        <v>30</v>
      </c>
      <c r="EX191" s="55">
        <v>41821</v>
      </c>
      <c r="EY191" s="55">
        <f t="shared" si="847"/>
        <v>52778.5</v>
      </c>
      <c r="EZ191" s="61">
        <f t="shared" ca="1" si="845"/>
        <v>31</v>
      </c>
      <c r="FA191" s="38" t="s">
        <v>642</v>
      </c>
      <c r="FB191" s="39">
        <v>35.94</v>
      </c>
      <c r="FC191" s="39">
        <f t="shared" si="830"/>
        <v>0.93999999999999773</v>
      </c>
      <c r="FD191" s="40">
        <f t="shared" si="831"/>
        <v>2.6857142857142691E-2</v>
      </c>
      <c r="FE191" s="39">
        <f t="shared" ca="1" si="818"/>
        <v>3.0322580645161218E-2</v>
      </c>
      <c r="FF191" s="43">
        <f t="shared" ca="1" si="846"/>
        <v>1</v>
      </c>
      <c r="FG191" s="214"/>
      <c r="FH191" s="987"/>
      <c r="FJ191" s="58"/>
      <c r="FK191" s="67"/>
      <c r="FL191" s="58"/>
      <c r="FR191" s="53"/>
      <c r="FS191" s="550">
        <v>15</v>
      </c>
      <c r="FT191" s="58">
        <v>2</v>
      </c>
      <c r="FU191" s="38">
        <v>2</v>
      </c>
      <c r="FV191" s="38">
        <f t="shared" si="848"/>
        <v>1.0004997502081252</v>
      </c>
      <c r="FW191" s="39">
        <f t="shared" ref="FW191:FW195" si="856">$FW$189*FV191</f>
        <v>26.123697637106346</v>
      </c>
      <c r="FX191" s="153"/>
      <c r="GE191" s="144"/>
    </row>
    <row r="192" spans="4:187">
      <c r="D192" s="52" t="s">
        <v>1225</v>
      </c>
      <c r="J192" s="150">
        <f t="shared" ca="1" si="844"/>
        <v>2030</v>
      </c>
      <c r="K192" s="96">
        <f t="shared" ca="1" si="842"/>
        <v>0</v>
      </c>
      <c r="L192" s="1013">
        <f t="shared" ca="1" si="843"/>
        <v>0</v>
      </c>
      <c r="M192" s="355"/>
      <c r="N192" s="355"/>
      <c r="O192" s="39"/>
      <c r="P192" s="38"/>
      <c r="Q192" s="38"/>
      <c r="R192" s="38"/>
      <c r="S192" s="38"/>
      <c r="T192" s="43"/>
      <c r="U192" s="38"/>
      <c r="V192" s="58"/>
      <c r="EA192" s="153"/>
      <c r="ED192" s="53"/>
      <c r="EE192" s="38"/>
      <c r="EJ192" s="53"/>
      <c r="EK192" s="38"/>
      <c r="EN192" s="53"/>
      <c r="EO192" s="153"/>
      <c r="ES192" s="214"/>
      <c r="ET192" s="53"/>
      <c r="EU192" s="1360">
        <f t="shared" ca="1" si="817"/>
        <v>0</v>
      </c>
      <c r="EV192" s="173">
        <v>35</v>
      </c>
      <c r="EW192" s="1">
        <v>30</v>
      </c>
      <c r="EX192" s="55">
        <v>41821</v>
      </c>
      <c r="EY192" s="55">
        <f t="shared" si="847"/>
        <v>52778.5</v>
      </c>
      <c r="EZ192" s="61">
        <f t="shared" ca="1" si="845"/>
        <v>31</v>
      </c>
      <c r="FA192" s="38" t="s">
        <v>643</v>
      </c>
      <c r="FB192" s="39">
        <v>35.94</v>
      </c>
      <c r="FC192" s="39">
        <f t="shared" si="830"/>
        <v>0.93999999999999773</v>
      </c>
      <c r="FD192" s="40">
        <f t="shared" si="831"/>
        <v>2.6857142857142691E-2</v>
      </c>
      <c r="FE192" s="39">
        <f t="shared" ca="1" si="818"/>
        <v>3.0322580645161218E-2</v>
      </c>
      <c r="FF192" s="43">
        <f t="shared" ca="1" si="846"/>
        <v>1</v>
      </c>
      <c r="FG192" s="214"/>
      <c r="FH192" s="987"/>
      <c r="FJ192" s="58"/>
      <c r="FK192" s="67"/>
      <c r="FL192" s="58"/>
      <c r="FR192" s="53"/>
      <c r="FS192" s="550">
        <v>15</v>
      </c>
      <c r="FT192" s="58">
        <v>2</v>
      </c>
      <c r="FU192" s="38">
        <v>3</v>
      </c>
      <c r="FV192" s="38">
        <f t="shared" si="848"/>
        <v>1.0007497189607399</v>
      </c>
      <c r="FW192" s="39">
        <f t="shared" si="856"/>
        <v>26.130224483425572</v>
      </c>
      <c r="FX192" s="153"/>
      <c r="GE192" s="144"/>
    </row>
    <row r="193" spans="4:187">
      <c r="D193" s="52" t="s">
        <v>1226</v>
      </c>
      <c r="J193" s="150">
        <f t="shared" ca="1" si="844"/>
        <v>2031</v>
      </c>
      <c r="K193" s="96">
        <f t="shared" ca="1" si="842"/>
        <v>0</v>
      </c>
      <c r="L193" s="1013">
        <f t="shared" ca="1" si="843"/>
        <v>0</v>
      </c>
      <c r="M193" s="355"/>
      <c r="N193" s="355"/>
      <c r="O193" s="39"/>
      <c r="P193" s="38"/>
      <c r="Q193" s="38"/>
      <c r="R193" s="38"/>
      <c r="S193" s="38"/>
      <c r="T193" s="43"/>
      <c r="U193" s="38"/>
      <c r="V193" s="58"/>
      <c r="EA193" s="153"/>
      <c r="ED193" s="53"/>
      <c r="EE193" s="38"/>
      <c r="EJ193" s="53"/>
      <c r="EK193" s="38"/>
      <c r="EN193" s="53"/>
      <c r="EO193" s="153"/>
      <c r="ES193" s="214"/>
      <c r="ET193" s="53"/>
      <c r="EU193" s="1360">
        <f t="shared" ca="1" si="817"/>
        <v>0</v>
      </c>
      <c r="EV193" s="173">
        <v>35</v>
      </c>
      <c r="EW193" s="1">
        <v>30</v>
      </c>
      <c r="EX193" s="55">
        <v>41791</v>
      </c>
      <c r="EY193" s="55">
        <f t="shared" si="847"/>
        <v>52748.5</v>
      </c>
      <c r="EZ193" s="61">
        <f t="shared" ca="1" si="845"/>
        <v>32</v>
      </c>
      <c r="FA193" s="37" t="s">
        <v>585</v>
      </c>
      <c r="FB193" s="39">
        <v>35.950000000000003</v>
      </c>
      <c r="FC193" s="39">
        <f t="shared" si="830"/>
        <v>0.95000000000000284</v>
      </c>
      <c r="FD193" s="40">
        <f t="shared" si="831"/>
        <v>2.7142857142857135E-2</v>
      </c>
      <c r="FE193" s="39">
        <f t="shared" ca="1" si="818"/>
        <v>2.9687500000000089E-2</v>
      </c>
      <c r="FF193" s="43">
        <f t="shared" ca="1" si="846"/>
        <v>1</v>
      </c>
      <c r="FG193" s="214"/>
      <c r="FH193" s="987"/>
      <c r="FJ193" s="58"/>
      <c r="FK193" s="67"/>
      <c r="FL193" s="58"/>
      <c r="FR193" s="53"/>
      <c r="FS193" s="550">
        <v>15</v>
      </c>
      <c r="FT193" s="58">
        <v>2</v>
      </c>
      <c r="FU193" s="38">
        <v>4</v>
      </c>
      <c r="FV193" s="38">
        <f t="shared" si="848"/>
        <v>1.0009997501665211</v>
      </c>
      <c r="FW193" s="39">
        <f t="shared" si="856"/>
        <v>26.136752960437494</v>
      </c>
      <c r="FX193" s="153"/>
      <c r="GE193" s="144"/>
    </row>
    <row r="194" spans="4:187">
      <c r="D194" s="52" t="s">
        <v>1228</v>
      </c>
      <c r="J194" s="150">
        <f t="shared" ca="1" si="844"/>
        <v>2032</v>
      </c>
      <c r="K194" s="96">
        <f t="shared" ca="1" si="842"/>
        <v>0</v>
      </c>
      <c r="L194" s="1013">
        <f t="shared" ca="1" si="843"/>
        <v>0</v>
      </c>
      <c r="M194" s="355"/>
      <c r="N194" s="355"/>
      <c r="O194" s="39"/>
      <c r="P194" s="38"/>
      <c r="Q194" s="38"/>
      <c r="R194" s="38"/>
      <c r="S194" s="38"/>
      <c r="T194" s="43"/>
      <c r="U194" s="38"/>
      <c r="V194" s="58"/>
      <c r="EA194" s="153"/>
      <c r="ED194" s="53"/>
      <c r="EE194" s="38"/>
      <c r="EJ194" s="53"/>
      <c r="EK194" s="38"/>
      <c r="EN194" s="53"/>
      <c r="EO194" s="153"/>
      <c r="ES194" s="214"/>
      <c r="ET194" s="53"/>
      <c r="EU194" s="1360">
        <f t="shared" ca="1" si="817"/>
        <v>0</v>
      </c>
      <c r="EV194" s="173">
        <v>35</v>
      </c>
      <c r="EW194" s="1">
        <v>30</v>
      </c>
      <c r="EX194" s="55">
        <v>41791</v>
      </c>
      <c r="EY194" s="55">
        <f t="shared" si="847"/>
        <v>52748.5</v>
      </c>
      <c r="EZ194" s="61">
        <f t="shared" ca="1" si="845"/>
        <v>32</v>
      </c>
      <c r="FA194" s="37" t="s">
        <v>586</v>
      </c>
      <c r="FB194" s="39">
        <v>35.950000000000003</v>
      </c>
      <c r="FC194" s="39">
        <f t="shared" si="830"/>
        <v>0.95000000000000284</v>
      </c>
      <c r="FD194" s="40">
        <f t="shared" si="831"/>
        <v>2.7142857142857135E-2</v>
      </c>
      <c r="FE194" s="39">
        <f t="shared" ca="1" si="818"/>
        <v>2.9687500000000089E-2</v>
      </c>
      <c r="FF194" s="43">
        <f t="shared" ca="1" si="846"/>
        <v>1</v>
      </c>
      <c r="FG194" s="214"/>
      <c r="FH194" s="987"/>
      <c r="FJ194" s="53"/>
      <c r="FK194" s="67"/>
      <c r="FL194" s="58"/>
      <c r="FR194" s="53"/>
      <c r="FS194" s="550">
        <v>15</v>
      </c>
      <c r="FT194" s="58">
        <v>2</v>
      </c>
      <c r="FU194" s="38">
        <v>5</v>
      </c>
      <c r="FV194" s="38">
        <f t="shared" si="848"/>
        <v>1.001249843841072</v>
      </c>
      <c r="FW194" s="39">
        <f t="shared" si="856"/>
        <v>26.143283068549525</v>
      </c>
      <c r="FX194" s="153"/>
      <c r="GE194" s="144"/>
    </row>
    <row r="195" spans="4:187">
      <c r="D195" s="52" t="s">
        <v>1227</v>
      </c>
      <c r="J195" s="150">
        <f t="shared" ca="1" si="844"/>
        <v>2033</v>
      </c>
      <c r="K195" s="96">
        <f t="shared" ca="1" si="842"/>
        <v>0</v>
      </c>
      <c r="L195" s="1013">
        <f t="shared" ca="1" si="843"/>
        <v>0</v>
      </c>
      <c r="M195" s="355"/>
      <c r="N195" s="355"/>
      <c r="O195" s="39"/>
      <c r="P195" s="38"/>
      <c r="Q195" s="38"/>
      <c r="R195" s="38"/>
      <c r="S195" s="38"/>
      <c r="T195" s="43"/>
      <c r="U195" s="38"/>
      <c r="V195" s="58"/>
      <c r="EA195" s="153"/>
      <c r="ED195" s="53"/>
      <c r="EE195" s="38"/>
      <c r="EJ195" s="53"/>
      <c r="EK195" s="38"/>
      <c r="EN195" s="53"/>
      <c r="EO195" s="153"/>
      <c r="ES195" s="214"/>
      <c r="ET195" s="53"/>
      <c r="EU195" s="1360">
        <f t="shared" ref="EU195:EU258" ca="1" si="857">IF(EX195&lt;$G$1-5*365.25,1,0)</f>
        <v>0</v>
      </c>
      <c r="EV195" s="173">
        <v>35</v>
      </c>
      <c r="EW195" s="1">
        <v>30</v>
      </c>
      <c r="EX195" s="55">
        <v>41791</v>
      </c>
      <c r="EY195" s="55">
        <f t="shared" si="847"/>
        <v>52748.5</v>
      </c>
      <c r="EZ195" s="61">
        <f t="shared" ca="1" si="845"/>
        <v>32</v>
      </c>
      <c r="FA195" s="37" t="s">
        <v>587</v>
      </c>
      <c r="FB195" s="39">
        <v>35.950000000000003</v>
      </c>
      <c r="FC195" s="39">
        <f t="shared" si="830"/>
        <v>0.95000000000000284</v>
      </c>
      <c r="FD195" s="40">
        <f t="shared" si="831"/>
        <v>2.7142857142857135E-2</v>
      </c>
      <c r="FE195" s="39">
        <f t="shared" ca="1" si="818"/>
        <v>2.9687500000000089E-2</v>
      </c>
      <c r="FF195" s="43">
        <f t="shared" ca="1" si="846"/>
        <v>1</v>
      </c>
      <c r="FG195" s="214"/>
      <c r="FH195" s="987"/>
      <c r="FJ195" s="53"/>
      <c r="FK195" s="67"/>
      <c r="FL195" s="58"/>
      <c r="FR195" s="53"/>
      <c r="FS195" s="550">
        <v>15</v>
      </c>
      <c r="FT195" s="58">
        <v>2</v>
      </c>
      <c r="FU195" s="38">
        <v>6</v>
      </c>
      <c r="FV195" s="38">
        <f t="shared" si="848"/>
        <v>1.0015000000000001</v>
      </c>
      <c r="FW195" s="39">
        <f t="shared" si="856"/>
        <v>26.149814808169189</v>
      </c>
      <c r="FX195" s="67"/>
      <c r="GE195" s="144"/>
    </row>
    <row r="196" spans="4:187">
      <c r="D196" s="52" t="s">
        <v>1229</v>
      </c>
      <c r="J196" s="150">
        <f t="shared" ca="1" si="844"/>
        <v>2034</v>
      </c>
      <c r="K196" s="96">
        <f t="shared" ca="1" si="842"/>
        <v>0</v>
      </c>
      <c r="L196" s="1013">
        <f t="shared" ca="1" si="843"/>
        <v>0</v>
      </c>
      <c r="M196" s="355"/>
      <c r="N196" s="355"/>
      <c r="O196" s="39"/>
      <c r="P196" s="38"/>
      <c r="Q196" s="38"/>
      <c r="R196" s="38"/>
      <c r="S196" s="38"/>
      <c r="T196" s="43"/>
      <c r="U196" s="38"/>
      <c r="V196" s="58"/>
      <c r="EA196" s="153"/>
      <c r="ED196" s="53"/>
      <c r="EE196" s="38"/>
      <c r="EJ196" s="53"/>
      <c r="EK196" s="38"/>
      <c r="EN196" s="53"/>
      <c r="EO196" s="153"/>
      <c r="ES196" s="214"/>
      <c r="ET196" s="53"/>
      <c r="EU196" s="1360">
        <f t="shared" ca="1" si="857"/>
        <v>0</v>
      </c>
      <c r="EV196" s="173">
        <v>35</v>
      </c>
      <c r="EW196" s="1">
        <v>30</v>
      </c>
      <c r="EX196" s="55">
        <v>41791</v>
      </c>
      <c r="EY196" s="55">
        <f t="shared" si="847"/>
        <v>52748.5</v>
      </c>
      <c r="EZ196" s="61">
        <f t="shared" ca="1" si="845"/>
        <v>32</v>
      </c>
      <c r="FA196" s="37" t="s">
        <v>588</v>
      </c>
      <c r="FB196" s="39">
        <v>35.950000000000003</v>
      </c>
      <c r="FC196" s="39">
        <f t="shared" si="830"/>
        <v>0.95000000000000284</v>
      </c>
      <c r="FD196" s="40">
        <f t="shared" si="831"/>
        <v>2.7142857142857135E-2</v>
      </c>
      <c r="FE196" s="39">
        <f t="shared" ref="FE196:FE259" ca="1" si="858">FC196/EZ196</f>
        <v>2.9687500000000089E-2</v>
      </c>
      <c r="FF196" s="43">
        <f t="shared" ca="1" si="846"/>
        <v>1</v>
      </c>
      <c r="FG196" s="214"/>
      <c r="FH196" s="987"/>
      <c r="FJ196" s="53"/>
      <c r="FK196" s="67"/>
      <c r="FL196" s="58"/>
      <c r="FR196" s="53"/>
      <c r="FS196" s="69"/>
      <c r="FX196" s="153"/>
      <c r="GE196" s="144"/>
    </row>
    <row r="197" spans="4:187">
      <c r="D197" s="52" t="s">
        <v>1230</v>
      </c>
      <c r="J197" s="150">
        <f t="shared" ca="1" si="844"/>
        <v>2035</v>
      </c>
      <c r="K197" s="96">
        <f t="shared" ca="1" si="842"/>
        <v>0</v>
      </c>
      <c r="L197" s="1013">
        <f t="shared" ca="1" si="843"/>
        <v>0</v>
      </c>
      <c r="M197" s="355"/>
      <c r="N197" s="355"/>
      <c r="O197" s="39"/>
      <c r="P197" s="38"/>
      <c r="Q197" s="38"/>
      <c r="R197" s="38"/>
      <c r="S197" s="38"/>
      <c r="T197" s="43"/>
      <c r="U197" s="38"/>
      <c r="V197" s="58"/>
      <c r="EA197" s="153"/>
      <c r="ED197" s="53"/>
      <c r="EE197" s="38"/>
      <c r="EJ197" s="53"/>
      <c r="EK197" s="38"/>
      <c r="EN197" s="53"/>
      <c r="EO197" s="153"/>
      <c r="ES197" s="214"/>
      <c r="ET197" s="53"/>
      <c r="EU197" s="1360">
        <f t="shared" ca="1" si="857"/>
        <v>0</v>
      </c>
      <c r="EV197" s="173">
        <v>35</v>
      </c>
      <c r="EW197" s="1">
        <v>30</v>
      </c>
      <c r="EX197" s="55">
        <v>41760</v>
      </c>
      <c r="EY197" s="55">
        <f t="shared" si="847"/>
        <v>52717.5</v>
      </c>
      <c r="EZ197" s="61">
        <f t="shared" ca="1" si="845"/>
        <v>33</v>
      </c>
      <c r="FA197" s="37" t="s">
        <v>570</v>
      </c>
      <c r="FB197" s="39">
        <v>35.950000000000003</v>
      </c>
      <c r="FC197" s="39">
        <f t="shared" si="830"/>
        <v>0.95000000000000284</v>
      </c>
      <c r="FD197" s="40">
        <f t="shared" si="831"/>
        <v>2.7142857142857135E-2</v>
      </c>
      <c r="FE197" s="39">
        <f t="shared" ca="1" si="858"/>
        <v>2.8787878787878873E-2</v>
      </c>
      <c r="FF197" s="43">
        <f t="shared" ca="1" si="846"/>
        <v>1</v>
      </c>
      <c r="FG197" s="214"/>
      <c r="FH197" s="987"/>
      <c r="FJ197" s="53"/>
      <c r="FK197" s="67"/>
      <c r="FL197" s="58"/>
      <c r="FR197" s="53"/>
      <c r="FS197" s="550">
        <v>16</v>
      </c>
      <c r="FT197" s="58">
        <v>1</v>
      </c>
      <c r="FU197" s="38">
        <v>1</v>
      </c>
      <c r="FV197" s="38">
        <f t="shared" ref="FV197:FV208" si="859">(1+$FY$2/2)^(FU197/6)</f>
        <v>1.0002498438930771</v>
      </c>
      <c r="FW197" s="39">
        <f>$FW$195*FV197</f>
        <v>26.156348179704107</v>
      </c>
      <c r="FX197" s="153"/>
      <c r="GE197" s="144"/>
    </row>
    <row r="198" spans="4:187">
      <c r="D198" s="52" t="s">
        <v>1250</v>
      </c>
      <c r="J198" s="150">
        <f t="shared" ca="1" si="844"/>
        <v>2036</v>
      </c>
      <c r="K198" s="96">
        <f t="shared" ca="1" si="842"/>
        <v>0</v>
      </c>
      <c r="L198" s="1013">
        <f t="shared" ca="1" si="843"/>
        <v>0</v>
      </c>
      <c r="M198" s="355"/>
      <c r="N198" s="355"/>
      <c r="O198" s="39"/>
      <c r="P198" s="38"/>
      <c r="Q198" s="38"/>
      <c r="R198" s="38"/>
      <c r="S198" s="38"/>
      <c r="T198" s="43"/>
      <c r="U198" s="38"/>
      <c r="V198" s="58"/>
      <c r="EA198" s="153"/>
      <c r="ED198" s="53"/>
      <c r="EE198" s="38"/>
      <c r="EJ198" s="53"/>
      <c r="EK198" s="38"/>
      <c r="EN198" s="53"/>
      <c r="EO198" s="153"/>
      <c r="ES198" s="214"/>
      <c r="ET198" s="53"/>
      <c r="EU198" s="1360">
        <f t="shared" ca="1" si="857"/>
        <v>0</v>
      </c>
      <c r="EV198" s="173">
        <v>35</v>
      </c>
      <c r="EW198" s="1">
        <v>30</v>
      </c>
      <c r="EX198" s="55">
        <v>41760</v>
      </c>
      <c r="EY198" s="55">
        <f t="shared" si="847"/>
        <v>52717.5</v>
      </c>
      <c r="EZ198" s="61">
        <f t="shared" ca="1" si="845"/>
        <v>33</v>
      </c>
      <c r="FA198" s="37" t="s">
        <v>571</v>
      </c>
      <c r="FB198" s="39">
        <v>35.950000000000003</v>
      </c>
      <c r="FC198" s="39">
        <f t="shared" si="830"/>
        <v>0.95000000000000284</v>
      </c>
      <c r="FD198" s="40">
        <f t="shared" si="831"/>
        <v>2.7142857142857135E-2</v>
      </c>
      <c r="FE198" s="39">
        <f t="shared" ca="1" si="858"/>
        <v>2.8787878787878873E-2</v>
      </c>
      <c r="FF198" s="43">
        <f t="shared" ca="1" si="846"/>
        <v>1</v>
      </c>
      <c r="FG198" s="214"/>
      <c r="FH198" s="987"/>
      <c r="FJ198" s="53"/>
      <c r="FK198" s="67"/>
      <c r="FL198" s="58"/>
      <c r="FR198" s="53"/>
      <c r="FS198" s="550">
        <v>16</v>
      </c>
      <c r="FT198" s="58">
        <v>1</v>
      </c>
      <c r="FU198" s="38">
        <v>2</v>
      </c>
      <c r="FV198" s="38">
        <f t="shared" si="859"/>
        <v>1.0004997502081252</v>
      </c>
      <c r="FW198" s="39">
        <f t="shared" ref="FW198:FW202" si="860">$FW$195*FV198</f>
        <v>26.162883183562009</v>
      </c>
      <c r="FX198" s="153"/>
      <c r="GE198" s="144"/>
    </row>
    <row r="199" spans="4:187" ht="13.5" thickBot="1">
      <c r="J199" s="150">
        <f t="shared" ca="1" si="844"/>
        <v>2037</v>
      </c>
      <c r="K199" s="96">
        <f t="shared" ca="1" si="842"/>
        <v>0</v>
      </c>
      <c r="L199" s="1013">
        <f t="shared" ca="1" si="843"/>
        <v>0</v>
      </c>
      <c r="M199" s="355"/>
      <c r="N199" s="355"/>
      <c r="O199" s="39"/>
      <c r="P199" s="38"/>
      <c r="Q199" s="38"/>
      <c r="R199" s="38"/>
      <c r="S199" s="38"/>
      <c r="T199" s="43"/>
      <c r="U199" s="38"/>
      <c r="V199" s="58"/>
      <c r="EA199" s="153"/>
      <c r="ED199" s="53"/>
      <c r="EE199" s="38"/>
      <c r="EJ199" s="53"/>
      <c r="EK199" s="38"/>
      <c r="EN199" s="53"/>
      <c r="EO199" s="153"/>
      <c r="ES199" s="214"/>
      <c r="ET199" s="53"/>
      <c r="EU199" s="1360">
        <f t="shared" ca="1" si="857"/>
        <v>0</v>
      </c>
      <c r="EV199" s="173">
        <v>35</v>
      </c>
      <c r="EW199" s="1">
        <v>30</v>
      </c>
      <c r="EX199" s="55">
        <v>41760</v>
      </c>
      <c r="EY199" s="55">
        <f t="shared" si="847"/>
        <v>52717.5</v>
      </c>
      <c r="EZ199" s="61">
        <f t="shared" ca="1" si="845"/>
        <v>33</v>
      </c>
      <c r="FA199" s="37" t="s">
        <v>572</v>
      </c>
      <c r="FB199" s="39">
        <v>35.950000000000003</v>
      </c>
      <c r="FC199" s="39">
        <f t="shared" si="830"/>
        <v>0.95000000000000284</v>
      </c>
      <c r="FD199" s="40">
        <f t="shared" si="831"/>
        <v>2.7142857142857135E-2</v>
      </c>
      <c r="FE199" s="39">
        <f t="shared" ca="1" si="858"/>
        <v>2.8787878787878873E-2</v>
      </c>
      <c r="FF199" s="43">
        <f t="shared" ca="1" si="846"/>
        <v>1</v>
      </c>
      <c r="FG199" s="214"/>
      <c r="FH199" s="987"/>
      <c r="FJ199" s="53"/>
      <c r="FK199" s="67"/>
      <c r="FL199" s="58"/>
      <c r="FR199" s="53"/>
      <c r="FS199" s="550">
        <v>16</v>
      </c>
      <c r="FT199" s="58">
        <v>1</v>
      </c>
      <c r="FU199" s="38">
        <v>3</v>
      </c>
      <c r="FV199" s="38">
        <f t="shared" si="859"/>
        <v>1.0007497189607399</v>
      </c>
      <c r="FW199" s="39">
        <f t="shared" si="860"/>
        <v>26.169419820150711</v>
      </c>
      <c r="FX199" s="153"/>
      <c r="GE199" s="144"/>
    </row>
    <row r="200" spans="4:187">
      <c r="D200" s="545" t="s">
        <v>1093</v>
      </c>
      <c r="E200" s="76" t="s">
        <v>1094</v>
      </c>
      <c r="F200" s="76" t="s">
        <v>1238</v>
      </c>
      <c r="G200" s="77" t="s">
        <v>1096</v>
      </c>
      <c r="J200" s="150">
        <f t="shared" ca="1" si="844"/>
        <v>2038</v>
      </c>
      <c r="K200" s="96">
        <f t="shared" ca="1" si="842"/>
        <v>0</v>
      </c>
      <c r="L200" s="1013">
        <f t="shared" ca="1" si="843"/>
        <v>0</v>
      </c>
      <c r="M200" s="355"/>
      <c r="N200" s="355"/>
      <c r="O200" s="39"/>
      <c r="P200" s="38"/>
      <c r="Q200" s="38"/>
      <c r="R200" s="38"/>
      <c r="S200" s="38"/>
      <c r="T200" s="43"/>
      <c r="U200" s="38"/>
      <c r="V200" s="58"/>
      <c r="EA200" s="153"/>
      <c r="ED200" s="53"/>
      <c r="EE200" s="38"/>
      <c r="EJ200" s="53"/>
      <c r="EK200" s="38"/>
      <c r="EN200" s="53"/>
      <c r="EO200" s="153"/>
      <c r="ES200" s="214"/>
      <c r="ET200" s="53"/>
      <c r="EU200" s="1360">
        <f t="shared" ca="1" si="857"/>
        <v>0</v>
      </c>
      <c r="EV200" s="173">
        <v>35</v>
      </c>
      <c r="EW200" s="1">
        <v>30</v>
      </c>
      <c r="EX200" s="55">
        <v>41760</v>
      </c>
      <c r="EY200" s="55">
        <f t="shared" si="847"/>
        <v>52717.5</v>
      </c>
      <c r="EZ200" s="61">
        <f t="shared" ca="1" si="845"/>
        <v>33</v>
      </c>
      <c r="FA200" s="37" t="s">
        <v>573</v>
      </c>
      <c r="FB200" s="39">
        <v>35.950000000000003</v>
      </c>
      <c r="FC200" s="39">
        <f t="shared" si="830"/>
        <v>0.95000000000000284</v>
      </c>
      <c r="FD200" s="40">
        <f t="shared" si="831"/>
        <v>2.7142857142857135E-2</v>
      </c>
      <c r="FE200" s="39">
        <f t="shared" ca="1" si="858"/>
        <v>2.8787878787878873E-2</v>
      </c>
      <c r="FF200" s="43">
        <f t="shared" ca="1" si="846"/>
        <v>1</v>
      </c>
      <c r="FG200" s="214"/>
      <c r="FH200" s="987"/>
      <c r="FJ200" s="53"/>
      <c r="FK200" s="67"/>
      <c r="FL200" s="58"/>
      <c r="FR200" s="53"/>
      <c r="FS200" s="550">
        <v>16</v>
      </c>
      <c r="FT200" s="58">
        <v>1</v>
      </c>
      <c r="FU200" s="38">
        <v>4</v>
      </c>
      <c r="FV200" s="38">
        <f t="shared" si="859"/>
        <v>1.0009997501665211</v>
      </c>
      <c r="FW200" s="39">
        <f t="shared" si="860"/>
        <v>26.175958089878151</v>
      </c>
      <c r="FX200" s="153"/>
      <c r="GE200" s="144"/>
    </row>
    <row r="201" spans="4:187">
      <c r="D201" s="192" t="s">
        <v>1231</v>
      </c>
      <c r="E201" s="172" t="s">
        <v>1234</v>
      </c>
      <c r="F201" s="172" t="s">
        <v>1232</v>
      </c>
      <c r="G201" s="398" t="s">
        <v>1236</v>
      </c>
      <c r="J201" s="150">
        <f t="shared" ca="1" si="844"/>
        <v>2039</v>
      </c>
      <c r="K201" s="96">
        <f t="shared" ca="1" si="842"/>
        <v>0</v>
      </c>
      <c r="L201" s="1013">
        <f t="shared" ca="1" si="843"/>
        <v>0</v>
      </c>
      <c r="M201" s="355"/>
      <c r="N201" s="355"/>
      <c r="O201" s="39"/>
      <c r="P201" s="38"/>
      <c r="Q201" s="38"/>
      <c r="EA201" s="153"/>
      <c r="ED201" s="53"/>
      <c r="EE201" s="38"/>
      <c r="EJ201" s="53"/>
      <c r="EK201" s="38"/>
      <c r="EN201" s="53"/>
      <c r="EO201" s="153"/>
      <c r="ES201" s="214"/>
      <c r="ET201" s="53"/>
      <c r="EU201" s="1360">
        <f t="shared" ca="1" si="857"/>
        <v>0</v>
      </c>
      <c r="EV201" s="173">
        <v>35</v>
      </c>
      <c r="EW201" s="1">
        <v>30</v>
      </c>
      <c r="EX201" s="55">
        <v>41760</v>
      </c>
      <c r="EY201" s="55">
        <f t="shared" si="847"/>
        <v>52717.5</v>
      </c>
      <c r="EZ201" s="61">
        <f t="shared" ca="1" si="845"/>
        <v>33</v>
      </c>
      <c r="FA201" s="37" t="s">
        <v>574</v>
      </c>
      <c r="FB201" s="39">
        <v>35.950000000000003</v>
      </c>
      <c r="FC201" s="39">
        <f>FB201-EV201</f>
        <v>0.95000000000000284</v>
      </c>
      <c r="FD201" s="40">
        <f>FB201/EV201-1</f>
        <v>2.7142857142857135E-2</v>
      </c>
      <c r="FE201" s="39">
        <f t="shared" ca="1" si="858"/>
        <v>2.8787878787878873E-2</v>
      </c>
      <c r="FF201" s="43">
        <f t="shared" ca="1" si="846"/>
        <v>1</v>
      </c>
      <c r="FG201" s="214"/>
      <c r="FH201" s="987"/>
      <c r="FJ201" s="53"/>
      <c r="FK201" s="67"/>
      <c r="FL201" s="58"/>
      <c r="FR201" s="53"/>
      <c r="FS201" s="550">
        <v>16</v>
      </c>
      <c r="FT201" s="58">
        <v>1</v>
      </c>
      <c r="FU201" s="38">
        <v>5</v>
      </c>
      <c r="FV201" s="38">
        <f t="shared" si="859"/>
        <v>1.001249843841072</v>
      </c>
      <c r="FW201" s="39">
        <f t="shared" si="860"/>
        <v>26.182497993152353</v>
      </c>
      <c r="FX201" s="153"/>
      <c r="GE201" s="144"/>
    </row>
    <row r="202" spans="4:187">
      <c r="D202" s="192" t="s">
        <v>163</v>
      </c>
      <c r="E202" s="607" t="s">
        <v>868</v>
      </c>
      <c r="F202" s="172" t="s">
        <v>1233</v>
      </c>
      <c r="G202" s="151"/>
      <c r="J202" s="150">
        <f t="shared" ca="1" si="844"/>
        <v>2040</v>
      </c>
      <c r="K202" s="96">
        <f t="shared" ca="1" si="842"/>
        <v>0</v>
      </c>
      <c r="L202" s="1013">
        <f t="shared" ca="1" si="843"/>
        <v>0</v>
      </c>
      <c r="M202" s="355"/>
      <c r="N202" s="355"/>
      <c r="O202" s="39"/>
      <c r="P202" s="38"/>
      <c r="Q202" s="38"/>
      <c r="EA202" s="153"/>
      <c r="ED202" s="53"/>
      <c r="EE202" s="38"/>
      <c r="EJ202" s="53"/>
      <c r="EK202" s="38"/>
      <c r="EN202" s="53"/>
      <c r="EO202" s="153"/>
      <c r="ES202" s="214"/>
      <c r="ET202" s="53"/>
      <c r="EU202" s="1360">
        <f t="shared" ca="1" si="857"/>
        <v>0</v>
      </c>
      <c r="EV202" s="173">
        <v>35</v>
      </c>
      <c r="EW202" s="1">
        <v>30</v>
      </c>
      <c r="EX202" s="55">
        <v>41730</v>
      </c>
      <c r="EY202" s="55">
        <f t="shared" si="847"/>
        <v>52687.5</v>
      </c>
      <c r="EZ202" s="61">
        <f t="shared" ca="1" si="845"/>
        <v>34</v>
      </c>
      <c r="FA202" s="39" t="s">
        <v>554</v>
      </c>
      <c r="FB202" s="39">
        <v>36.22</v>
      </c>
      <c r="FC202" s="39">
        <f t="shared" si="830"/>
        <v>1.2199999999999989</v>
      </c>
      <c r="FD202" s="40">
        <f t="shared" si="831"/>
        <v>3.485714285714292E-2</v>
      </c>
      <c r="FE202" s="39">
        <f t="shared" ca="1" si="858"/>
        <v>3.5882352941176435E-2</v>
      </c>
      <c r="FF202" s="43">
        <f t="shared" ca="1" si="846"/>
        <v>1</v>
      </c>
      <c r="FG202" s="214"/>
      <c r="FH202" s="987"/>
      <c r="FJ202" s="53"/>
      <c r="FK202" s="67"/>
      <c r="FL202" s="58"/>
      <c r="FR202" s="53"/>
      <c r="FS202" s="550">
        <v>16</v>
      </c>
      <c r="FT202" s="58">
        <v>1</v>
      </c>
      <c r="FU202" s="38">
        <v>6</v>
      </c>
      <c r="FV202" s="38">
        <f t="shared" si="859"/>
        <v>1.0015000000000001</v>
      </c>
      <c r="FW202" s="39">
        <f t="shared" si="860"/>
        <v>26.189039530381446</v>
      </c>
      <c r="FX202" s="153"/>
      <c r="GE202" s="144"/>
    </row>
    <row r="203" spans="4:187">
      <c r="D203" s="608" t="s">
        <v>164</v>
      </c>
      <c r="E203" s="91"/>
      <c r="F203" s="172" t="s">
        <v>1235</v>
      </c>
      <c r="G203" s="151"/>
      <c r="J203" s="150">
        <f t="shared" ca="1" si="844"/>
        <v>2041</v>
      </c>
      <c r="K203" s="96">
        <f t="shared" ca="1" si="842"/>
        <v>0</v>
      </c>
      <c r="L203" s="1013">
        <f t="shared" ca="1" si="843"/>
        <v>0</v>
      </c>
      <c r="M203" s="355"/>
      <c r="N203" s="355"/>
      <c r="O203" s="39"/>
      <c r="EA203" s="153"/>
      <c r="ED203" s="53"/>
      <c r="EE203" s="38"/>
      <c r="EJ203" s="53"/>
      <c r="EK203" s="38"/>
      <c r="EN203" s="53"/>
      <c r="EO203" s="153"/>
      <c r="ES203" s="214"/>
      <c r="ET203" s="53"/>
      <c r="EU203" s="1360">
        <f t="shared" ca="1" si="857"/>
        <v>0</v>
      </c>
      <c r="EV203" s="173">
        <v>35</v>
      </c>
      <c r="EW203" s="1">
        <v>30</v>
      </c>
      <c r="EX203" s="55">
        <v>41730</v>
      </c>
      <c r="EY203" s="55">
        <f t="shared" si="847"/>
        <v>52687.5</v>
      </c>
      <c r="EZ203" s="61">
        <f t="shared" ca="1" si="845"/>
        <v>34</v>
      </c>
      <c r="FA203" s="39" t="s">
        <v>555</v>
      </c>
      <c r="FB203" s="39">
        <v>36.22</v>
      </c>
      <c r="FC203" s="39">
        <f t="shared" si="830"/>
        <v>1.2199999999999989</v>
      </c>
      <c r="FD203" s="40">
        <f t="shared" si="831"/>
        <v>3.485714285714292E-2</v>
      </c>
      <c r="FE203" s="39">
        <f t="shared" ca="1" si="858"/>
        <v>3.5882352941176435E-2</v>
      </c>
      <c r="FF203" s="43">
        <f t="shared" ca="1" si="846"/>
        <v>1</v>
      </c>
      <c r="FG203" s="214"/>
      <c r="FH203" s="987"/>
      <c r="FJ203" s="53"/>
      <c r="FK203" s="67"/>
      <c r="FL203" s="58"/>
      <c r="FR203" s="53"/>
      <c r="FS203" s="550">
        <v>16</v>
      </c>
      <c r="FT203" s="58">
        <v>2</v>
      </c>
      <c r="FU203" s="38">
        <v>1</v>
      </c>
      <c r="FV203" s="38">
        <f t="shared" si="859"/>
        <v>1.0002498438930771</v>
      </c>
      <c r="FW203" s="39">
        <f>$FW$202*FV203</f>
        <v>26.195582701973667</v>
      </c>
      <c r="FX203" s="153"/>
      <c r="GE203" s="144"/>
    </row>
    <row r="204" spans="4:187" ht="13.5" thickBot="1">
      <c r="D204" s="101"/>
      <c r="E204" s="141"/>
      <c r="F204" s="609" t="s">
        <v>300</v>
      </c>
      <c r="G204" s="377"/>
      <c r="J204" s="150">
        <f t="shared" ca="1" si="844"/>
        <v>2042</v>
      </c>
      <c r="K204" s="96">
        <f t="shared" ca="1" si="842"/>
        <v>1477.7600000000002</v>
      </c>
      <c r="L204" s="1013">
        <f t="shared" ca="1" si="843"/>
        <v>5.240350586035851E-2</v>
      </c>
      <c r="M204" s="355"/>
      <c r="N204" s="355"/>
      <c r="O204" s="39"/>
      <c r="EA204" s="153"/>
      <c r="ED204" s="53"/>
      <c r="EE204" s="38"/>
      <c r="EJ204" s="53"/>
      <c r="EK204" s="38"/>
      <c r="EN204" s="53"/>
      <c r="EO204" s="153"/>
      <c r="ES204" s="214"/>
      <c r="ET204" s="53"/>
      <c r="EU204" s="1360">
        <f t="shared" ca="1" si="857"/>
        <v>0</v>
      </c>
      <c r="EV204" s="173">
        <v>35</v>
      </c>
      <c r="EW204" s="1">
        <v>30</v>
      </c>
      <c r="EX204" s="55">
        <v>41730</v>
      </c>
      <c r="EY204" s="55">
        <f t="shared" si="847"/>
        <v>52687.5</v>
      </c>
      <c r="EZ204" s="61">
        <f t="shared" ca="1" si="845"/>
        <v>34</v>
      </c>
      <c r="FA204" s="39" t="s">
        <v>556</v>
      </c>
      <c r="FB204" s="39">
        <v>36.22</v>
      </c>
      <c r="FC204" s="39">
        <f>FB204-EV204</f>
        <v>1.2199999999999989</v>
      </c>
      <c r="FD204" s="40">
        <f>FB204/EV204-1</f>
        <v>3.485714285714292E-2</v>
      </c>
      <c r="FE204" s="39">
        <f t="shared" ca="1" si="858"/>
        <v>3.5882352941176435E-2</v>
      </c>
      <c r="FF204" s="43">
        <f t="shared" ca="1" si="846"/>
        <v>1</v>
      </c>
      <c r="FG204" s="214"/>
      <c r="FH204" s="987"/>
      <c r="FJ204" s="53"/>
      <c r="FK204" s="67"/>
      <c r="FL204" s="58"/>
      <c r="FR204" s="53"/>
      <c r="FS204" s="550">
        <v>16</v>
      </c>
      <c r="FT204" s="58">
        <v>2</v>
      </c>
      <c r="FU204" s="38">
        <v>2</v>
      </c>
      <c r="FV204" s="38">
        <f t="shared" si="859"/>
        <v>1.0004997502081252</v>
      </c>
      <c r="FW204" s="39">
        <f t="shared" ref="FW204:FW208" si="861">$FW$202*FV204</f>
        <v>26.202127508337355</v>
      </c>
      <c r="FX204" s="153"/>
      <c r="GE204" s="144"/>
    </row>
    <row r="205" spans="4:187">
      <c r="D205" s="91"/>
      <c r="J205" s="150">
        <f t="shared" ca="1" si="844"/>
        <v>2043</v>
      </c>
      <c r="K205" s="96">
        <f t="shared" ca="1" si="842"/>
        <v>3352.9600000000005</v>
      </c>
      <c r="L205" s="1013">
        <f t="shared" ca="1" si="843"/>
        <v>0.11890080866280564</v>
      </c>
      <c r="M205" s="355"/>
      <c r="N205" s="355"/>
      <c r="O205" s="39"/>
      <c r="EA205" s="153"/>
      <c r="ED205" s="53"/>
      <c r="EE205" s="38"/>
      <c r="EJ205" s="53"/>
      <c r="EK205" s="38"/>
      <c r="EN205" s="53"/>
      <c r="EO205" s="153"/>
      <c r="ES205" s="214"/>
      <c r="ET205" s="53"/>
      <c r="EU205" s="1360">
        <f t="shared" ca="1" si="857"/>
        <v>0</v>
      </c>
      <c r="EV205" s="173">
        <v>35</v>
      </c>
      <c r="EW205" s="1">
        <v>30</v>
      </c>
      <c r="EX205" s="55">
        <v>41730</v>
      </c>
      <c r="EY205" s="55">
        <f t="shared" si="847"/>
        <v>52687.5</v>
      </c>
      <c r="EZ205" s="61">
        <f t="shared" ca="1" si="845"/>
        <v>34</v>
      </c>
      <c r="FA205" s="39" t="s">
        <v>557</v>
      </c>
      <c r="FB205" s="39">
        <v>36.22</v>
      </c>
      <c r="FC205" s="39">
        <f>FB205-EV205</f>
        <v>1.2199999999999989</v>
      </c>
      <c r="FD205" s="40">
        <f>FB205/EV205-1</f>
        <v>3.485714285714292E-2</v>
      </c>
      <c r="FE205" s="39">
        <f t="shared" ca="1" si="858"/>
        <v>3.5882352941176435E-2</v>
      </c>
      <c r="FF205" s="43">
        <f t="shared" ca="1" si="846"/>
        <v>1</v>
      </c>
      <c r="FG205" s="214"/>
      <c r="FH205" s="987"/>
      <c r="FJ205" s="53"/>
      <c r="FK205" s="67"/>
      <c r="FL205" s="58"/>
      <c r="FR205" s="53"/>
      <c r="FS205" s="550">
        <v>16</v>
      </c>
      <c r="FT205" s="58">
        <v>2</v>
      </c>
      <c r="FU205" s="38">
        <v>3</v>
      </c>
      <c r="FV205" s="38">
        <f t="shared" si="859"/>
        <v>1.0007497189607399</v>
      </c>
      <c r="FW205" s="39">
        <f t="shared" si="861"/>
        <v>26.208673949880943</v>
      </c>
      <c r="FX205" s="153"/>
      <c r="GE205" s="144"/>
    </row>
    <row r="206" spans="4:187">
      <c r="D206" s="607" t="s">
        <v>1237</v>
      </c>
      <c r="J206" s="150">
        <f t="shared" ca="1" si="844"/>
        <v>2044</v>
      </c>
      <c r="K206" s="96">
        <f t="shared" ca="1" si="842"/>
        <v>5105.21</v>
      </c>
      <c r="L206" s="1013">
        <f t="shared" ca="1" si="843"/>
        <v>0.18103812672785893</v>
      </c>
      <c r="M206" s="355"/>
      <c r="EA206" s="153"/>
      <c r="ED206" s="53"/>
      <c r="EE206" s="38"/>
      <c r="EJ206" s="53"/>
      <c r="EK206" s="38"/>
      <c r="EN206" s="53"/>
      <c r="EO206" s="153"/>
      <c r="ES206" s="214"/>
      <c r="ET206" s="53"/>
      <c r="EU206" s="1360">
        <f t="shared" ca="1" si="857"/>
        <v>0</v>
      </c>
      <c r="EV206" s="173">
        <v>35</v>
      </c>
      <c r="EW206" s="1">
        <v>30</v>
      </c>
      <c r="EX206" s="55">
        <v>41699</v>
      </c>
      <c r="EY206" s="55">
        <f t="shared" si="847"/>
        <v>52656.5</v>
      </c>
      <c r="EZ206" s="61">
        <f t="shared" ca="1" si="845"/>
        <v>35</v>
      </c>
      <c r="FA206" s="37" t="s">
        <v>541</v>
      </c>
      <c r="FB206" s="39">
        <v>36.229999999999997</v>
      </c>
      <c r="FC206" s="39">
        <f t="shared" si="830"/>
        <v>1.2299999999999969</v>
      </c>
      <c r="FD206" s="40">
        <f t="shared" si="831"/>
        <v>3.5142857142857142E-2</v>
      </c>
      <c r="FE206" s="39">
        <f t="shared" ca="1" si="858"/>
        <v>3.5142857142857052E-2</v>
      </c>
      <c r="FF206" s="43">
        <f t="shared" ca="1" si="846"/>
        <v>1</v>
      </c>
      <c r="FG206" s="214"/>
      <c r="FH206" s="987"/>
      <c r="FJ206" s="53"/>
      <c r="FK206" s="67"/>
      <c r="FL206" s="58"/>
      <c r="FR206" s="53"/>
      <c r="FS206" s="550">
        <v>16</v>
      </c>
      <c r="FT206" s="58">
        <v>2</v>
      </c>
      <c r="FU206" s="38">
        <v>4</v>
      </c>
      <c r="FV206" s="38">
        <f t="shared" si="859"/>
        <v>1.0009997501665211</v>
      </c>
      <c r="FW206" s="39">
        <f t="shared" si="861"/>
        <v>26.215222027012974</v>
      </c>
      <c r="FX206" s="153"/>
      <c r="GE206" s="144"/>
    </row>
    <row r="207" spans="4:187">
      <c r="D207" s="114"/>
      <c r="J207" s="150">
        <f t="shared" ca="1" si="844"/>
        <v>2045</v>
      </c>
      <c r="K207" s="96">
        <f t="shared" ca="1" si="842"/>
        <v>5095.18</v>
      </c>
      <c r="L207" s="1013">
        <f t="shared" ca="1" si="843"/>
        <v>0.18068244842841966</v>
      </c>
      <c r="M207" s="355"/>
      <c r="EA207" s="153"/>
      <c r="ED207" s="53"/>
      <c r="EE207" s="38"/>
      <c r="EJ207" s="53"/>
      <c r="EK207" s="38"/>
      <c r="EN207" s="53"/>
      <c r="EO207" s="153"/>
      <c r="ES207" s="214"/>
      <c r="ET207" s="53"/>
      <c r="EU207" s="1360">
        <f t="shared" ca="1" si="857"/>
        <v>0</v>
      </c>
      <c r="EV207" s="173">
        <v>35</v>
      </c>
      <c r="EW207" s="1">
        <v>30</v>
      </c>
      <c r="EX207" s="55">
        <v>41699</v>
      </c>
      <c r="EY207" s="55">
        <f t="shared" si="847"/>
        <v>52656.5</v>
      </c>
      <c r="EZ207" s="61">
        <f t="shared" ca="1" si="845"/>
        <v>35</v>
      </c>
      <c r="FA207" s="37" t="s">
        <v>542</v>
      </c>
      <c r="FB207" s="39">
        <v>36.229999999999997</v>
      </c>
      <c r="FC207" s="39">
        <f t="shared" si="830"/>
        <v>1.2299999999999969</v>
      </c>
      <c r="FD207" s="40">
        <f t="shared" si="831"/>
        <v>3.5142857142857142E-2</v>
      </c>
      <c r="FE207" s="39">
        <f t="shared" ca="1" si="858"/>
        <v>3.5142857142857052E-2</v>
      </c>
      <c r="FF207" s="43">
        <f t="shared" ca="1" si="846"/>
        <v>1</v>
      </c>
      <c r="FG207" s="214"/>
      <c r="FH207" s="987"/>
      <c r="FJ207" s="53"/>
      <c r="FK207" s="67"/>
      <c r="FL207" s="58"/>
      <c r="FR207" s="53"/>
      <c r="FS207" s="550">
        <v>16</v>
      </c>
      <c r="FT207" s="58">
        <v>2</v>
      </c>
      <c r="FU207" s="38">
        <v>5</v>
      </c>
      <c r="FV207" s="38">
        <f t="shared" si="859"/>
        <v>1.001249843841072</v>
      </c>
      <c r="FW207" s="39">
        <f t="shared" si="861"/>
        <v>26.221771740142085</v>
      </c>
      <c r="FX207" s="67"/>
    </row>
    <row r="208" spans="4:187" ht="13.5" thickBot="1">
      <c r="D208" s="172" t="s">
        <v>1243</v>
      </c>
      <c r="E208" s="91"/>
      <c r="F208" s="91"/>
      <c r="G208" s="91"/>
      <c r="H208" s="91"/>
      <c r="J208" s="150">
        <f t="shared" ca="1" si="844"/>
        <v>2046</v>
      </c>
      <c r="K208" s="96">
        <f t="shared" ca="1" si="842"/>
        <v>7018.5300000000007</v>
      </c>
      <c r="L208" s="1013">
        <f t="shared" ca="1" si="843"/>
        <v>0.248887219836849</v>
      </c>
      <c r="M208" s="355"/>
      <c r="EA208" s="153"/>
      <c r="ED208" s="53"/>
      <c r="EE208" s="38"/>
      <c r="EJ208" s="53"/>
      <c r="EK208" s="38"/>
      <c r="EN208" s="53"/>
      <c r="EO208" s="153"/>
      <c r="ES208" s="214"/>
      <c r="ET208" s="53"/>
      <c r="EU208" s="1360">
        <f t="shared" ca="1" si="857"/>
        <v>0</v>
      </c>
      <c r="EV208" s="173">
        <v>35</v>
      </c>
      <c r="EW208" s="1">
        <v>30</v>
      </c>
      <c r="EX208" s="55">
        <v>41699</v>
      </c>
      <c r="EY208" s="55">
        <f t="shared" si="847"/>
        <v>52656.5</v>
      </c>
      <c r="EZ208" s="61">
        <f t="shared" ca="1" si="845"/>
        <v>35</v>
      </c>
      <c r="FA208" s="37" t="s">
        <v>543</v>
      </c>
      <c r="FB208" s="39">
        <v>36.229999999999997</v>
      </c>
      <c r="FC208" s="39">
        <f>FB208-EV208</f>
        <v>1.2299999999999969</v>
      </c>
      <c r="FD208" s="40">
        <f>FB208/EV208-1</f>
        <v>3.5142857142857142E-2</v>
      </c>
      <c r="FE208" s="39">
        <f t="shared" ca="1" si="858"/>
        <v>3.5142857142857052E-2</v>
      </c>
      <c r="FF208" s="43">
        <f t="shared" ca="1" si="846"/>
        <v>1</v>
      </c>
      <c r="FG208" s="214"/>
      <c r="FH208" s="987"/>
      <c r="FJ208" s="53"/>
      <c r="FK208" s="67"/>
      <c r="FL208" s="58"/>
      <c r="FR208" s="53"/>
      <c r="FS208" s="550">
        <v>16</v>
      </c>
      <c r="FT208" s="58">
        <v>2</v>
      </c>
      <c r="FU208" s="38">
        <v>6</v>
      </c>
      <c r="FV208" s="38">
        <f t="shared" si="859"/>
        <v>1.0015000000000001</v>
      </c>
      <c r="FW208" s="39">
        <f t="shared" si="861"/>
        <v>26.228323089677019</v>
      </c>
      <c r="FX208" s="153"/>
    </row>
    <row r="209" spans="2:180">
      <c r="D209" s="545" t="s">
        <v>1093</v>
      </c>
      <c r="E209" s="76" t="s">
        <v>1094</v>
      </c>
      <c r="F209" s="76" t="s">
        <v>1095</v>
      </c>
      <c r="G209" s="77" t="s">
        <v>1244</v>
      </c>
      <c r="H209" s="91"/>
      <c r="J209" s="150">
        <f t="shared" ca="1" si="844"/>
        <v>2047</v>
      </c>
      <c r="K209" s="96">
        <f t="shared" ca="1" si="842"/>
        <v>850</v>
      </c>
      <c r="L209" s="1013">
        <f t="shared" ca="1" si="843"/>
        <v>3.0142228766040984E-2</v>
      </c>
      <c r="M209" s="355"/>
      <c r="N209" s="136"/>
      <c r="EA209" s="153"/>
      <c r="ED209" s="53"/>
      <c r="EE209" s="38"/>
      <c r="EJ209" s="53"/>
      <c r="EK209" s="38"/>
      <c r="EN209" s="53"/>
      <c r="EO209" s="153"/>
      <c r="ES209" s="214"/>
      <c r="ET209" s="53"/>
      <c r="EU209" s="1360">
        <f t="shared" ca="1" si="857"/>
        <v>0</v>
      </c>
      <c r="EV209" s="173">
        <v>35</v>
      </c>
      <c r="EW209" s="1">
        <v>30</v>
      </c>
      <c r="EX209" s="55">
        <v>41699</v>
      </c>
      <c r="EY209" s="55">
        <f t="shared" si="847"/>
        <v>52656.5</v>
      </c>
      <c r="EZ209" s="61">
        <f t="shared" ca="1" si="845"/>
        <v>35</v>
      </c>
      <c r="FA209" s="37" t="s">
        <v>544</v>
      </c>
      <c r="FB209" s="39">
        <v>36.229999999999997</v>
      </c>
      <c r="FC209" s="39">
        <f>FB209-EV209</f>
        <v>1.2299999999999969</v>
      </c>
      <c r="FD209" s="40">
        <f>FB209/EV209-1</f>
        <v>3.5142857142857142E-2</v>
      </c>
      <c r="FE209" s="39">
        <f t="shared" ca="1" si="858"/>
        <v>3.5142857142857052E-2</v>
      </c>
      <c r="FF209" s="43">
        <f t="shared" ca="1" si="846"/>
        <v>1</v>
      </c>
      <c r="FG209" s="214"/>
      <c r="FH209" s="987"/>
      <c r="FJ209" s="53"/>
      <c r="FK209" s="67"/>
      <c r="FL209" s="58"/>
      <c r="FR209" s="53"/>
      <c r="FS209" s="69"/>
      <c r="FX209" s="153"/>
    </row>
    <row r="210" spans="2:180">
      <c r="D210" s="670">
        <v>0.05</v>
      </c>
      <c r="E210" s="612">
        <f>4*((((1+D210/12)^12)^(1/4))-1)</f>
        <v>5.0208622685185667E-2</v>
      </c>
      <c r="F210" s="612">
        <f>2*((((1+D210/12)^12)^(1/2))-1)</f>
        <v>5.0523735909178136E-2</v>
      </c>
      <c r="G210" s="613">
        <f>1*((((1+D210/12)^12)^(1/1))-1)</f>
        <v>5.116189788173342E-2</v>
      </c>
      <c r="H210" s="91"/>
      <c r="J210" s="150">
        <f t="shared" ca="1" si="844"/>
        <v>2048</v>
      </c>
      <c r="K210" s="96">
        <f t="shared" ca="1" si="842"/>
        <v>0</v>
      </c>
      <c r="L210" s="1013">
        <f t="shared" ca="1" si="843"/>
        <v>0</v>
      </c>
      <c r="M210" s="355"/>
      <c r="N210" s="136"/>
      <c r="EA210" s="153"/>
      <c r="ED210" s="53"/>
      <c r="EE210" s="38"/>
      <c r="EJ210" s="53"/>
      <c r="EK210" s="38"/>
      <c r="EN210" s="53"/>
      <c r="EO210" s="153"/>
      <c r="ES210" s="214"/>
      <c r="ET210" s="53"/>
      <c r="EU210" s="1360">
        <f t="shared" ca="1" si="857"/>
        <v>0</v>
      </c>
      <c r="EV210" s="173">
        <v>50</v>
      </c>
      <c r="EW210" s="1">
        <v>30</v>
      </c>
      <c r="EX210" s="55">
        <v>41699</v>
      </c>
      <c r="EY210" s="55">
        <f t="shared" si="847"/>
        <v>52656.5</v>
      </c>
      <c r="EZ210" s="61">
        <f t="shared" ca="1" si="845"/>
        <v>35</v>
      </c>
      <c r="FA210" s="37" t="s">
        <v>547</v>
      </c>
      <c r="FB210" s="39">
        <v>51.76</v>
      </c>
      <c r="FC210" s="39">
        <f>FB210-EV210</f>
        <v>1.759999999999998</v>
      </c>
      <c r="FD210" s="40">
        <f>FB210/EV210-1</f>
        <v>3.5199999999999898E-2</v>
      </c>
      <c r="FE210" s="39">
        <f t="shared" ca="1" si="858"/>
        <v>5.0285714285714232E-2</v>
      </c>
      <c r="FF210" s="43">
        <f t="shared" ca="1" si="846"/>
        <v>1</v>
      </c>
      <c r="FG210" s="214"/>
      <c r="FH210" s="987"/>
      <c r="FJ210" s="53"/>
      <c r="FK210" s="67"/>
      <c r="FL210" s="58"/>
      <c r="FR210" s="53"/>
      <c r="FS210" s="550">
        <v>17</v>
      </c>
      <c r="FT210" s="58">
        <v>1</v>
      </c>
      <c r="FU210" s="38">
        <v>1</v>
      </c>
      <c r="FV210" s="38">
        <f t="shared" ref="FV210:FV221" si="862">(1+$FY$2/2)^(FU210/6)</f>
        <v>1.0002498438930771</v>
      </c>
      <c r="FW210" s="39">
        <f>$FW$208*FV210</f>
        <v>26.23487607602663</v>
      </c>
      <c r="FX210" s="153"/>
    </row>
    <row r="211" spans="2:180">
      <c r="D211" s="671">
        <f>12*((((1+E211/4)^4)^(1/12))-1)</f>
        <v>4.9793101479052027E-2</v>
      </c>
      <c r="E211" s="611">
        <v>0.05</v>
      </c>
      <c r="F211" s="612">
        <f>2*((((1+E211/4)^4)^(1/2))-1)</f>
        <v>5.0312499999999982E-2</v>
      </c>
      <c r="G211" s="613">
        <f>1*((((1+E211/4)^4)^(1/1))-1)</f>
        <v>5.0945336914062445E-2</v>
      </c>
      <c r="H211" s="91"/>
      <c r="J211" s="150">
        <f t="shared" ca="1" si="844"/>
        <v>2049</v>
      </c>
      <c r="K211" s="96">
        <f t="shared" ca="1" si="842"/>
        <v>0</v>
      </c>
      <c r="L211" s="1013">
        <f t="shared" ca="1" si="843"/>
        <v>0</v>
      </c>
      <c r="M211" s="355"/>
      <c r="N211" s="136"/>
      <c r="EA211" s="153"/>
      <c r="ED211" s="53"/>
      <c r="EE211" s="38"/>
      <c r="EJ211" s="53"/>
      <c r="EK211" s="38"/>
      <c r="EN211" s="53"/>
      <c r="EO211" s="153"/>
      <c r="ES211" s="214"/>
      <c r="ET211" s="53"/>
      <c r="EU211" s="1360">
        <f t="shared" ca="1" si="857"/>
        <v>0</v>
      </c>
      <c r="EV211" s="173">
        <v>35</v>
      </c>
      <c r="EW211" s="1">
        <v>30</v>
      </c>
      <c r="EX211" s="55">
        <v>41671</v>
      </c>
      <c r="EY211" s="55">
        <f t="shared" si="847"/>
        <v>52628.5</v>
      </c>
      <c r="EZ211" s="61">
        <f t="shared" ca="1" si="845"/>
        <v>36</v>
      </c>
      <c r="FA211" s="39" t="s">
        <v>529</v>
      </c>
      <c r="FB211" s="39">
        <v>36.229999999999997</v>
      </c>
      <c r="FC211" s="39">
        <f t="shared" si="830"/>
        <v>1.2299999999999969</v>
      </c>
      <c r="FD211" s="40">
        <f t="shared" si="831"/>
        <v>3.5142857142857142E-2</v>
      </c>
      <c r="FE211" s="39">
        <f t="shared" ca="1" si="858"/>
        <v>3.4166666666666581E-2</v>
      </c>
      <c r="FF211" s="43">
        <f t="shared" ca="1" si="846"/>
        <v>1</v>
      </c>
      <c r="FG211" s="214"/>
      <c r="FH211" s="987"/>
      <c r="FJ211" s="53"/>
      <c r="FK211" s="67"/>
      <c r="FL211" s="58"/>
      <c r="FR211" s="53"/>
      <c r="FS211" s="550">
        <v>17</v>
      </c>
      <c r="FT211" s="58">
        <v>1</v>
      </c>
      <c r="FU211" s="38">
        <v>2</v>
      </c>
      <c r="FV211" s="38">
        <f t="shared" si="862"/>
        <v>1.0004997502081252</v>
      </c>
      <c r="FW211" s="39">
        <f t="shared" ref="FW211:FW215" si="863">$FW$208*FV211</f>
        <v>26.24143069959986</v>
      </c>
      <c r="FX211" s="153"/>
    </row>
    <row r="212" spans="2:180">
      <c r="D212" s="672">
        <f>12*((((1+F212/2)^2)^(1/12))-1)</f>
        <v>4.9486985581730814E-2</v>
      </c>
      <c r="E212" s="612">
        <f>4*((((1+F212/2)^2)^(1/4))-1)</f>
        <v>4.9691346263317726E-2</v>
      </c>
      <c r="F212" s="611">
        <v>0.05</v>
      </c>
      <c r="G212" s="613">
        <f>1*((((1+F212/2)^2)^(1/1))-1)</f>
        <v>5.062499999999992E-2</v>
      </c>
      <c r="H212" s="91"/>
      <c r="J212" s="150">
        <f t="shared" ca="1" si="844"/>
        <v>2050</v>
      </c>
      <c r="K212" s="96">
        <f t="shared" ca="1" si="842"/>
        <v>0</v>
      </c>
      <c r="L212" s="1013">
        <f t="shared" ca="1" si="843"/>
        <v>0</v>
      </c>
      <c r="M212" s="355"/>
      <c r="N212" s="39"/>
      <c r="EA212" s="153"/>
      <c r="ED212" s="53"/>
      <c r="EE212" s="38"/>
      <c r="EJ212" s="53"/>
      <c r="EK212" s="38"/>
      <c r="EN212" s="53"/>
      <c r="EO212" s="153"/>
      <c r="ES212" s="214"/>
      <c r="ET212" s="53"/>
      <c r="EU212" s="1360">
        <f t="shared" ca="1" si="857"/>
        <v>0</v>
      </c>
      <c r="EV212" s="173">
        <v>35</v>
      </c>
      <c r="EW212" s="1">
        <v>30</v>
      </c>
      <c r="EX212" s="55">
        <v>41671</v>
      </c>
      <c r="EY212" s="55">
        <f t="shared" si="847"/>
        <v>52628.5</v>
      </c>
      <c r="EZ212" s="61">
        <f t="shared" ca="1" si="845"/>
        <v>36</v>
      </c>
      <c r="FA212" s="39" t="s">
        <v>530</v>
      </c>
      <c r="FB212" s="39">
        <v>36.229999999999997</v>
      </c>
      <c r="FC212" s="39">
        <f t="shared" si="830"/>
        <v>1.2299999999999969</v>
      </c>
      <c r="FD212" s="40">
        <f t="shared" si="831"/>
        <v>3.5142857142857142E-2</v>
      </c>
      <c r="FE212" s="39">
        <f t="shared" ca="1" si="858"/>
        <v>3.4166666666666581E-2</v>
      </c>
      <c r="FF212" s="43">
        <f t="shared" ca="1" si="846"/>
        <v>1</v>
      </c>
      <c r="FG212" s="214"/>
      <c r="FH212" s="987"/>
      <c r="FJ212" s="53"/>
      <c r="FK212" s="67"/>
      <c r="FL212" s="58"/>
      <c r="FR212" s="53"/>
      <c r="FS212" s="550">
        <v>17</v>
      </c>
      <c r="FT212" s="58">
        <v>1</v>
      </c>
      <c r="FU212" s="38">
        <v>3</v>
      </c>
      <c r="FV212" s="38">
        <f t="shared" si="862"/>
        <v>1.0007497189607399</v>
      </c>
      <c r="FW212" s="39">
        <f t="shared" si="863"/>
        <v>26.247986960805765</v>
      </c>
      <c r="FX212" s="153"/>
    </row>
    <row r="213" spans="2:180" ht="13.5" thickBot="1">
      <c r="D213" s="673">
        <f>12*((((1+G213/1)^1)^(1/12))-1)</f>
        <v>4.8889485403780242E-2</v>
      </c>
      <c r="E213" s="614">
        <f>4*((((1+G213/1)^1)^(1/4))-1)</f>
        <v>4.908893771615741E-2</v>
      </c>
      <c r="F213" s="614">
        <f>2*((((1+G213/1)^1)^(1/2))-1)</f>
        <v>4.9390153191919861E-2</v>
      </c>
      <c r="G213" s="615">
        <v>0.05</v>
      </c>
      <c r="H213" s="91"/>
      <c r="J213" s="150"/>
      <c r="K213" s="91"/>
      <c r="L213" s="1013"/>
      <c r="N213" s="39"/>
      <c r="EA213" s="153"/>
      <c r="ED213" s="53"/>
      <c r="EE213" s="38"/>
      <c r="EJ213" s="53"/>
      <c r="EK213" s="38"/>
      <c r="EN213" s="53"/>
      <c r="EO213" s="153"/>
      <c r="ES213" s="214"/>
      <c r="ET213" s="53"/>
      <c r="EU213" s="1360">
        <f t="shared" ca="1" si="857"/>
        <v>0</v>
      </c>
      <c r="EV213" s="173">
        <v>35</v>
      </c>
      <c r="EW213" s="1">
        <v>30</v>
      </c>
      <c r="EX213" s="55">
        <v>41671</v>
      </c>
      <c r="EY213" s="55">
        <f t="shared" si="847"/>
        <v>52628.5</v>
      </c>
      <c r="EZ213" s="61">
        <f t="shared" ca="1" si="845"/>
        <v>36</v>
      </c>
      <c r="FA213" s="39" t="s">
        <v>531</v>
      </c>
      <c r="FB213" s="39">
        <v>36.229999999999997</v>
      </c>
      <c r="FC213" s="39">
        <f t="shared" si="830"/>
        <v>1.2299999999999969</v>
      </c>
      <c r="FD213" s="40">
        <f t="shared" si="831"/>
        <v>3.5142857142857142E-2</v>
      </c>
      <c r="FE213" s="39">
        <f t="shared" ca="1" si="858"/>
        <v>3.4166666666666581E-2</v>
      </c>
      <c r="FF213" s="43">
        <f t="shared" ca="1" si="846"/>
        <v>1</v>
      </c>
      <c r="FG213" s="214"/>
      <c r="FH213" s="987"/>
      <c r="FJ213" s="53"/>
      <c r="FK213" s="67"/>
      <c r="FL213" s="58"/>
      <c r="FR213" s="53"/>
      <c r="FS213" s="550">
        <v>17</v>
      </c>
      <c r="FT213" s="58">
        <v>1</v>
      </c>
      <c r="FU213" s="38">
        <v>4</v>
      </c>
      <c r="FV213" s="38">
        <f t="shared" si="862"/>
        <v>1.0009997501665211</v>
      </c>
      <c r="FW213" s="39">
        <f t="shared" si="863"/>
        <v>26.254544860053493</v>
      </c>
      <c r="FX213" s="153"/>
    </row>
    <row r="214" spans="2:180" ht="13.5" thickBot="1">
      <c r="J214" s="101"/>
      <c r="K214" s="152">
        <f ca="1">SUM(K179:K213)</f>
        <v>28199.64</v>
      </c>
      <c r="L214" s="634">
        <f ca="1">K214/$K$214</f>
        <v>1</v>
      </c>
      <c r="N214" s="39"/>
      <c r="EA214" s="153"/>
      <c r="ED214" s="53"/>
      <c r="EE214" s="38"/>
      <c r="EJ214" s="53"/>
      <c r="EK214" s="38"/>
      <c r="EN214" s="53"/>
      <c r="EO214" s="153"/>
      <c r="ES214" s="214"/>
      <c r="ET214" s="53"/>
      <c r="EU214" s="1360">
        <f t="shared" ca="1" si="857"/>
        <v>0</v>
      </c>
      <c r="EV214" s="173">
        <v>35</v>
      </c>
      <c r="EW214" s="1">
        <v>30</v>
      </c>
      <c r="EX214" s="55">
        <v>41671</v>
      </c>
      <c r="EY214" s="55">
        <f t="shared" si="847"/>
        <v>52628.5</v>
      </c>
      <c r="EZ214" s="61">
        <f t="shared" ca="1" si="845"/>
        <v>36</v>
      </c>
      <c r="FA214" s="39" t="s">
        <v>532</v>
      </c>
      <c r="FB214" s="39">
        <v>36.229999999999997</v>
      </c>
      <c r="FC214" s="39">
        <f t="shared" si="830"/>
        <v>1.2299999999999969</v>
      </c>
      <c r="FD214" s="40">
        <f t="shared" si="831"/>
        <v>3.5142857142857142E-2</v>
      </c>
      <c r="FE214" s="39">
        <f t="shared" ca="1" si="858"/>
        <v>3.4166666666666581E-2</v>
      </c>
      <c r="FF214" s="43">
        <f t="shared" ca="1" si="846"/>
        <v>1</v>
      </c>
      <c r="FG214" s="214"/>
      <c r="FH214" s="987"/>
      <c r="FJ214" s="53"/>
      <c r="FK214" s="67"/>
      <c r="FL214" s="58"/>
      <c r="FR214" s="53"/>
      <c r="FS214" s="550">
        <v>17</v>
      </c>
      <c r="FT214" s="58">
        <v>1</v>
      </c>
      <c r="FU214" s="38">
        <v>5</v>
      </c>
      <c r="FV214" s="38">
        <f t="shared" si="862"/>
        <v>1.001249843841072</v>
      </c>
      <c r="FW214" s="39">
        <f t="shared" si="863"/>
        <v>26.261104397752298</v>
      </c>
      <c r="FX214" s="153"/>
    </row>
    <row r="215" spans="2:180">
      <c r="C215" s="193"/>
      <c r="D215" s="193"/>
      <c r="E215" s="193"/>
      <c r="F215" s="193"/>
      <c r="G215" s="193"/>
      <c r="H215" s="136"/>
      <c r="I215" s="136"/>
      <c r="N215" s="39"/>
      <c r="EA215" s="153"/>
      <c r="ED215" s="53"/>
      <c r="EE215" s="38"/>
      <c r="EJ215" s="53"/>
      <c r="EK215" s="38"/>
      <c r="EN215" s="53"/>
      <c r="EO215" s="153"/>
      <c r="ES215" s="214"/>
      <c r="ET215" s="53"/>
      <c r="EU215" s="1360">
        <f t="shared" ca="1" si="857"/>
        <v>0</v>
      </c>
      <c r="EV215" s="173">
        <v>35</v>
      </c>
      <c r="EW215" s="1">
        <v>30</v>
      </c>
      <c r="EX215" s="55">
        <v>41640</v>
      </c>
      <c r="EY215" s="55">
        <f t="shared" si="847"/>
        <v>52597.5</v>
      </c>
      <c r="EZ215" s="61">
        <f t="shared" ca="1" si="845"/>
        <v>37</v>
      </c>
      <c r="FA215" s="39" t="s">
        <v>496</v>
      </c>
      <c r="FB215" s="39">
        <v>36.25</v>
      </c>
      <c r="FC215" s="39">
        <f t="shared" si="830"/>
        <v>1.25</v>
      </c>
      <c r="FD215" s="40">
        <f t="shared" si="831"/>
        <v>3.5714285714285809E-2</v>
      </c>
      <c r="FE215" s="39">
        <f t="shared" ca="1" si="858"/>
        <v>3.3783783783783786E-2</v>
      </c>
      <c r="FF215" s="43">
        <f t="shared" ca="1" si="846"/>
        <v>1</v>
      </c>
      <c r="FG215" s="214"/>
      <c r="FH215" s="987"/>
      <c r="FJ215" s="53"/>
      <c r="FK215" s="67"/>
      <c r="FL215" s="58"/>
      <c r="FR215" s="53"/>
      <c r="FS215" s="550">
        <v>17</v>
      </c>
      <c r="FT215" s="58">
        <v>1</v>
      </c>
      <c r="FU215" s="38">
        <v>6</v>
      </c>
      <c r="FV215" s="38">
        <f t="shared" si="862"/>
        <v>1.0015000000000001</v>
      </c>
      <c r="FW215" s="39">
        <f t="shared" si="863"/>
        <v>26.267665574311536</v>
      </c>
      <c r="FX215" s="153"/>
    </row>
    <row r="216" spans="2:180">
      <c r="B216" s="193" t="s">
        <v>1961</v>
      </c>
      <c r="C216" s="193"/>
      <c r="D216" s="193"/>
      <c r="E216" s="193"/>
      <c r="F216" s="193"/>
      <c r="G216" s="193"/>
      <c r="H216" s="136"/>
      <c r="I216" s="136"/>
      <c r="J216" s="136"/>
      <c r="K216" s="136"/>
      <c r="L216" s="136"/>
      <c r="M216" s="136"/>
      <c r="N216" s="39"/>
      <c r="EA216" s="153"/>
      <c r="ED216" s="53"/>
      <c r="EE216" s="38"/>
      <c r="EJ216" s="53"/>
      <c r="EK216" s="38"/>
      <c r="EN216" s="53"/>
      <c r="EO216" s="153"/>
      <c r="ES216" s="214"/>
      <c r="ET216" s="53"/>
      <c r="EU216" s="1360">
        <f t="shared" ca="1" si="857"/>
        <v>0</v>
      </c>
      <c r="EV216" s="173">
        <v>35</v>
      </c>
      <c r="EW216" s="1">
        <v>30</v>
      </c>
      <c r="EX216" s="55">
        <v>41640</v>
      </c>
      <c r="EY216" s="55">
        <f t="shared" si="847"/>
        <v>52597.5</v>
      </c>
      <c r="EZ216" s="61">
        <f t="shared" ca="1" si="845"/>
        <v>37</v>
      </c>
      <c r="FA216" s="39" t="s">
        <v>497</v>
      </c>
      <c r="FB216" s="39">
        <v>36.25</v>
      </c>
      <c r="FC216" s="39">
        <f t="shared" si="830"/>
        <v>1.25</v>
      </c>
      <c r="FD216" s="40">
        <f t="shared" si="831"/>
        <v>3.5714285714285809E-2</v>
      </c>
      <c r="FE216" s="39">
        <f t="shared" ca="1" si="858"/>
        <v>3.3783783783783786E-2</v>
      </c>
      <c r="FF216" s="43">
        <f t="shared" ca="1" si="846"/>
        <v>1</v>
      </c>
      <c r="FG216" s="214"/>
      <c r="FH216" s="987"/>
      <c r="FJ216" s="53"/>
      <c r="FK216" s="67"/>
      <c r="FL216" s="58"/>
      <c r="FR216" s="53"/>
      <c r="FS216" s="550">
        <v>17</v>
      </c>
      <c r="FT216" s="58">
        <v>2</v>
      </c>
      <c r="FU216" s="38">
        <v>1</v>
      </c>
      <c r="FV216" s="38">
        <f t="shared" si="862"/>
        <v>1.0002498438930771</v>
      </c>
      <c r="FW216" s="39">
        <f>$FW$215*FV216</f>
        <v>26.274228390140671</v>
      </c>
      <c r="FX216" s="153"/>
    </row>
    <row r="217" spans="2:180">
      <c r="B217" s="193"/>
      <c r="C217" s="93" t="s">
        <v>1528</v>
      </c>
      <c r="D217" s="93" t="s">
        <v>1529</v>
      </c>
      <c r="E217" s="93" t="s">
        <v>1530</v>
      </c>
      <c r="F217" s="93" t="s">
        <v>1531</v>
      </c>
      <c r="G217" s="93" t="s">
        <v>868</v>
      </c>
      <c r="H217" s="93" t="s">
        <v>9</v>
      </c>
      <c r="I217" s="93" t="s">
        <v>867</v>
      </c>
      <c r="J217" s="93" t="s">
        <v>300</v>
      </c>
      <c r="K217" s="136" t="s">
        <v>163</v>
      </c>
      <c r="L217" s="136" t="s">
        <v>164</v>
      </c>
      <c r="M217" s="136" t="s">
        <v>1960</v>
      </c>
      <c r="O217" s="38"/>
      <c r="EA217" s="153"/>
      <c r="ED217" s="53"/>
      <c r="EE217" s="38"/>
      <c r="EJ217" s="53"/>
      <c r="EK217" s="38"/>
      <c r="EN217" s="53"/>
      <c r="EO217" s="153"/>
      <c r="ES217" s="214"/>
      <c r="ET217" s="53"/>
      <c r="EU217" s="1360">
        <f t="shared" ca="1" si="857"/>
        <v>0</v>
      </c>
      <c r="EV217" s="173">
        <v>35</v>
      </c>
      <c r="EW217" s="1">
        <v>30</v>
      </c>
      <c r="EX217" s="55">
        <v>41640</v>
      </c>
      <c r="EY217" s="55">
        <f t="shared" si="847"/>
        <v>52597.5</v>
      </c>
      <c r="EZ217" s="61">
        <f t="shared" ca="1" si="845"/>
        <v>37</v>
      </c>
      <c r="FA217" s="39" t="s">
        <v>498</v>
      </c>
      <c r="FB217" s="39">
        <v>36.25</v>
      </c>
      <c r="FC217" s="39">
        <f t="shared" si="830"/>
        <v>1.25</v>
      </c>
      <c r="FD217" s="40">
        <f t="shared" si="831"/>
        <v>3.5714285714285809E-2</v>
      </c>
      <c r="FE217" s="39">
        <f t="shared" ca="1" si="858"/>
        <v>3.3783783783783786E-2</v>
      </c>
      <c r="FF217" s="43">
        <f t="shared" ca="1" si="846"/>
        <v>1</v>
      </c>
      <c r="FG217" s="214"/>
      <c r="FH217" s="987"/>
      <c r="FJ217" s="53"/>
      <c r="FK217" s="67"/>
      <c r="FL217" s="58"/>
      <c r="FR217" s="53"/>
      <c r="FS217" s="550">
        <v>17</v>
      </c>
      <c r="FT217" s="58">
        <v>2</v>
      </c>
      <c r="FU217" s="38">
        <v>2</v>
      </c>
      <c r="FV217" s="38">
        <f t="shared" si="862"/>
        <v>1.0004997502081252</v>
      </c>
      <c r="FW217" s="39">
        <f t="shared" ref="FW217:FW221" si="864">$FW$215*FV217</f>
        <v>26.280792845649263</v>
      </c>
      <c r="FX217" s="153"/>
    </row>
    <row r="218" spans="2:180">
      <c r="B218" s="193" t="s">
        <v>10</v>
      </c>
      <c r="C218" s="153"/>
      <c r="D218" s="153"/>
      <c r="E218" s="153"/>
      <c r="F218" s="153"/>
      <c r="G218" s="153"/>
      <c r="H218" s="39"/>
      <c r="I218" s="39"/>
      <c r="J218" s="39"/>
      <c r="K218" s="39"/>
      <c r="L218" s="39"/>
      <c r="M218" s="39"/>
      <c r="O218" s="38"/>
      <c r="EA218" s="153"/>
      <c r="ED218" s="53"/>
      <c r="EE218" s="38"/>
      <c r="EJ218" s="53"/>
      <c r="EK218" s="38"/>
      <c r="EN218" s="53"/>
      <c r="EO218" s="153"/>
      <c r="ET218" s="53"/>
      <c r="EU218" s="1360">
        <f t="shared" ca="1" si="857"/>
        <v>0</v>
      </c>
      <c r="EV218" s="173">
        <v>35</v>
      </c>
      <c r="EW218" s="1">
        <v>30</v>
      </c>
      <c r="EX218" s="55">
        <v>41640</v>
      </c>
      <c r="EY218" s="55">
        <f t="shared" si="847"/>
        <v>52597.5</v>
      </c>
      <c r="EZ218" s="61">
        <f t="shared" ca="1" si="845"/>
        <v>37</v>
      </c>
      <c r="FA218" s="39" t="s">
        <v>499</v>
      </c>
      <c r="FB218" s="39">
        <v>36.25</v>
      </c>
      <c r="FC218" s="39">
        <f t="shared" si="830"/>
        <v>1.25</v>
      </c>
      <c r="FD218" s="40">
        <f t="shared" si="831"/>
        <v>3.5714285714285809E-2</v>
      </c>
      <c r="FE218" s="39">
        <f t="shared" ca="1" si="858"/>
        <v>3.3783783783783786E-2</v>
      </c>
      <c r="FF218" s="43">
        <f t="shared" ca="1" si="846"/>
        <v>1</v>
      </c>
      <c r="FG218" s="214"/>
      <c r="FH218" s="987"/>
      <c r="FJ218" s="53"/>
      <c r="FK218" s="67"/>
      <c r="FL218" s="58"/>
      <c r="FR218" s="53"/>
      <c r="FS218" s="550">
        <v>17</v>
      </c>
      <c r="FT218" s="58">
        <v>2</v>
      </c>
      <c r="FU218" s="38">
        <v>3</v>
      </c>
      <c r="FV218" s="38">
        <f t="shared" si="862"/>
        <v>1.0007497189607399</v>
      </c>
      <c r="FW218" s="39">
        <f t="shared" si="864"/>
        <v>26.287358941246975</v>
      </c>
      <c r="FX218" s="153"/>
    </row>
    <row r="219" spans="2:180">
      <c r="B219" s="143">
        <f ca="1">TODAY()</f>
        <v>42772</v>
      </c>
      <c r="C219" s="153">
        <f t="shared" ref="C219:C282" ca="1" si="865">SUMIFS(P:P,U:U,"&gt;="&amp;DATE(YEAR(B219),MONTH(B219),DAY(B219)),U:U,"&lt;"&amp;DATE(YEAR(B220),MONTH(B220),DAY(B220)))</f>
        <v>300</v>
      </c>
      <c r="D219" s="153">
        <f t="shared" ref="D219:D282" ca="1" si="866">SUMIFS(Y:Y,AD:AD,"&gt;="&amp;DATE(YEAR(B219),MONTH(B219),DAY(B219)),AD:AD,"&lt;"&amp;DATE(YEAR(B220),MONTH(B220),DAY(B220)))</f>
        <v>0</v>
      </c>
      <c r="E219" s="153">
        <f t="shared" ref="E219:E282" ca="1" si="867">SUMIFS(AI:AI,AN:AN,"&gt;="&amp;DATE(YEAR(B219),MONTH(B219),DAY(B219)),AN:AN,"&lt;"&amp;DATE(YEAR(B220),MONTH(B220),DAY(B220)))</f>
        <v>0</v>
      </c>
      <c r="F219" s="153">
        <f t="shared" ref="F219:F282" ca="1" si="868">SUMIFS(AR:AR,AW:AW,"&gt;="&amp;DATE(YEAR(B219),MONTH(B219),DAY(B219)),AW:AW,"&lt;"&amp;DATE(YEAR(B220),MONTH(B220),DAY(B220)))</f>
        <v>0</v>
      </c>
      <c r="G219" s="153">
        <f t="shared" ref="G219:G282" ca="1" si="869">SUMIFS(BC:BC,BF:BF,"&gt;="&amp;DATE(YEAR(B219),MONTH(B219),DAY(B219)),BF:BF,"&lt;"&amp;DATE(YEAR(B220),MONTH(B220),DAY(B220)))</f>
        <v>0</v>
      </c>
      <c r="H219" s="39">
        <f t="shared" ref="H219:H282" ca="1" si="870">SUMIFS(BW:BW,BZ:BZ,"&gt;="&amp;DATE(YEAR(B219),MONTH(B219),DY(B219)),BZ:BZ,"&lt;"&amp;DATE(YEAR(B220),MONTH(B220),DAY(B220)))</f>
        <v>0</v>
      </c>
      <c r="I219" s="39">
        <f t="shared" ref="I219:I282" ca="1" si="871">SUMIFS(CO:CO,CR:CR,"&gt;="&amp;DATE(YEAR(B219),MONTH(B219),DAY(B219)),CR:CR,"&lt;"&amp;DATE(YEAR(B220),MONTH(B220),DAY(B220)))</f>
        <v>0</v>
      </c>
      <c r="J219" s="39">
        <f t="shared" ref="J219:J282" ca="1" si="872">SUMIFS(DG:DG,DJ:DJ,"&gt;="&amp;DATE(YEAR(B219),MONTH(B219),DAY(B219)),DJ:DJ,"&lt;"&amp;DATE(YEAR(B220),MONTH(B220),DAY(B220)))</f>
        <v>0</v>
      </c>
      <c r="K219" s="39">
        <f t="shared" ref="K219:K282" ca="1" si="873">SUMIFS(EK:EK,EG:EG,"&gt;="&amp;DATE(YEAR(B219),MONTH(B219),DAY(B219)),EG:EG,"&lt;"&amp;DATE(YEAR(B220),MONTH(B220),DAY(B220)))</f>
        <v>0</v>
      </c>
      <c r="L219" s="39">
        <f t="shared" ref="L219:L282" ca="1" si="874">SUMIFS(FB:FB,EY:EY,"&gt;="&amp;DATE(YEAR(B219),MONTH(B219),DAY(B219)),EY:EY,"&lt;"&amp;DATE(YEAR(B220),MONTH(B220),DAY(B220)))</f>
        <v>0</v>
      </c>
      <c r="M219" s="39">
        <f ca="1">SUM(C219:I219)</f>
        <v>300</v>
      </c>
      <c r="O219" s="69"/>
      <c r="EA219" s="153"/>
      <c r="ED219" s="53"/>
      <c r="EE219" s="38"/>
      <c r="EJ219" s="53"/>
      <c r="EK219" s="38"/>
      <c r="EN219" s="53"/>
      <c r="EO219" s="153"/>
      <c r="ET219" s="53"/>
      <c r="EU219" s="1360">
        <f t="shared" ca="1" si="857"/>
        <v>0</v>
      </c>
      <c r="EV219" s="173">
        <v>35</v>
      </c>
      <c r="EW219" s="1">
        <v>30</v>
      </c>
      <c r="EX219" s="55">
        <v>41640</v>
      </c>
      <c r="EY219" s="55">
        <f t="shared" si="847"/>
        <v>52597.5</v>
      </c>
      <c r="EZ219" s="61">
        <f t="shared" ca="1" si="845"/>
        <v>37</v>
      </c>
      <c r="FA219" s="39" t="s">
        <v>500</v>
      </c>
      <c r="FB219" s="39">
        <v>36.25</v>
      </c>
      <c r="FC219" s="39">
        <f>FB219-EV219</f>
        <v>1.25</v>
      </c>
      <c r="FD219" s="40">
        <f>FB219/EV219-1</f>
        <v>3.5714285714285809E-2</v>
      </c>
      <c r="FE219" s="39">
        <f t="shared" ca="1" si="858"/>
        <v>3.3783783783783786E-2</v>
      </c>
      <c r="FF219" s="43">
        <f t="shared" ca="1" si="846"/>
        <v>1</v>
      </c>
      <c r="FG219" s="214"/>
      <c r="FH219" s="987"/>
      <c r="FJ219" s="53"/>
      <c r="FK219" s="67"/>
      <c r="FL219" s="58"/>
      <c r="FR219" s="53"/>
      <c r="FS219" s="550">
        <v>17</v>
      </c>
      <c r="FT219" s="58">
        <v>2</v>
      </c>
      <c r="FU219" s="38">
        <v>4</v>
      </c>
      <c r="FV219" s="38">
        <f t="shared" si="862"/>
        <v>1.0009997501665211</v>
      </c>
      <c r="FW219" s="39">
        <f t="shared" si="864"/>
        <v>26.293926677343574</v>
      </c>
      <c r="FX219" s="67"/>
    </row>
    <row r="220" spans="2:180">
      <c r="B220" s="1048">
        <f t="shared" ref="B220:B283" ca="1" si="875">B219+30</f>
        <v>42802</v>
      </c>
      <c r="C220" s="153">
        <f t="shared" ca="1" si="865"/>
        <v>300</v>
      </c>
      <c r="D220" s="153">
        <f t="shared" ca="1" si="866"/>
        <v>0</v>
      </c>
      <c r="E220" s="153">
        <f t="shared" ca="1" si="867"/>
        <v>0</v>
      </c>
      <c r="F220" s="153">
        <f t="shared" ca="1" si="868"/>
        <v>0</v>
      </c>
      <c r="G220" s="153">
        <f t="shared" ca="1" si="869"/>
        <v>0</v>
      </c>
      <c r="H220" s="39">
        <f t="shared" ca="1" si="870"/>
        <v>0</v>
      </c>
      <c r="I220" s="39">
        <f t="shared" ca="1" si="871"/>
        <v>0</v>
      </c>
      <c r="J220" s="39">
        <f t="shared" ca="1" si="872"/>
        <v>0</v>
      </c>
      <c r="K220" s="39">
        <f t="shared" ca="1" si="873"/>
        <v>0</v>
      </c>
      <c r="L220" s="39">
        <f t="shared" ca="1" si="874"/>
        <v>0</v>
      </c>
      <c r="M220" s="39">
        <f ca="1">SUM(C220:I220)</f>
        <v>300</v>
      </c>
      <c r="O220" s="69"/>
      <c r="EA220" s="153"/>
      <c r="ED220" s="53"/>
      <c r="EE220" s="38"/>
      <c r="EJ220" s="53"/>
      <c r="EK220" s="38"/>
      <c r="EN220" s="53"/>
      <c r="EO220" s="153"/>
      <c r="ET220" s="53"/>
      <c r="EU220" s="1360">
        <f t="shared" ca="1" si="857"/>
        <v>0</v>
      </c>
      <c r="EV220" s="73">
        <v>25</v>
      </c>
      <c r="EW220" s="38">
        <v>30</v>
      </c>
      <c r="EX220" s="54">
        <v>41609</v>
      </c>
      <c r="EY220" s="55">
        <f t="shared" si="847"/>
        <v>52566.5</v>
      </c>
      <c r="EZ220" s="61">
        <f t="shared" ca="1" si="845"/>
        <v>38</v>
      </c>
      <c r="FA220" s="37" t="s">
        <v>480</v>
      </c>
      <c r="FB220" s="39">
        <v>25.9</v>
      </c>
      <c r="FC220" s="39">
        <f t="shared" ref="FC220:FC256" si="876">FB220-EV220</f>
        <v>0.89999999999999858</v>
      </c>
      <c r="FD220" s="40">
        <f t="shared" ref="FD220:FD256" si="877">FB220/EV220-1</f>
        <v>3.6000000000000032E-2</v>
      </c>
      <c r="FE220" s="39">
        <f t="shared" ca="1" si="858"/>
        <v>2.3684210526315752E-2</v>
      </c>
      <c r="FF220" s="43">
        <f t="shared" ca="1" si="846"/>
        <v>1</v>
      </c>
      <c r="FG220" s="214"/>
      <c r="FH220" s="987"/>
      <c r="FJ220" s="53"/>
      <c r="FK220" s="67"/>
      <c r="FL220" s="58"/>
      <c r="FR220" s="53"/>
      <c r="FS220" s="550">
        <v>17</v>
      </c>
      <c r="FT220" s="58">
        <v>2</v>
      </c>
      <c r="FU220" s="38">
        <v>5</v>
      </c>
      <c r="FV220" s="38">
        <f t="shared" si="862"/>
        <v>1.001249843841072</v>
      </c>
      <c r="FW220" s="39">
        <f t="shared" si="864"/>
        <v>26.300496054348926</v>
      </c>
      <c r="FX220" s="153"/>
    </row>
    <row r="221" spans="2:180">
      <c r="B221" s="1048">
        <f t="shared" ca="1" si="875"/>
        <v>42832</v>
      </c>
      <c r="C221" s="153">
        <f t="shared" ca="1" si="865"/>
        <v>0</v>
      </c>
      <c r="D221" s="153">
        <f t="shared" ca="1" si="866"/>
        <v>0</v>
      </c>
      <c r="E221" s="153">
        <f t="shared" ca="1" si="867"/>
        <v>0</v>
      </c>
      <c r="F221" s="153">
        <f t="shared" ca="1" si="868"/>
        <v>0</v>
      </c>
      <c r="G221" s="153">
        <f t="shared" ca="1" si="869"/>
        <v>0</v>
      </c>
      <c r="H221" s="39">
        <f t="shared" ca="1" si="870"/>
        <v>0</v>
      </c>
      <c r="I221" s="39">
        <f t="shared" ca="1" si="871"/>
        <v>0</v>
      </c>
      <c r="J221" s="39">
        <f t="shared" ca="1" si="872"/>
        <v>0</v>
      </c>
      <c r="K221" s="39">
        <f t="shared" ca="1" si="873"/>
        <v>0</v>
      </c>
      <c r="L221" s="39">
        <f t="shared" ca="1" si="874"/>
        <v>0</v>
      </c>
      <c r="M221" s="39">
        <f t="shared" ref="M221:M284" ca="1" si="878">SUM(C221:L221)</f>
        <v>0</v>
      </c>
      <c r="O221" s="1277"/>
      <c r="EA221" s="153"/>
      <c r="ED221" s="53"/>
      <c r="EE221" s="38"/>
      <c r="EJ221" s="53"/>
      <c r="EK221" s="38"/>
      <c r="EN221" s="53"/>
      <c r="EO221" s="153"/>
      <c r="ET221" s="53"/>
      <c r="EU221" s="1360">
        <f t="shared" ca="1" si="857"/>
        <v>0</v>
      </c>
      <c r="EV221" s="73">
        <v>25</v>
      </c>
      <c r="EW221" s="38">
        <v>30</v>
      </c>
      <c r="EX221" s="54">
        <v>41609</v>
      </c>
      <c r="EY221" s="55">
        <f t="shared" si="847"/>
        <v>52566.5</v>
      </c>
      <c r="EZ221" s="61">
        <f t="shared" ca="1" si="845"/>
        <v>38</v>
      </c>
      <c r="FA221" s="37" t="s">
        <v>487</v>
      </c>
      <c r="FB221" s="39">
        <v>25.9</v>
      </c>
      <c r="FC221" s="39">
        <f t="shared" si="876"/>
        <v>0.89999999999999858</v>
      </c>
      <c r="FD221" s="40">
        <f t="shared" si="877"/>
        <v>3.6000000000000032E-2</v>
      </c>
      <c r="FE221" s="39">
        <f t="shared" ca="1" si="858"/>
        <v>2.3684210526315752E-2</v>
      </c>
      <c r="FF221" s="43">
        <f t="shared" ca="1" si="846"/>
        <v>1</v>
      </c>
      <c r="FG221" s="214"/>
      <c r="FH221" s="987"/>
      <c r="FJ221" s="53"/>
      <c r="FK221" s="67"/>
      <c r="FL221" s="58"/>
      <c r="FR221" s="53"/>
      <c r="FS221" s="550">
        <v>17</v>
      </c>
      <c r="FT221" s="58">
        <v>2</v>
      </c>
      <c r="FU221" s="38">
        <v>6</v>
      </c>
      <c r="FV221" s="38">
        <f t="shared" si="862"/>
        <v>1.0015000000000001</v>
      </c>
      <c r="FW221" s="39">
        <f t="shared" si="864"/>
        <v>26.307067072673004</v>
      </c>
      <c r="FX221" s="153"/>
    </row>
    <row r="222" spans="2:180">
      <c r="B222" s="1048">
        <f t="shared" ca="1" si="875"/>
        <v>42862</v>
      </c>
      <c r="C222" s="153">
        <f t="shared" ca="1" si="865"/>
        <v>0</v>
      </c>
      <c r="D222" s="153">
        <f t="shared" ca="1" si="866"/>
        <v>0</v>
      </c>
      <c r="E222" s="153">
        <f t="shared" ca="1" si="867"/>
        <v>0</v>
      </c>
      <c r="F222" s="153">
        <f t="shared" ca="1" si="868"/>
        <v>0</v>
      </c>
      <c r="G222" s="153">
        <f t="shared" ca="1" si="869"/>
        <v>0</v>
      </c>
      <c r="H222" s="39">
        <f t="shared" ca="1" si="870"/>
        <v>0</v>
      </c>
      <c r="I222" s="39">
        <f t="shared" ca="1" si="871"/>
        <v>0</v>
      </c>
      <c r="J222" s="39">
        <f t="shared" ca="1" si="872"/>
        <v>0</v>
      </c>
      <c r="K222" s="39">
        <f t="shared" ca="1" si="873"/>
        <v>0</v>
      </c>
      <c r="L222" s="39">
        <f t="shared" ca="1" si="874"/>
        <v>0</v>
      </c>
      <c r="M222" s="39">
        <f t="shared" ca="1" si="878"/>
        <v>0</v>
      </c>
      <c r="O222" s="69"/>
      <c r="EA222" s="153"/>
      <c r="ED222" s="53"/>
      <c r="EE222" s="38"/>
      <c r="EJ222" s="53"/>
      <c r="EK222" s="38"/>
      <c r="EN222" s="53"/>
      <c r="EO222" s="153"/>
      <c r="ET222" s="53"/>
      <c r="EU222" s="1360">
        <f t="shared" ca="1" si="857"/>
        <v>0</v>
      </c>
      <c r="EV222" s="73">
        <v>25</v>
      </c>
      <c r="EW222" s="38">
        <v>30</v>
      </c>
      <c r="EX222" s="54">
        <v>41609</v>
      </c>
      <c r="EY222" s="55">
        <f t="shared" si="847"/>
        <v>52566.5</v>
      </c>
      <c r="EZ222" s="61">
        <f t="shared" ca="1" si="845"/>
        <v>38</v>
      </c>
      <c r="FA222" s="39" t="s">
        <v>490</v>
      </c>
      <c r="FB222" s="39">
        <v>25.9</v>
      </c>
      <c r="FC222" s="39">
        <f t="shared" si="876"/>
        <v>0.89999999999999858</v>
      </c>
      <c r="FD222" s="40">
        <f t="shared" si="877"/>
        <v>3.6000000000000032E-2</v>
      </c>
      <c r="FE222" s="39">
        <f t="shared" ca="1" si="858"/>
        <v>2.3684210526315752E-2</v>
      </c>
      <c r="FF222" s="43">
        <f t="shared" ca="1" si="846"/>
        <v>1</v>
      </c>
      <c r="FG222" s="214"/>
      <c r="FH222" s="987"/>
      <c r="FJ222" s="53"/>
      <c r="FK222" s="67"/>
      <c r="FL222" s="58"/>
      <c r="FR222" s="53"/>
      <c r="FS222" s="69"/>
      <c r="FX222" s="153"/>
    </row>
    <row r="223" spans="2:180">
      <c r="B223" s="1048">
        <f t="shared" ca="1" si="875"/>
        <v>42892</v>
      </c>
      <c r="C223" s="153">
        <f t="shared" ca="1" si="865"/>
        <v>100</v>
      </c>
      <c r="D223" s="153">
        <f t="shared" ca="1" si="866"/>
        <v>0</v>
      </c>
      <c r="E223" s="153">
        <f t="shared" ca="1" si="867"/>
        <v>0</v>
      </c>
      <c r="F223" s="153">
        <f t="shared" ca="1" si="868"/>
        <v>0</v>
      </c>
      <c r="G223" s="153">
        <f t="shared" ca="1" si="869"/>
        <v>0</v>
      </c>
      <c r="H223" s="39">
        <f t="shared" ca="1" si="870"/>
        <v>0</v>
      </c>
      <c r="I223" s="39">
        <f t="shared" ca="1" si="871"/>
        <v>0</v>
      </c>
      <c r="J223" s="39">
        <f t="shared" ca="1" si="872"/>
        <v>0</v>
      </c>
      <c r="K223" s="39">
        <f t="shared" ca="1" si="873"/>
        <v>0</v>
      </c>
      <c r="L223" s="39">
        <f t="shared" ca="1" si="874"/>
        <v>0</v>
      </c>
      <c r="M223" s="39">
        <f t="shared" ca="1" si="878"/>
        <v>100</v>
      </c>
      <c r="O223" s="69"/>
      <c r="EA223" s="153"/>
      <c r="ED223" s="53"/>
      <c r="EE223" s="38"/>
      <c r="EJ223" s="53"/>
      <c r="EK223" s="38"/>
      <c r="EN223" s="53"/>
      <c r="EO223" s="153"/>
      <c r="ET223" s="53"/>
      <c r="EU223" s="1360">
        <f t="shared" ca="1" si="857"/>
        <v>0</v>
      </c>
      <c r="EV223" s="73">
        <v>25</v>
      </c>
      <c r="EW223" s="38">
        <v>30</v>
      </c>
      <c r="EX223" s="54">
        <v>41609</v>
      </c>
      <c r="EY223" s="55">
        <f t="shared" si="847"/>
        <v>52566.5</v>
      </c>
      <c r="EZ223" s="61">
        <f t="shared" ca="1" si="845"/>
        <v>38</v>
      </c>
      <c r="FA223" s="37" t="s">
        <v>491</v>
      </c>
      <c r="FB223" s="39">
        <v>25.9</v>
      </c>
      <c r="FC223" s="39">
        <f t="shared" si="876"/>
        <v>0.89999999999999858</v>
      </c>
      <c r="FD223" s="40">
        <f t="shared" si="877"/>
        <v>3.6000000000000032E-2</v>
      </c>
      <c r="FE223" s="39">
        <f t="shared" ca="1" si="858"/>
        <v>2.3684210526315752E-2</v>
      </c>
      <c r="FF223" s="43">
        <f t="shared" ca="1" si="846"/>
        <v>1</v>
      </c>
      <c r="FG223" s="214"/>
      <c r="FH223" s="987"/>
      <c r="FJ223" s="53"/>
      <c r="FK223" s="67"/>
      <c r="FL223" s="58"/>
      <c r="FR223" s="53"/>
      <c r="FS223" s="550">
        <v>18</v>
      </c>
      <c r="FT223" s="58">
        <v>1</v>
      </c>
      <c r="FU223" s="38">
        <v>1</v>
      </c>
      <c r="FV223" s="38">
        <f t="shared" ref="FV223:FV234" si="879">(1+$FY$2/2)^(FU223/6)</f>
        <v>1.0002498438930771</v>
      </c>
      <c r="FW223" s="39">
        <f t="shared" ref="FW223:FW228" si="880">$FW$221*FV223</f>
        <v>26.313639732725882</v>
      </c>
      <c r="FX223" s="153"/>
    </row>
    <row r="224" spans="2:180">
      <c r="B224" s="1048">
        <f t="shared" ca="1" si="875"/>
        <v>42922</v>
      </c>
      <c r="C224" s="153">
        <f t="shared" ca="1" si="865"/>
        <v>0</v>
      </c>
      <c r="D224" s="153">
        <f t="shared" ca="1" si="866"/>
        <v>0</v>
      </c>
      <c r="E224" s="153">
        <f t="shared" ca="1" si="867"/>
        <v>0</v>
      </c>
      <c r="F224" s="153">
        <f t="shared" ca="1" si="868"/>
        <v>0</v>
      </c>
      <c r="G224" s="153">
        <f t="shared" ca="1" si="869"/>
        <v>100</v>
      </c>
      <c r="H224" s="39">
        <f t="shared" ca="1" si="870"/>
        <v>0</v>
      </c>
      <c r="I224" s="39">
        <f t="shared" ca="1" si="871"/>
        <v>0</v>
      </c>
      <c r="J224" s="39">
        <f t="shared" ca="1" si="872"/>
        <v>0</v>
      </c>
      <c r="K224" s="39">
        <f t="shared" ca="1" si="873"/>
        <v>0</v>
      </c>
      <c r="L224" s="39">
        <f t="shared" ca="1" si="874"/>
        <v>0</v>
      </c>
      <c r="M224" s="39">
        <f t="shared" ca="1" si="878"/>
        <v>100</v>
      </c>
      <c r="O224" s="69"/>
      <c r="ED224" s="53"/>
      <c r="EE224" s="38"/>
      <c r="EJ224" s="53"/>
      <c r="EK224" s="38"/>
      <c r="EN224" s="53"/>
      <c r="EO224" s="153"/>
      <c r="EU224" s="1360">
        <f t="shared" ca="1" si="857"/>
        <v>0</v>
      </c>
      <c r="EV224" s="73">
        <v>25</v>
      </c>
      <c r="EW224" s="38">
        <v>30</v>
      </c>
      <c r="EX224" s="54">
        <v>41579</v>
      </c>
      <c r="EY224" s="55">
        <f t="shared" si="847"/>
        <v>52536.5</v>
      </c>
      <c r="EZ224" s="61">
        <f t="shared" ca="1" si="845"/>
        <v>39</v>
      </c>
      <c r="FA224" s="39" t="s">
        <v>461</v>
      </c>
      <c r="FB224" s="39">
        <v>25.91</v>
      </c>
      <c r="FC224" s="39">
        <f t="shared" si="876"/>
        <v>0.91000000000000014</v>
      </c>
      <c r="FD224" s="40">
        <f t="shared" si="877"/>
        <v>3.6399999999999988E-2</v>
      </c>
      <c r="FE224" s="39">
        <f t="shared" ca="1" si="858"/>
        <v>2.3333333333333338E-2</v>
      </c>
      <c r="FF224" s="43">
        <f t="shared" ca="1" si="846"/>
        <v>1</v>
      </c>
      <c r="FH224" s="987"/>
      <c r="FS224" s="550">
        <v>18</v>
      </c>
      <c r="FT224" s="58">
        <v>1</v>
      </c>
      <c r="FU224" s="38">
        <v>2</v>
      </c>
      <c r="FV224" s="38">
        <f t="shared" si="879"/>
        <v>1.0004997502081252</v>
      </c>
      <c r="FW224" s="39">
        <f t="shared" si="880"/>
        <v>26.320214034917736</v>
      </c>
      <c r="FX224" s="153"/>
    </row>
    <row r="225" spans="2:180">
      <c r="B225" s="1048">
        <f t="shared" ca="1" si="875"/>
        <v>42952</v>
      </c>
      <c r="C225" s="153">
        <f t="shared" ca="1" si="865"/>
        <v>200</v>
      </c>
      <c r="D225" s="153">
        <f t="shared" ca="1" si="866"/>
        <v>0</v>
      </c>
      <c r="E225" s="153">
        <f t="shared" ca="1" si="867"/>
        <v>0</v>
      </c>
      <c r="F225" s="153">
        <f t="shared" ca="1" si="868"/>
        <v>0</v>
      </c>
      <c r="G225" s="153">
        <f t="shared" ca="1" si="869"/>
        <v>0</v>
      </c>
      <c r="H225" s="39">
        <f t="shared" ca="1" si="870"/>
        <v>0</v>
      </c>
      <c r="I225" s="39">
        <f t="shared" ca="1" si="871"/>
        <v>0</v>
      </c>
      <c r="J225" s="39">
        <f t="shared" ca="1" si="872"/>
        <v>0</v>
      </c>
      <c r="K225" s="39">
        <f t="shared" ca="1" si="873"/>
        <v>0</v>
      </c>
      <c r="L225" s="39">
        <f t="shared" ca="1" si="874"/>
        <v>0</v>
      </c>
      <c r="M225" s="39">
        <f t="shared" ca="1" si="878"/>
        <v>200</v>
      </c>
      <c r="O225" s="69"/>
      <c r="ED225" s="53"/>
      <c r="EE225" s="38"/>
      <c r="EJ225" s="53"/>
      <c r="EK225" s="38"/>
      <c r="EN225" s="53"/>
      <c r="EO225" s="153"/>
      <c r="EU225" s="1360">
        <f t="shared" ca="1" si="857"/>
        <v>0</v>
      </c>
      <c r="EV225" s="73">
        <v>25</v>
      </c>
      <c r="EW225" s="38">
        <v>30</v>
      </c>
      <c r="EX225" s="54">
        <v>41579</v>
      </c>
      <c r="EY225" s="55">
        <f t="shared" si="847"/>
        <v>52536.5</v>
      </c>
      <c r="EZ225" s="61">
        <f t="shared" ca="1" si="845"/>
        <v>39</v>
      </c>
      <c r="FA225" s="39" t="s">
        <v>464</v>
      </c>
      <c r="FB225" s="39">
        <v>25.91</v>
      </c>
      <c r="FC225" s="39">
        <f t="shared" si="876"/>
        <v>0.91000000000000014</v>
      </c>
      <c r="FD225" s="40">
        <f t="shared" si="877"/>
        <v>3.6399999999999988E-2</v>
      </c>
      <c r="FE225" s="39">
        <f t="shared" ca="1" si="858"/>
        <v>2.3333333333333338E-2</v>
      </c>
      <c r="FF225" s="43">
        <f t="shared" ca="1" si="846"/>
        <v>1</v>
      </c>
      <c r="FH225" s="987"/>
      <c r="FS225" s="550">
        <v>18</v>
      </c>
      <c r="FT225" s="58">
        <v>1</v>
      </c>
      <c r="FU225" s="38">
        <v>3</v>
      </c>
      <c r="FV225" s="38">
        <f t="shared" si="879"/>
        <v>1.0007497189607399</v>
      </c>
      <c r="FW225" s="39">
        <f t="shared" si="880"/>
        <v>26.326789979658844</v>
      </c>
      <c r="FX225" s="153"/>
    </row>
    <row r="226" spans="2:180">
      <c r="B226" s="1048">
        <f t="shared" ca="1" si="875"/>
        <v>42982</v>
      </c>
      <c r="C226" s="153">
        <f t="shared" ca="1" si="865"/>
        <v>100</v>
      </c>
      <c r="D226" s="153">
        <f t="shared" ca="1" si="866"/>
        <v>0</v>
      </c>
      <c r="E226" s="153">
        <f t="shared" ca="1" si="867"/>
        <v>0</v>
      </c>
      <c r="F226" s="153">
        <f t="shared" ca="1" si="868"/>
        <v>0</v>
      </c>
      <c r="G226" s="153">
        <f t="shared" ca="1" si="869"/>
        <v>0</v>
      </c>
      <c r="H226" s="39">
        <f t="shared" ca="1" si="870"/>
        <v>0</v>
      </c>
      <c r="I226" s="39">
        <f t="shared" ca="1" si="871"/>
        <v>0</v>
      </c>
      <c r="J226" s="39">
        <f t="shared" ca="1" si="872"/>
        <v>0</v>
      </c>
      <c r="K226" s="39">
        <f t="shared" ca="1" si="873"/>
        <v>0</v>
      </c>
      <c r="L226" s="39">
        <f t="shared" ca="1" si="874"/>
        <v>0</v>
      </c>
      <c r="M226" s="39">
        <f t="shared" ca="1" si="878"/>
        <v>100</v>
      </c>
      <c r="O226" s="69"/>
      <c r="ED226" s="53"/>
      <c r="EE226" s="38"/>
      <c r="EJ226" s="53"/>
      <c r="EK226" s="38"/>
      <c r="EN226" s="53"/>
      <c r="EO226" s="153"/>
      <c r="EU226" s="1360">
        <f t="shared" ca="1" si="857"/>
        <v>0</v>
      </c>
      <c r="EV226" s="73">
        <v>25</v>
      </c>
      <c r="EW226" s="38">
        <v>30</v>
      </c>
      <c r="EX226" s="54">
        <v>41579</v>
      </c>
      <c r="EY226" s="55">
        <f t="shared" si="847"/>
        <v>52536.5</v>
      </c>
      <c r="EZ226" s="61">
        <f t="shared" ca="1" si="845"/>
        <v>39</v>
      </c>
      <c r="FA226" s="39" t="s">
        <v>465</v>
      </c>
      <c r="FB226" s="39">
        <v>25.91</v>
      </c>
      <c r="FC226" s="39">
        <f t="shared" si="876"/>
        <v>0.91000000000000014</v>
      </c>
      <c r="FD226" s="40">
        <f t="shared" si="877"/>
        <v>3.6399999999999988E-2</v>
      </c>
      <c r="FE226" s="39">
        <f t="shared" ca="1" si="858"/>
        <v>2.3333333333333338E-2</v>
      </c>
      <c r="FF226" s="43">
        <f t="shared" ca="1" si="846"/>
        <v>1</v>
      </c>
      <c r="FH226" s="987"/>
      <c r="FS226" s="550">
        <v>18</v>
      </c>
      <c r="FT226" s="58">
        <v>1</v>
      </c>
      <c r="FU226" s="38">
        <v>4</v>
      </c>
      <c r="FV226" s="38">
        <f t="shared" si="879"/>
        <v>1.0009997501665211</v>
      </c>
      <c r="FW226" s="39">
        <f t="shared" si="880"/>
        <v>26.333367567359591</v>
      </c>
    </row>
    <row r="227" spans="2:180">
      <c r="B227" s="1048">
        <f t="shared" ca="1" si="875"/>
        <v>43012</v>
      </c>
      <c r="C227" s="153">
        <f t="shared" ca="1" si="865"/>
        <v>0</v>
      </c>
      <c r="D227" s="153">
        <f t="shared" ca="1" si="866"/>
        <v>0</v>
      </c>
      <c r="E227" s="153">
        <f t="shared" ca="1" si="867"/>
        <v>0</v>
      </c>
      <c r="F227" s="153">
        <f t="shared" ca="1" si="868"/>
        <v>0</v>
      </c>
      <c r="G227" s="153">
        <f t="shared" ca="1" si="869"/>
        <v>100</v>
      </c>
      <c r="H227" s="39">
        <f t="shared" ca="1" si="870"/>
        <v>0</v>
      </c>
      <c r="I227" s="39">
        <f t="shared" ca="1" si="871"/>
        <v>0</v>
      </c>
      <c r="J227" s="39">
        <f t="shared" ca="1" si="872"/>
        <v>0</v>
      </c>
      <c r="K227" s="39">
        <f t="shared" ca="1" si="873"/>
        <v>0</v>
      </c>
      <c r="L227" s="39">
        <f t="shared" ca="1" si="874"/>
        <v>0</v>
      </c>
      <c r="M227" s="39">
        <f t="shared" ca="1" si="878"/>
        <v>100</v>
      </c>
      <c r="O227" s="69"/>
      <c r="ED227" s="53"/>
      <c r="EE227" s="38"/>
      <c r="EJ227" s="53"/>
      <c r="EK227" s="38"/>
      <c r="EN227" s="53"/>
      <c r="EO227" s="153"/>
      <c r="EU227" s="1360">
        <f t="shared" ca="1" si="857"/>
        <v>0</v>
      </c>
      <c r="EV227" s="73">
        <v>25</v>
      </c>
      <c r="EW227" s="38">
        <v>30</v>
      </c>
      <c r="EX227" s="54">
        <v>41579</v>
      </c>
      <c r="EY227" s="55">
        <f t="shared" si="847"/>
        <v>52536.5</v>
      </c>
      <c r="EZ227" s="61">
        <f t="shared" ca="1" si="845"/>
        <v>39</v>
      </c>
      <c r="FA227" s="39" t="s">
        <v>466</v>
      </c>
      <c r="FB227" s="39">
        <v>25.91</v>
      </c>
      <c r="FC227" s="39">
        <f t="shared" si="876"/>
        <v>0.91000000000000014</v>
      </c>
      <c r="FD227" s="40">
        <f t="shared" si="877"/>
        <v>3.6399999999999988E-2</v>
      </c>
      <c r="FE227" s="39">
        <f t="shared" ca="1" si="858"/>
        <v>2.3333333333333338E-2</v>
      </c>
      <c r="FF227" s="43">
        <f t="shared" ca="1" si="846"/>
        <v>1</v>
      </c>
      <c r="FH227" s="987"/>
      <c r="FS227" s="550">
        <v>18</v>
      </c>
      <c r="FT227" s="58">
        <v>1</v>
      </c>
      <c r="FU227" s="38">
        <v>5</v>
      </c>
      <c r="FV227" s="38">
        <f t="shared" si="879"/>
        <v>1.001249843841072</v>
      </c>
      <c r="FW227" s="39">
        <f t="shared" si="880"/>
        <v>26.33994679843045</v>
      </c>
    </row>
    <row r="228" spans="2:180">
      <c r="B228" s="1048">
        <f t="shared" ca="1" si="875"/>
        <v>43042</v>
      </c>
      <c r="C228" s="153">
        <f t="shared" ca="1" si="865"/>
        <v>0</v>
      </c>
      <c r="D228" s="153">
        <f t="shared" ca="1" si="866"/>
        <v>0</v>
      </c>
      <c r="E228" s="153">
        <f t="shared" ca="1" si="867"/>
        <v>0</v>
      </c>
      <c r="F228" s="153">
        <f t="shared" ca="1" si="868"/>
        <v>100</v>
      </c>
      <c r="G228" s="153">
        <f t="shared" ca="1" si="869"/>
        <v>0</v>
      </c>
      <c r="H228" s="39">
        <f t="shared" ca="1" si="870"/>
        <v>0</v>
      </c>
      <c r="I228" s="39">
        <f t="shared" ca="1" si="871"/>
        <v>0</v>
      </c>
      <c r="J228" s="39">
        <f t="shared" ca="1" si="872"/>
        <v>0</v>
      </c>
      <c r="K228" s="39">
        <f t="shared" ca="1" si="873"/>
        <v>0</v>
      </c>
      <c r="L228" s="39">
        <f t="shared" ca="1" si="874"/>
        <v>0</v>
      </c>
      <c r="M228" s="39">
        <f t="shared" ca="1" si="878"/>
        <v>100</v>
      </c>
      <c r="O228" s="1277"/>
      <c r="ED228" s="53"/>
      <c r="EE228" s="38"/>
      <c r="EJ228" s="53"/>
      <c r="EK228" s="38"/>
      <c r="EN228" s="53"/>
      <c r="EO228" s="153"/>
      <c r="EU228" s="1360">
        <f t="shared" ca="1" si="857"/>
        <v>0</v>
      </c>
      <c r="EV228" s="73">
        <v>25</v>
      </c>
      <c r="EW228" s="38">
        <v>30</v>
      </c>
      <c r="EX228" s="54">
        <v>41579</v>
      </c>
      <c r="EY228" s="55">
        <f t="shared" si="847"/>
        <v>52536.5</v>
      </c>
      <c r="EZ228" s="61">
        <f t="shared" ca="1" si="845"/>
        <v>39</v>
      </c>
      <c r="FA228" s="39" t="s">
        <v>467</v>
      </c>
      <c r="FB228" s="39">
        <v>25.91</v>
      </c>
      <c r="FC228" s="39">
        <f t="shared" si="876"/>
        <v>0.91000000000000014</v>
      </c>
      <c r="FD228" s="40">
        <f t="shared" si="877"/>
        <v>3.6399999999999988E-2</v>
      </c>
      <c r="FE228" s="39">
        <f t="shared" ca="1" si="858"/>
        <v>2.3333333333333338E-2</v>
      </c>
      <c r="FF228" s="43">
        <f t="shared" ca="1" si="846"/>
        <v>1</v>
      </c>
      <c r="FH228" s="987"/>
      <c r="FS228" s="550">
        <v>18</v>
      </c>
      <c r="FT228" s="58">
        <v>1</v>
      </c>
      <c r="FU228" s="38">
        <v>6</v>
      </c>
      <c r="FV228" s="38">
        <f t="shared" si="879"/>
        <v>1.0015000000000001</v>
      </c>
      <c r="FW228" s="39">
        <f t="shared" si="880"/>
        <v>26.346527673282015</v>
      </c>
    </row>
    <row r="229" spans="2:180">
      <c r="B229" s="1048">
        <f t="shared" ca="1" si="875"/>
        <v>43072</v>
      </c>
      <c r="C229" s="153">
        <f t="shared" ca="1" si="865"/>
        <v>400</v>
      </c>
      <c r="D229" s="153">
        <f t="shared" ca="1" si="866"/>
        <v>0</v>
      </c>
      <c r="E229" s="153">
        <f t="shared" ca="1" si="867"/>
        <v>0</v>
      </c>
      <c r="F229" s="153">
        <f t="shared" ca="1" si="868"/>
        <v>0</v>
      </c>
      <c r="G229" s="153">
        <f t="shared" ca="1" si="869"/>
        <v>0</v>
      </c>
      <c r="H229" s="39">
        <f t="shared" ca="1" si="870"/>
        <v>0</v>
      </c>
      <c r="I229" s="39">
        <f t="shared" ca="1" si="871"/>
        <v>0</v>
      </c>
      <c r="J229" s="39">
        <f t="shared" ca="1" si="872"/>
        <v>0</v>
      </c>
      <c r="K229" s="39">
        <f t="shared" ca="1" si="873"/>
        <v>0</v>
      </c>
      <c r="L229" s="39">
        <f t="shared" ca="1" si="874"/>
        <v>0</v>
      </c>
      <c r="M229" s="39">
        <f t="shared" ca="1" si="878"/>
        <v>400</v>
      </c>
      <c r="O229" s="69"/>
      <c r="ED229" s="53"/>
      <c r="EE229" s="38"/>
      <c r="EJ229" s="53"/>
      <c r="EK229" s="38"/>
      <c r="EN229" s="53"/>
      <c r="EO229" s="153"/>
      <c r="EU229" s="1360">
        <f t="shared" ca="1" si="857"/>
        <v>0</v>
      </c>
      <c r="EV229" s="73">
        <v>25</v>
      </c>
      <c r="EW229" s="38">
        <v>30</v>
      </c>
      <c r="EX229" s="54">
        <v>41548</v>
      </c>
      <c r="EY229" s="55">
        <f t="shared" si="847"/>
        <v>52505.5</v>
      </c>
      <c r="EZ229" s="61">
        <f t="shared" ca="1" si="845"/>
        <v>40</v>
      </c>
      <c r="FA229" s="39" t="s">
        <v>437</v>
      </c>
      <c r="FB229" s="39">
        <v>25.92</v>
      </c>
      <c r="FC229" s="39">
        <f t="shared" si="876"/>
        <v>0.92000000000000171</v>
      </c>
      <c r="FD229" s="40">
        <f t="shared" si="877"/>
        <v>3.6800000000000166E-2</v>
      </c>
      <c r="FE229" s="39">
        <f t="shared" ca="1" si="858"/>
        <v>2.3000000000000041E-2</v>
      </c>
      <c r="FF229" s="43">
        <f t="shared" ca="1" si="846"/>
        <v>1</v>
      </c>
      <c r="FH229" s="987"/>
      <c r="FS229" s="550">
        <v>18</v>
      </c>
      <c r="FT229" s="58">
        <v>2</v>
      </c>
      <c r="FU229" s="38">
        <v>1</v>
      </c>
      <c r="FV229" s="38">
        <f t="shared" si="879"/>
        <v>1.0002498438930771</v>
      </c>
      <c r="FW229" s="39">
        <f t="shared" ref="FW229:FW234" si="881">$FW$228*FV229</f>
        <v>26.353110192324973</v>
      </c>
    </row>
    <row r="230" spans="2:180">
      <c r="B230" s="1048">
        <f t="shared" ca="1" si="875"/>
        <v>43102</v>
      </c>
      <c r="C230" s="153">
        <f t="shared" ca="1" si="865"/>
        <v>400</v>
      </c>
      <c r="D230" s="153">
        <f t="shared" ca="1" si="866"/>
        <v>0</v>
      </c>
      <c r="E230" s="153">
        <f t="shared" ca="1" si="867"/>
        <v>0</v>
      </c>
      <c r="F230" s="153">
        <f t="shared" ca="1" si="868"/>
        <v>100</v>
      </c>
      <c r="G230" s="153">
        <f t="shared" ca="1" si="869"/>
        <v>100</v>
      </c>
      <c r="H230" s="39">
        <f t="shared" ca="1" si="870"/>
        <v>0</v>
      </c>
      <c r="I230" s="39">
        <f t="shared" ca="1" si="871"/>
        <v>0</v>
      </c>
      <c r="J230" s="39">
        <f t="shared" ca="1" si="872"/>
        <v>0</v>
      </c>
      <c r="K230" s="39">
        <f t="shared" ca="1" si="873"/>
        <v>0</v>
      </c>
      <c r="L230" s="39">
        <f t="shared" ca="1" si="874"/>
        <v>0</v>
      </c>
      <c r="M230" s="39">
        <f t="shared" ca="1" si="878"/>
        <v>600</v>
      </c>
      <c r="O230" s="69"/>
      <c r="ED230" s="53"/>
      <c r="EE230" s="38"/>
      <c r="EJ230" s="53"/>
      <c r="EK230" s="38"/>
      <c r="EN230" s="53"/>
      <c r="EO230" s="153"/>
      <c r="EU230" s="1360">
        <f t="shared" ca="1" si="857"/>
        <v>0</v>
      </c>
      <c r="EV230" s="73">
        <v>25</v>
      </c>
      <c r="EW230" s="38">
        <v>30</v>
      </c>
      <c r="EX230" s="54">
        <v>41548</v>
      </c>
      <c r="EY230" s="55">
        <f t="shared" si="847"/>
        <v>52505.5</v>
      </c>
      <c r="EZ230" s="61">
        <f t="shared" ca="1" si="845"/>
        <v>40</v>
      </c>
      <c r="FA230" s="39" t="s">
        <v>438</v>
      </c>
      <c r="FB230" s="39">
        <v>25.92</v>
      </c>
      <c r="FC230" s="39">
        <f t="shared" si="876"/>
        <v>0.92000000000000171</v>
      </c>
      <c r="FD230" s="40">
        <f t="shared" si="877"/>
        <v>3.6800000000000166E-2</v>
      </c>
      <c r="FE230" s="39">
        <f t="shared" ca="1" si="858"/>
        <v>2.3000000000000041E-2</v>
      </c>
      <c r="FF230" s="43">
        <f t="shared" ca="1" si="846"/>
        <v>1</v>
      </c>
      <c r="FH230" s="987"/>
      <c r="FS230" s="550">
        <v>18</v>
      </c>
      <c r="FT230" s="58">
        <v>2</v>
      </c>
      <c r="FU230" s="38">
        <v>2</v>
      </c>
      <c r="FV230" s="38">
        <f t="shared" si="879"/>
        <v>1.0004997502081252</v>
      </c>
      <c r="FW230" s="39">
        <f t="shared" si="881"/>
        <v>26.359694355970113</v>
      </c>
    </row>
    <row r="231" spans="2:180">
      <c r="B231" s="1048">
        <f t="shared" ca="1" si="875"/>
        <v>43132</v>
      </c>
      <c r="C231" s="153">
        <f t="shared" ca="1" si="865"/>
        <v>0</v>
      </c>
      <c r="D231" s="153">
        <f t="shared" ca="1" si="866"/>
        <v>0</v>
      </c>
      <c r="E231" s="153">
        <f t="shared" ca="1" si="867"/>
        <v>0</v>
      </c>
      <c r="F231" s="153">
        <f t="shared" ca="1" si="868"/>
        <v>100</v>
      </c>
      <c r="G231" s="153">
        <f t="shared" ca="1" si="869"/>
        <v>0</v>
      </c>
      <c r="H231" s="39">
        <f t="shared" ca="1" si="870"/>
        <v>0</v>
      </c>
      <c r="I231" s="39">
        <f t="shared" ca="1" si="871"/>
        <v>0</v>
      </c>
      <c r="J231" s="39">
        <f t="shared" ca="1" si="872"/>
        <v>0</v>
      </c>
      <c r="K231" s="39">
        <f t="shared" ca="1" si="873"/>
        <v>0</v>
      </c>
      <c r="L231" s="39">
        <f t="shared" ca="1" si="874"/>
        <v>0</v>
      </c>
      <c r="M231" s="39">
        <f t="shared" ca="1" si="878"/>
        <v>100</v>
      </c>
      <c r="O231" s="69"/>
      <c r="ED231" s="53"/>
      <c r="EE231" s="38"/>
      <c r="EJ231" s="53"/>
      <c r="EK231" s="38"/>
      <c r="EN231" s="53"/>
      <c r="EO231" s="153"/>
      <c r="EU231" s="1360">
        <f t="shared" ca="1" si="857"/>
        <v>0</v>
      </c>
      <c r="EV231" s="73">
        <v>25</v>
      </c>
      <c r="EW231" s="38">
        <v>30</v>
      </c>
      <c r="EX231" s="54">
        <v>41548</v>
      </c>
      <c r="EY231" s="55">
        <f t="shared" si="847"/>
        <v>52505.5</v>
      </c>
      <c r="EZ231" s="61">
        <f t="shared" ca="1" si="845"/>
        <v>40</v>
      </c>
      <c r="FA231" s="39" t="s">
        <v>439</v>
      </c>
      <c r="FB231" s="39">
        <v>25.92</v>
      </c>
      <c r="FC231" s="39">
        <f t="shared" si="876"/>
        <v>0.92000000000000171</v>
      </c>
      <c r="FD231" s="40">
        <f t="shared" si="877"/>
        <v>3.6800000000000166E-2</v>
      </c>
      <c r="FE231" s="39">
        <f t="shared" ca="1" si="858"/>
        <v>2.3000000000000041E-2</v>
      </c>
      <c r="FF231" s="43">
        <f t="shared" ca="1" si="846"/>
        <v>1</v>
      </c>
      <c r="FH231" s="987"/>
      <c r="FS231" s="550">
        <v>18</v>
      </c>
      <c r="FT231" s="58">
        <v>2</v>
      </c>
      <c r="FU231" s="38">
        <v>3</v>
      </c>
      <c r="FV231" s="38">
        <f t="shared" si="879"/>
        <v>1.0007497189607399</v>
      </c>
      <c r="FW231" s="39">
        <f t="shared" si="881"/>
        <v>26.366280164628336</v>
      </c>
    </row>
    <row r="232" spans="2:180">
      <c r="B232" s="1048">
        <f t="shared" ca="1" si="875"/>
        <v>43162</v>
      </c>
      <c r="C232" s="153">
        <f t="shared" ca="1" si="865"/>
        <v>0</v>
      </c>
      <c r="D232" s="153">
        <f t="shared" ca="1" si="866"/>
        <v>0</v>
      </c>
      <c r="E232" s="153">
        <f t="shared" ca="1" si="867"/>
        <v>0</v>
      </c>
      <c r="F232" s="153">
        <f t="shared" ca="1" si="868"/>
        <v>0</v>
      </c>
      <c r="G232" s="153">
        <f t="shared" ca="1" si="869"/>
        <v>0</v>
      </c>
      <c r="H232" s="39">
        <f t="shared" ca="1" si="870"/>
        <v>0</v>
      </c>
      <c r="I232" s="39">
        <f t="shared" ca="1" si="871"/>
        <v>0</v>
      </c>
      <c r="J232" s="39">
        <f t="shared" ca="1" si="872"/>
        <v>0</v>
      </c>
      <c r="K232" s="39">
        <f t="shared" ca="1" si="873"/>
        <v>0</v>
      </c>
      <c r="L232" s="39">
        <f t="shared" ca="1" si="874"/>
        <v>0</v>
      </c>
      <c r="M232" s="39">
        <f t="shared" ca="1" si="878"/>
        <v>0</v>
      </c>
      <c r="O232" s="69"/>
      <c r="ED232" s="53"/>
      <c r="EE232" s="38"/>
      <c r="EJ232" s="53"/>
      <c r="EK232" s="38"/>
      <c r="EN232" s="53"/>
      <c r="EO232" s="153"/>
      <c r="EU232" s="1360">
        <f t="shared" ca="1" si="857"/>
        <v>0</v>
      </c>
      <c r="EV232" s="73">
        <v>25</v>
      </c>
      <c r="EW232" s="38">
        <v>30</v>
      </c>
      <c r="EX232" s="54">
        <v>41548</v>
      </c>
      <c r="EY232" s="55">
        <f t="shared" si="847"/>
        <v>52505.5</v>
      </c>
      <c r="EZ232" s="61">
        <f t="shared" ca="1" si="845"/>
        <v>40</v>
      </c>
      <c r="FA232" s="39" t="s">
        <v>440</v>
      </c>
      <c r="FB232" s="39">
        <v>25.92</v>
      </c>
      <c r="FC232" s="39">
        <f t="shared" si="876"/>
        <v>0.92000000000000171</v>
      </c>
      <c r="FD232" s="40">
        <f t="shared" si="877"/>
        <v>3.6800000000000166E-2</v>
      </c>
      <c r="FE232" s="39">
        <f t="shared" ca="1" si="858"/>
        <v>2.3000000000000041E-2</v>
      </c>
      <c r="FF232" s="43">
        <f t="shared" ca="1" si="846"/>
        <v>1</v>
      </c>
      <c r="FH232" s="987"/>
      <c r="FS232" s="550">
        <v>18</v>
      </c>
      <c r="FT232" s="58">
        <v>2</v>
      </c>
      <c r="FU232" s="38">
        <v>4</v>
      </c>
      <c r="FV232" s="38">
        <f t="shared" si="879"/>
        <v>1.0009997501665211</v>
      </c>
      <c r="FW232" s="39">
        <f t="shared" si="881"/>
        <v>26.372867618710632</v>
      </c>
    </row>
    <row r="233" spans="2:180">
      <c r="B233" s="1048">
        <f t="shared" ca="1" si="875"/>
        <v>43192</v>
      </c>
      <c r="C233" s="153">
        <f t="shared" ca="1" si="865"/>
        <v>0</v>
      </c>
      <c r="D233" s="153">
        <f t="shared" ca="1" si="866"/>
        <v>0</v>
      </c>
      <c r="E233" s="153">
        <f t="shared" ca="1" si="867"/>
        <v>0</v>
      </c>
      <c r="F233" s="153">
        <f t="shared" ca="1" si="868"/>
        <v>0</v>
      </c>
      <c r="G233" s="153">
        <f t="shared" ca="1" si="869"/>
        <v>0</v>
      </c>
      <c r="H233" s="39">
        <f t="shared" ca="1" si="870"/>
        <v>0</v>
      </c>
      <c r="I233" s="39">
        <f t="shared" ca="1" si="871"/>
        <v>0</v>
      </c>
      <c r="J233" s="39">
        <f t="shared" ca="1" si="872"/>
        <v>200</v>
      </c>
      <c r="K233" s="39">
        <f t="shared" ca="1" si="873"/>
        <v>0</v>
      </c>
      <c r="L233" s="39">
        <f t="shared" ca="1" si="874"/>
        <v>0</v>
      </c>
      <c r="M233" s="39">
        <f t="shared" ca="1" si="878"/>
        <v>200</v>
      </c>
      <c r="O233" s="69"/>
      <c r="ED233" s="53"/>
      <c r="EE233" s="38"/>
      <c r="EJ233" s="53"/>
      <c r="EK233" s="38"/>
      <c r="EN233" s="53"/>
      <c r="EO233" s="153"/>
      <c r="EU233" s="1360">
        <f t="shared" ca="1" si="857"/>
        <v>0</v>
      </c>
      <c r="EV233" s="73">
        <v>25</v>
      </c>
      <c r="EW233" s="38">
        <v>30</v>
      </c>
      <c r="EX233" s="54">
        <v>41548</v>
      </c>
      <c r="EY233" s="55">
        <f t="shared" si="847"/>
        <v>52505.5</v>
      </c>
      <c r="EZ233" s="61">
        <f t="shared" ca="1" si="845"/>
        <v>40</v>
      </c>
      <c r="FA233" s="37" t="s">
        <v>454</v>
      </c>
      <c r="FB233" s="39">
        <v>25.92</v>
      </c>
      <c r="FC233" s="39">
        <f>FB233-EV233</f>
        <v>0.92000000000000171</v>
      </c>
      <c r="FD233" s="40">
        <f>FB233/EV233-1</f>
        <v>3.6800000000000166E-2</v>
      </c>
      <c r="FE233" s="39">
        <f t="shared" ca="1" si="858"/>
        <v>2.3000000000000041E-2</v>
      </c>
      <c r="FF233" s="43">
        <f t="shared" ca="1" si="846"/>
        <v>1</v>
      </c>
      <c r="FH233" s="987"/>
      <c r="FS233" s="550">
        <v>18</v>
      </c>
      <c r="FT233" s="58">
        <v>2</v>
      </c>
      <c r="FU233" s="38">
        <v>5</v>
      </c>
      <c r="FV233" s="38">
        <f t="shared" si="879"/>
        <v>1.001249843841072</v>
      </c>
      <c r="FW233" s="39">
        <f t="shared" si="881"/>
        <v>26.379456718628099</v>
      </c>
    </row>
    <row r="234" spans="2:180">
      <c r="B234" s="1048">
        <f t="shared" ca="1" si="875"/>
        <v>43222</v>
      </c>
      <c r="C234" s="153">
        <f t="shared" ca="1" si="865"/>
        <v>0</v>
      </c>
      <c r="D234" s="153">
        <f t="shared" ca="1" si="866"/>
        <v>0</v>
      </c>
      <c r="E234" s="153">
        <f t="shared" ca="1" si="867"/>
        <v>100</v>
      </c>
      <c r="F234" s="153">
        <f t="shared" ca="1" si="868"/>
        <v>0</v>
      </c>
      <c r="G234" s="153">
        <f t="shared" ca="1" si="869"/>
        <v>0</v>
      </c>
      <c r="H234" s="39">
        <f t="shared" ca="1" si="870"/>
        <v>0</v>
      </c>
      <c r="I234" s="39">
        <f t="shared" ca="1" si="871"/>
        <v>0</v>
      </c>
      <c r="J234" s="39">
        <f t="shared" ca="1" si="872"/>
        <v>0</v>
      </c>
      <c r="K234" s="39">
        <f t="shared" ca="1" si="873"/>
        <v>0</v>
      </c>
      <c r="L234" s="39">
        <f t="shared" ca="1" si="874"/>
        <v>0</v>
      </c>
      <c r="M234" s="39">
        <f t="shared" ca="1" si="878"/>
        <v>100</v>
      </c>
      <c r="O234" s="69"/>
      <c r="ED234" s="53"/>
      <c r="EE234" s="38"/>
      <c r="EJ234" s="53"/>
      <c r="EK234" s="38"/>
      <c r="EN234" s="53"/>
      <c r="EO234" s="153"/>
      <c r="EU234" s="1360">
        <f t="shared" ca="1" si="857"/>
        <v>0</v>
      </c>
      <c r="EV234" s="73">
        <v>25</v>
      </c>
      <c r="EW234" s="38">
        <v>30</v>
      </c>
      <c r="EX234" s="54">
        <v>41518</v>
      </c>
      <c r="EY234" s="55">
        <f t="shared" si="847"/>
        <v>52475.5</v>
      </c>
      <c r="EZ234" s="61">
        <f t="shared" ca="1" si="845"/>
        <v>41</v>
      </c>
      <c r="FA234" s="37" t="s">
        <v>418</v>
      </c>
      <c r="FB234" s="39">
        <v>25.93</v>
      </c>
      <c r="FC234" s="39">
        <f t="shared" si="876"/>
        <v>0.92999999999999972</v>
      </c>
      <c r="FD234" s="40">
        <f t="shared" si="877"/>
        <v>3.71999999999999E-2</v>
      </c>
      <c r="FE234" s="39">
        <f t="shared" ca="1" si="858"/>
        <v>2.2682926829268285E-2</v>
      </c>
      <c r="FF234" s="43">
        <f t="shared" ca="1" si="846"/>
        <v>1</v>
      </c>
      <c r="FH234" s="987"/>
      <c r="FS234" s="550">
        <v>18</v>
      </c>
      <c r="FT234" s="58">
        <v>2</v>
      </c>
      <c r="FU234" s="38">
        <v>6</v>
      </c>
      <c r="FV234" s="38">
        <f t="shared" si="879"/>
        <v>1.0015000000000001</v>
      </c>
      <c r="FW234" s="39">
        <f t="shared" si="881"/>
        <v>26.38604746479194</v>
      </c>
    </row>
    <row r="235" spans="2:180">
      <c r="B235" s="1048">
        <f t="shared" ca="1" si="875"/>
        <v>43252</v>
      </c>
      <c r="C235" s="153">
        <f t="shared" ca="1" si="865"/>
        <v>0</v>
      </c>
      <c r="D235" s="153">
        <f t="shared" ca="1" si="866"/>
        <v>0</v>
      </c>
      <c r="E235" s="153">
        <f t="shared" ca="1" si="867"/>
        <v>0</v>
      </c>
      <c r="F235" s="153">
        <f t="shared" ca="1" si="868"/>
        <v>0</v>
      </c>
      <c r="G235" s="153">
        <f t="shared" ca="1" si="869"/>
        <v>0</v>
      </c>
      <c r="H235" s="39">
        <f t="shared" ca="1" si="870"/>
        <v>0</v>
      </c>
      <c r="I235" s="39">
        <f t="shared" ca="1" si="871"/>
        <v>0</v>
      </c>
      <c r="J235" s="39">
        <f t="shared" ca="1" si="872"/>
        <v>0</v>
      </c>
      <c r="K235" s="39">
        <f t="shared" ca="1" si="873"/>
        <v>0</v>
      </c>
      <c r="L235" s="39">
        <f t="shared" ca="1" si="874"/>
        <v>0</v>
      </c>
      <c r="M235" s="39">
        <f t="shared" ca="1" si="878"/>
        <v>0</v>
      </c>
      <c r="O235" s="1277"/>
      <c r="ED235" s="53"/>
      <c r="EE235" s="38"/>
      <c r="EJ235" s="53"/>
      <c r="EK235" s="38"/>
      <c r="EN235" s="53"/>
      <c r="EO235" s="153"/>
      <c r="EU235" s="1360">
        <f t="shared" ca="1" si="857"/>
        <v>0</v>
      </c>
      <c r="EV235" s="73">
        <v>25</v>
      </c>
      <c r="EW235" s="38">
        <v>30</v>
      </c>
      <c r="EX235" s="54">
        <v>41518</v>
      </c>
      <c r="EY235" s="55">
        <f t="shared" si="847"/>
        <v>52475.5</v>
      </c>
      <c r="EZ235" s="61">
        <f t="shared" ca="1" si="845"/>
        <v>41</v>
      </c>
      <c r="FA235" s="37" t="s">
        <v>424</v>
      </c>
      <c r="FB235" s="39">
        <v>25.93</v>
      </c>
      <c r="FC235" s="39">
        <f t="shared" si="876"/>
        <v>0.92999999999999972</v>
      </c>
      <c r="FD235" s="40">
        <f t="shared" si="877"/>
        <v>3.71999999999999E-2</v>
      </c>
      <c r="FE235" s="39">
        <f t="shared" ca="1" si="858"/>
        <v>2.2682926829268285E-2</v>
      </c>
      <c r="FF235" s="43">
        <f t="shared" ca="1" si="846"/>
        <v>1</v>
      </c>
      <c r="FH235" s="987"/>
    </row>
    <row r="236" spans="2:180">
      <c r="B236" s="1048">
        <f t="shared" ca="1" si="875"/>
        <v>43282</v>
      </c>
      <c r="C236" s="153">
        <f t="shared" ca="1" si="865"/>
        <v>0</v>
      </c>
      <c r="D236" s="153">
        <f t="shared" ca="1" si="866"/>
        <v>0</v>
      </c>
      <c r="E236" s="153">
        <f t="shared" ca="1" si="867"/>
        <v>0</v>
      </c>
      <c r="F236" s="153">
        <f t="shared" ca="1" si="868"/>
        <v>100</v>
      </c>
      <c r="G236" s="153">
        <f t="shared" ca="1" si="869"/>
        <v>0</v>
      </c>
      <c r="H236" s="39">
        <f t="shared" ca="1" si="870"/>
        <v>0</v>
      </c>
      <c r="I236" s="39">
        <f t="shared" ca="1" si="871"/>
        <v>0</v>
      </c>
      <c r="J236" s="39">
        <f t="shared" ca="1" si="872"/>
        <v>0</v>
      </c>
      <c r="K236" s="39">
        <f t="shared" ca="1" si="873"/>
        <v>0</v>
      </c>
      <c r="L236" s="39">
        <f t="shared" ca="1" si="874"/>
        <v>0</v>
      </c>
      <c r="M236" s="39">
        <f t="shared" ca="1" si="878"/>
        <v>100</v>
      </c>
      <c r="O236" s="69"/>
      <c r="ED236" s="53"/>
      <c r="EE236" s="38"/>
      <c r="EJ236" s="53"/>
      <c r="EK236" s="38"/>
      <c r="EN236" s="53"/>
      <c r="EO236" s="153"/>
      <c r="EU236" s="1360">
        <f t="shared" ca="1" si="857"/>
        <v>0</v>
      </c>
      <c r="EV236" s="73">
        <v>25</v>
      </c>
      <c r="EW236" s="38">
        <v>30</v>
      </c>
      <c r="EX236" s="54">
        <v>41518</v>
      </c>
      <c r="EY236" s="55">
        <f t="shared" si="847"/>
        <v>52475.5</v>
      </c>
      <c r="EZ236" s="61">
        <f t="shared" ca="1" si="845"/>
        <v>41</v>
      </c>
      <c r="FA236" s="37" t="s">
        <v>431</v>
      </c>
      <c r="FB236" s="39">
        <v>25.93</v>
      </c>
      <c r="FC236" s="39">
        <f t="shared" si="876"/>
        <v>0.92999999999999972</v>
      </c>
      <c r="FD236" s="40">
        <f t="shared" si="877"/>
        <v>3.71999999999999E-2</v>
      </c>
      <c r="FE236" s="39">
        <f t="shared" ca="1" si="858"/>
        <v>2.2682926829268285E-2</v>
      </c>
      <c r="FF236" s="43">
        <f t="shared" ca="1" si="846"/>
        <v>1</v>
      </c>
      <c r="FH236" s="987"/>
      <c r="FS236" s="550">
        <v>19</v>
      </c>
      <c r="FT236" s="58">
        <v>1</v>
      </c>
      <c r="FU236" s="38">
        <v>1</v>
      </c>
      <c r="FV236" s="38">
        <f t="shared" ref="FV236:FV247" si="882">(1+$FY$2/2)^(FU236/6)</f>
        <v>1.0002498438930771</v>
      </c>
      <c r="FW236" s="39">
        <f t="shared" ref="FW236:FW241" si="883">$FW$234*FV236</f>
        <v>26.39263985761346</v>
      </c>
    </row>
    <row r="237" spans="2:180">
      <c r="B237" s="1048">
        <f t="shared" ca="1" si="875"/>
        <v>43312</v>
      </c>
      <c r="C237" s="153">
        <f t="shared" ca="1" si="865"/>
        <v>0</v>
      </c>
      <c r="D237" s="153">
        <f t="shared" ca="1" si="866"/>
        <v>100</v>
      </c>
      <c r="E237" s="153">
        <f t="shared" ca="1" si="867"/>
        <v>0</v>
      </c>
      <c r="F237" s="153">
        <f t="shared" ca="1" si="868"/>
        <v>100</v>
      </c>
      <c r="G237" s="153">
        <f t="shared" ca="1" si="869"/>
        <v>0</v>
      </c>
      <c r="H237" s="39">
        <f t="shared" ca="1" si="870"/>
        <v>0</v>
      </c>
      <c r="I237" s="39">
        <f t="shared" ca="1" si="871"/>
        <v>0</v>
      </c>
      <c r="J237" s="39">
        <f t="shared" ca="1" si="872"/>
        <v>0</v>
      </c>
      <c r="K237" s="39">
        <f t="shared" ca="1" si="873"/>
        <v>0</v>
      </c>
      <c r="L237" s="39">
        <f t="shared" ca="1" si="874"/>
        <v>0</v>
      </c>
      <c r="M237" s="39">
        <f t="shared" ca="1" si="878"/>
        <v>200</v>
      </c>
      <c r="O237" s="69"/>
      <c r="ED237" s="53"/>
      <c r="EE237" s="38"/>
      <c r="EJ237" s="53"/>
      <c r="EK237" s="38"/>
      <c r="EN237" s="53"/>
      <c r="EO237" s="153"/>
      <c r="EU237" s="1360">
        <f t="shared" ca="1" si="857"/>
        <v>0</v>
      </c>
      <c r="EV237" s="73">
        <v>25</v>
      </c>
      <c r="EW237" s="38">
        <v>30</v>
      </c>
      <c r="EX237" s="54">
        <v>41518</v>
      </c>
      <c r="EY237" s="55">
        <f t="shared" si="847"/>
        <v>52475.5</v>
      </c>
      <c r="EZ237" s="61">
        <f t="shared" ca="1" si="845"/>
        <v>41</v>
      </c>
      <c r="FA237" s="1" t="s">
        <v>432</v>
      </c>
      <c r="FB237" s="39">
        <v>25.93</v>
      </c>
      <c r="FC237" s="39">
        <f>FB237-EV237</f>
        <v>0.92999999999999972</v>
      </c>
      <c r="FD237" s="40">
        <f>FB237/EV237-1</f>
        <v>3.71999999999999E-2</v>
      </c>
      <c r="FE237" s="39">
        <f t="shared" ca="1" si="858"/>
        <v>2.2682926829268285E-2</v>
      </c>
      <c r="FF237" s="43">
        <f t="shared" ca="1" si="846"/>
        <v>1</v>
      </c>
      <c r="FH237" s="987"/>
      <c r="FS237" s="550">
        <v>19</v>
      </c>
      <c r="FT237" s="58">
        <v>1</v>
      </c>
      <c r="FU237" s="38">
        <v>2</v>
      </c>
      <c r="FV237" s="38">
        <f t="shared" si="882"/>
        <v>1.0004997502081252</v>
      </c>
      <c r="FW237" s="39">
        <f t="shared" si="883"/>
        <v>26.399233897504072</v>
      </c>
    </row>
    <row r="238" spans="2:180">
      <c r="B238" s="1048">
        <f t="shared" ca="1" si="875"/>
        <v>43342</v>
      </c>
      <c r="C238" s="153">
        <f t="shared" ca="1" si="865"/>
        <v>0</v>
      </c>
      <c r="D238" s="153">
        <f t="shared" ca="1" si="866"/>
        <v>0</v>
      </c>
      <c r="E238" s="153">
        <f t="shared" ca="1" si="867"/>
        <v>0</v>
      </c>
      <c r="F238" s="153">
        <f t="shared" ca="1" si="868"/>
        <v>100</v>
      </c>
      <c r="G238" s="153">
        <f t="shared" ca="1" si="869"/>
        <v>0</v>
      </c>
      <c r="H238" s="39">
        <f t="shared" ca="1" si="870"/>
        <v>0</v>
      </c>
      <c r="I238" s="39">
        <f t="shared" ca="1" si="871"/>
        <v>0</v>
      </c>
      <c r="J238" s="39">
        <f t="shared" ca="1" si="872"/>
        <v>0</v>
      </c>
      <c r="K238" s="39">
        <f t="shared" ca="1" si="873"/>
        <v>0</v>
      </c>
      <c r="L238" s="39">
        <f t="shared" ca="1" si="874"/>
        <v>0</v>
      </c>
      <c r="M238" s="39">
        <f t="shared" ca="1" si="878"/>
        <v>100</v>
      </c>
      <c r="O238" s="69"/>
      <c r="ED238" s="53"/>
      <c r="EE238" s="38"/>
      <c r="EJ238" s="53"/>
      <c r="EK238" s="38"/>
      <c r="EN238" s="53"/>
      <c r="EO238" s="153"/>
      <c r="EU238" s="1360">
        <f t="shared" ca="1" si="857"/>
        <v>0</v>
      </c>
      <c r="EV238" s="73">
        <v>50</v>
      </c>
      <c r="EW238" s="38">
        <v>30</v>
      </c>
      <c r="EX238" s="54">
        <v>41518</v>
      </c>
      <c r="EY238" s="55">
        <f t="shared" si="847"/>
        <v>52475.5</v>
      </c>
      <c r="EZ238" s="61">
        <f t="shared" ca="1" si="845"/>
        <v>41</v>
      </c>
      <c r="FA238" s="37" t="s">
        <v>408</v>
      </c>
      <c r="FB238" s="39">
        <v>51.86</v>
      </c>
      <c r="FC238" s="39">
        <f t="shared" si="876"/>
        <v>1.8599999999999994</v>
      </c>
      <c r="FD238" s="40">
        <f t="shared" si="877"/>
        <v>3.71999999999999E-2</v>
      </c>
      <c r="FE238" s="39">
        <f t="shared" ca="1" si="858"/>
        <v>4.536585365853657E-2</v>
      </c>
      <c r="FF238" s="43">
        <f t="shared" ca="1" si="846"/>
        <v>1</v>
      </c>
      <c r="FH238" s="987"/>
      <c r="FS238" s="550">
        <v>19</v>
      </c>
      <c r="FT238" s="58">
        <v>1</v>
      </c>
      <c r="FU238" s="38">
        <v>3</v>
      </c>
      <c r="FV238" s="38">
        <f t="shared" si="882"/>
        <v>1.0007497189607399</v>
      </c>
      <c r="FW238" s="39">
        <f t="shared" si="883"/>
        <v>26.405829584875278</v>
      </c>
    </row>
    <row r="239" spans="2:180">
      <c r="B239" s="1048">
        <f t="shared" ca="1" si="875"/>
        <v>43372</v>
      </c>
      <c r="C239" s="153">
        <f t="shared" ca="1" si="865"/>
        <v>0</v>
      </c>
      <c r="D239" s="153">
        <f t="shared" ca="1" si="866"/>
        <v>0</v>
      </c>
      <c r="E239" s="153">
        <f t="shared" ca="1" si="867"/>
        <v>0</v>
      </c>
      <c r="F239" s="153">
        <f t="shared" ca="1" si="868"/>
        <v>0</v>
      </c>
      <c r="G239" s="153">
        <f t="shared" ca="1" si="869"/>
        <v>0</v>
      </c>
      <c r="H239" s="39">
        <f t="shared" ca="1" si="870"/>
        <v>0</v>
      </c>
      <c r="I239" s="39">
        <f t="shared" ca="1" si="871"/>
        <v>0</v>
      </c>
      <c r="J239" s="39">
        <f t="shared" ca="1" si="872"/>
        <v>0</v>
      </c>
      <c r="K239" s="39">
        <f t="shared" ca="1" si="873"/>
        <v>0</v>
      </c>
      <c r="L239" s="39">
        <f t="shared" ca="1" si="874"/>
        <v>0</v>
      </c>
      <c r="M239" s="39">
        <f t="shared" ca="1" si="878"/>
        <v>0</v>
      </c>
      <c r="O239" s="69"/>
      <c r="ED239" s="53"/>
      <c r="EE239" s="38"/>
      <c r="EJ239" s="53"/>
      <c r="EK239" s="38"/>
      <c r="EN239" s="53"/>
      <c r="EO239" s="153"/>
      <c r="EU239" s="1360">
        <f t="shared" ca="1" si="857"/>
        <v>0</v>
      </c>
      <c r="EV239" s="73">
        <v>50</v>
      </c>
      <c r="EW239" s="38">
        <v>30</v>
      </c>
      <c r="EX239" s="54">
        <v>41518</v>
      </c>
      <c r="EY239" s="55">
        <f t="shared" si="847"/>
        <v>52475.5</v>
      </c>
      <c r="EZ239" s="61">
        <f t="shared" ca="1" si="845"/>
        <v>41</v>
      </c>
      <c r="FA239" s="37" t="s">
        <v>419</v>
      </c>
      <c r="FB239" s="39">
        <v>51.86</v>
      </c>
      <c r="FC239" s="39">
        <f>FB239-EV239</f>
        <v>1.8599999999999994</v>
      </c>
      <c r="FD239" s="40">
        <f>FB239/EV239-1</f>
        <v>3.71999999999999E-2</v>
      </c>
      <c r="FE239" s="39">
        <f t="shared" ca="1" si="858"/>
        <v>4.536585365853657E-2</v>
      </c>
      <c r="FF239" s="43">
        <f t="shared" ca="1" si="846"/>
        <v>1</v>
      </c>
      <c r="FH239" s="987"/>
      <c r="FS239" s="550">
        <v>19</v>
      </c>
      <c r="FT239" s="58">
        <v>1</v>
      </c>
      <c r="FU239" s="38">
        <v>4</v>
      </c>
      <c r="FV239" s="38">
        <f t="shared" si="882"/>
        <v>1.0009997501665211</v>
      </c>
      <c r="FW239" s="39">
        <f t="shared" si="883"/>
        <v>26.412426920138699</v>
      </c>
    </row>
    <row r="240" spans="2:180">
      <c r="B240" s="1048">
        <f t="shared" ca="1" si="875"/>
        <v>43402</v>
      </c>
      <c r="C240" s="153">
        <f t="shared" ca="1" si="865"/>
        <v>0</v>
      </c>
      <c r="D240" s="153">
        <f t="shared" ca="1" si="866"/>
        <v>0</v>
      </c>
      <c r="E240" s="153">
        <f t="shared" ca="1" si="867"/>
        <v>0</v>
      </c>
      <c r="F240" s="153">
        <f t="shared" ca="1" si="868"/>
        <v>0</v>
      </c>
      <c r="G240" s="153">
        <f t="shared" ca="1" si="869"/>
        <v>0</v>
      </c>
      <c r="H240" s="39">
        <f t="shared" ca="1" si="870"/>
        <v>0</v>
      </c>
      <c r="I240" s="39">
        <f t="shared" ca="1" si="871"/>
        <v>0</v>
      </c>
      <c r="J240" s="39">
        <f t="shared" ca="1" si="872"/>
        <v>0</v>
      </c>
      <c r="K240" s="39">
        <f t="shared" ca="1" si="873"/>
        <v>0</v>
      </c>
      <c r="L240" s="39">
        <f t="shared" ca="1" si="874"/>
        <v>0</v>
      </c>
      <c r="M240" s="39">
        <f t="shared" ca="1" si="878"/>
        <v>0</v>
      </c>
      <c r="O240" s="69"/>
      <c r="ED240" s="53"/>
      <c r="EE240" s="38"/>
      <c r="EJ240" s="53"/>
      <c r="EK240" s="38"/>
      <c r="EN240" s="53"/>
      <c r="EO240" s="153"/>
      <c r="EU240" s="1360">
        <f t="shared" ca="1" si="857"/>
        <v>0</v>
      </c>
      <c r="EV240" s="73">
        <v>100</v>
      </c>
      <c r="EW240" s="38">
        <v>30</v>
      </c>
      <c r="EX240" s="54">
        <v>41518</v>
      </c>
      <c r="EY240" s="55">
        <f t="shared" si="847"/>
        <v>52475.5</v>
      </c>
      <c r="EZ240" s="61">
        <f t="shared" ca="1" si="845"/>
        <v>41</v>
      </c>
      <c r="FA240" s="37" t="s">
        <v>435</v>
      </c>
      <c r="FB240" s="39">
        <v>103.72</v>
      </c>
      <c r="FC240" s="39">
        <f>FB240-EV240</f>
        <v>3.7199999999999989</v>
      </c>
      <c r="FD240" s="40">
        <f>FB240/EV240-1</f>
        <v>3.71999999999999E-2</v>
      </c>
      <c r="FE240" s="39">
        <f t="shared" ca="1" si="858"/>
        <v>9.073170731707314E-2</v>
      </c>
      <c r="FF240" s="43">
        <f t="shared" ca="1" si="846"/>
        <v>1</v>
      </c>
      <c r="FH240" s="987"/>
      <c r="FS240" s="550">
        <v>19</v>
      </c>
      <c r="FT240" s="58">
        <v>1</v>
      </c>
      <c r="FU240" s="38">
        <v>5</v>
      </c>
      <c r="FV240" s="38">
        <f t="shared" si="882"/>
        <v>1.001249843841072</v>
      </c>
      <c r="FW240" s="39">
        <f t="shared" si="883"/>
        <v>26.419025903706043</v>
      </c>
    </row>
    <row r="241" spans="2:179">
      <c r="B241" s="1048">
        <f t="shared" ca="1" si="875"/>
        <v>43432</v>
      </c>
      <c r="C241" s="153">
        <f t="shared" ca="1" si="865"/>
        <v>100</v>
      </c>
      <c r="D241" s="153">
        <f t="shared" ca="1" si="866"/>
        <v>0</v>
      </c>
      <c r="E241" s="153">
        <f t="shared" ca="1" si="867"/>
        <v>0</v>
      </c>
      <c r="F241" s="153">
        <f t="shared" ca="1" si="868"/>
        <v>0</v>
      </c>
      <c r="G241" s="153">
        <f t="shared" ca="1" si="869"/>
        <v>0</v>
      </c>
      <c r="H241" s="39">
        <f t="shared" ca="1" si="870"/>
        <v>0</v>
      </c>
      <c r="I241" s="39">
        <f t="shared" ca="1" si="871"/>
        <v>0</v>
      </c>
      <c r="J241" s="39">
        <f t="shared" ca="1" si="872"/>
        <v>0</v>
      </c>
      <c r="K241" s="39">
        <f t="shared" ca="1" si="873"/>
        <v>0</v>
      </c>
      <c r="L241" s="39">
        <f t="shared" ca="1" si="874"/>
        <v>0</v>
      </c>
      <c r="M241" s="39">
        <f t="shared" ca="1" si="878"/>
        <v>100</v>
      </c>
      <c r="O241" s="69"/>
      <c r="ED241" s="53"/>
      <c r="EE241" s="38"/>
      <c r="EJ241" s="53"/>
      <c r="EK241" s="38"/>
      <c r="EN241" s="53"/>
      <c r="EO241" s="153"/>
      <c r="EU241" s="1360">
        <f t="shared" ca="1" si="857"/>
        <v>0</v>
      </c>
      <c r="EV241" s="73">
        <v>25</v>
      </c>
      <c r="EW241" s="38">
        <v>30</v>
      </c>
      <c r="EX241" s="54">
        <v>41487</v>
      </c>
      <c r="EY241" s="55">
        <f t="shared" si="847"/>
        <v>52444.5</v>
      </c>
      <c r="EZ241" s="61">
        <f t="shared" ca="1" si="845"/>
        <v>42</v>
      </c>
      <c r="FA241" s="39" t="s">
        <v>388</v>
      </c>
      <c r="FB241" s="39">
        <v>25.93</v>
      </c>
      <c r="FC241" s="39">
        <f>FB241-EV241</f>
        <v>0.92999999999999972</v>
      </c>
      <c r="FD241" s="40">
        <f>FB241/EV241-1</f>
        <v>3.71999999999999E-2</v>
      </c>
      <c r="FE241" s="39">
        <f t="shared" ca="1" si="858"/>
        <v>2.2142857142857138E-2</v>
      </c>
      <c r="FF241" s="43">
        <f t="shared" ca="1" si="846"/>
        <v>1</v>
      </c>
      <c r="FH241" s="987"/>
      <c r="FS241" s="550">
        <v>19</v>
      </c>
      <c r="FT241" s="58">
        <v>1</v>
      </c>
      <c r="FU241" s="38">
        <v>6</v>
      </c>
      <c r="FV241" s="38">
        <f t="shared" si="882"/>
        <v>1.0015000000000001</v>
      </c>
      <c r="FW241" s="39">
        <f t="shared" si="883"/>
        <v>26.425626535989128</v>
      </c>
    </row>
    <row r="242" spans="2:179">
      <c r="B242" s="1048">
        <f t="shared" ca="1" si="875"/>
        <v>43462</v>
      </c>
      <c r="C242" s="153">
        <f t="shared" ca="1" si="865"/>
        <v>0</v>
      </c>
      <c r="D242" s="153">
        <f t="shared" ca="1" si="866"/>
        <v>0</v>
      </c>
      <c r="E242" s="153">
        <f t="shared" ca="1" si="867"/>
        <v>0</v>
      </c>
      <c r="F242" s="153">
        <f t="shared" ca="1" si="868"/>
        <v>0</v>
      </c>
      <c r="G242" s="153">
        <f t="shared" ca="1" si="869"/>
        <v>0</v>
      </c>
      <c r="H242" s="39">
        <f t="shared" ca="1" si="870"/>
        <v>0</v>
      </c>
      <c r="I242" s="39">
        <f t="shared" ca="1" si="871"/>
        <v>0</v>
      </c>
      <c r="J242" s="39">
        <f t="shared" ca="1" si="872"/>
        <v>0</v>
      </c>
      <c r="K242" s="39">
        <f t="shared" ca="1" si="873"/>
        <v>0</v>
      </c>
      <c r="L242" s="39">
        <f t="shared" ca="1" si="874"/>
        <v>0</v>
      </c>
      <c r="M242" s="39">
        <f t="shared" ca="1" si="878"/>
        <v>0</v>
      </c>
      <c r="O242" s="1277"/>
      <c r="ED242" s="53"/>
      <c r="EE242" s="38"/>
      <c r="EJ242" s="53"/>
      <c r="EK242" s="38"/>
      <c r="EN242" s="53"/>
      <c r="EO242" s="153"/>
      <c r="EU242" s="1360">
        <f t="shared" ca="1" si="857"/>
        <v>0</v>
      </c>
      <c r="EV242" s="73">
        <v>25</v>
      </c>
      <c r="EW242" s="38">
        <v>30</v>
      </c>
      <c r="EX242" s="54">
        <v>41487</v>
      </c>
      <c r="EY242" s="55">
        <f t="shared" si="847"/>
        <v>52444.5</v>
      </c>
      <c r="EZ242" s="61">
        <f t="shared" ca="1" si="845"/>
        <v>42</v>
      </c>
      <c r="FA242" s="37" t="s">
        <v>387</v>
      </c>
      <c r="FB242" s="39">
        <v>25.93</v>
      </c>
      <c r="FC242" s="39">
        <f t="shared" si="876"/>
        <v>0.92999999999999972</v>
      </c>
      <c r="FD242" s="40">
        <f t="shared" si="877"/>
        <v>3.71999999999999E-2</v>
      </c>
      <c r="FE242" s="39">
        <f t="shared" ca="1" si="858"/>
        <v>2.2142857142857138E-2</v>
      </c>
      <c r="FF242" s="43">
        <f t="shared" ca="1" si="846"/>
        <v>1</v>
      </c>
      <c r="FH242" s="987"/>
      <c r="FS242" s="550">
        <v>19</v>
      </c>
      <c r="FT242" s="58">
        <v>2</v>
      </c>
      <c r="FU242" s="38">
        <v>1</v>
      </c>
      <c r="FV242" s="38">
        <f t="shared" si="882"/>
        <v>1.0002498438930771</v>
      </c>
      <c r="FW242" s="39">
        <f t="shared" ref="FW242:FW247" si="884">$FW$241*FV242</f>
        <v>26.432228817399881</v>
      </c>
    </row>
    <row r="243" spans="2:179">
      <c r="B243" s="1048">
        <f t="shared" ca="1" si="875"/>
        <v>43492</v>
      </c>
      <c r="C243" s="153">
        <f t="shared" ca="1" si="865"/>
        <v>0</v>
      </c>
      <c r="D243" s="153">
        <f t="shared" ca="1" si="866"/>
        <v>0</v>
      </c>
      <c r="E243" s="153">
        <f t="shared" ca="1" si="867"/>
        <v>0</v>
      </c>
      <c r="F243" s="153">
        <f t="shared" ca="1" si="868"/>
        <v>0</v>
      </c>
      <c r="G243" s="153">
        <f t="shared" ca="1" si="869"/>
        <v>0</v>
      </c>
      <c r="H243" s="39">
        <f t="shared" ca="1" si="870"/>
        <v>0</v>
      </c>
      <c r="I243" s="39">
        <f t="shared" ca="1" si="871"/>
        <v>0</v>
      </c>
      <c r="J243" s="39">
        <f t="shared" ca="1" si="872"/>
        <v>0</v>
      </c>
      <c r="K243" s="39">
        <f t="shared" ca="1" si="873"/>
        <v>0</v>
      </c>
      <c r="L243" s="39">
        <f t="shared" ca="1" si="874"/>
        <v>0</v>
      </c>
      <c r="M243" s="39">
        <f t="shared" ca="1" si="878"/>
        <v>0</v>
      </c>
      <c r="O243" s="69"/>
      <c r="ED243" s="53"/>
      <c r="EE243" s="38"/>
      <c r="EJ243" s="53"/>
      <c r="EK243" s="38"/>
      <c r="EN243" s="53"/>
      <c r="EO243" s="153"/>
      <c r="EU243" s="1360">
        <f t="shared" ca="1" si="857"/>
        <v>0</v>
      </c>
      <c r="EV243" s="73">
        <v>25</v>
      </c>
      <c r="EW243" s="38">
        <v>30</v>
      </c>
      <c r="EX243" s="54">
        <v>41487</v>
      </c>
      <c r="EY243" s="55">
        <f t="shared" si="847"/>
        <v>52444.5</v>
      </c>
      <c r="EZ243" s="61">
        <f t="shared" ca="1" si="845"/>
        <v>42</v>
      </c>
      <c r="FA243" s="37" t="s">
        <v>399</v>
      </c>
      <c r="FB243" s="39">
        <v>25.93</v>
      </c>
      <c r="FC243" s="39">
        <f t="shared" si="876"/>
        <v>0.92999999999999972</v>
      </c>
      <c r="FD243" s="40">
        <f t="shared" si="877"/>
        <v>3.71999999999999E-2</v>
      </c>
      <c r="FE243" s="39">
        <f t="shared" ca="1" si="858"/>
        <v>2.2142857142857138E-2</v>
      </c>
      <c r="FF243" s="43">
        <f t="shared" ca="1" si="846"/>
        <v>1</v>
      </c>
      <c r="FH243" s="987"/>
      <c r="FS243" s="550">
        <v>19</v>
      </c>
      <c r="FT243" s="58">
        <v>2</v>
      </c>
      <c r="FU243" s="38">
        <v>2</v>
      </c>
      <c r="FV243" s="38">
        <f t="shared" si="882"/>
        <v>1.0004997502081252</v>
      </c>
      <c r="FW243" s="39">
        <f t="shared" si="884"/>
        <v>26.438832748350329</v>
      </c>
    </row>
    <row r="244" spans="2:179">
      <c r="B244" s="1048">
        <f t="shared" ca="1" si="875"/>
        <v>43522</v>
      </c>
      <c r="C244" s="153">
        <f t="shared" ca="1" si="865"/>
        <v>0</v>
      </c>
      <c r="D244" s="153">
        <f t="shared" ca="1" si="866"/>
        <v>0</v>
      </c>
      <c r="E244" s="153">
        <f t="shared" ca="1" si="867"/>
        <v>0</v>
      </c>
      <c r="F244" s="153">
        <f t="shared" ca="1" si="868"/>
        <v>0</v>
      </c>
      <c r="G244" s="153">
        <f t="shared" ca="1" si="869"/>
        <v>0</v>
      </c>
      <c r="H244" s="39">
        <f t="shared" ca="1" si="870"/>
        <v>0</v>
      </c>
      <c r="I244" s="39">
        <f t="shared" ca="1" si="871"/>
        <v>0</v>
      </c>
      <c r="J244" s="39">
        <f t="shared" ca="1" si="872"/>
        <v>0</v>
      </c>
      <c r="K244" s="39">
        <f t="shared" ca="1" si="873"/>
        <v>0</v>
      </c>
      <c r="L244" s="39">
        <f t="shared" ca="1" si="874"/>
        <v>0</v>
      </c>
      <c r="M244" s="39">
        <f t="shared" ca="1" si="878"/>
        <v>0</v>
      </c>
      <c r="O244" s="69"/>
      <c r="ED244" s="53"/>
      <c r="EE244" s="38"/>
      <c r="EJ244" s="53"/>
      <c r="EK244" s="38"/>
      <c r="EN244" s="53"/>
      <c r="EO244" s="153"/>
      <c r="EU244" s="1360">
        <f t="shared" ca="1" si="857"/>
        <v>0</v>
      </c>
      <c r="EV244" s="73">
        <v>25</v>
      </c>
      <c r="EW244" s="38">
        <v>30</v>
      </c>
      <c r="EX244" s="54">
        <v>41487</v>
      </c>
      <c r="EY244" s="55">
        <f t="shared" si="847"/>
        <v>52444.5</v>
      </c>
      <c r="EZ244" s="61">
        <f t="shared" ca="1" si="845"/>
        <v>42</v>
      </c>
      <c r="FA244" s="38" t="s">
        <v>400</v>
      </c>
      <c r="FB244" s="39">
        <v>25.93</v>
      </c>
      <c r="FC244" s="39">
        <f t="shared" si="876"/>
        <v>0.92999999999999972</v>
      </c>
      <c r="FD244" s="40">
        <f t="shared" si="877"/>
        <v>3.71999999999999E-2</v>
      </c>
      <c r="FE244" s="39">
        <f t="shared" ca="1" si="858"/>
        <v>2.2142857142857138E-2</v>
      </c>
      <c r="FF244" s="43">
        <f t="shared" ca="1" si="846"/>
        <v>1</v>
      </c>
      <c r="FH244" s="987"/>
      <c r="FS244" s="550">
        <v>19</v>
      </c>
      <c r="FT244" s="58">
        <v>2</v>
      </c>
      <c r="FU244" s="38">
        <v>3</v>
      </c>
      <c r="FV244" s="38">
        <f t="shared" si="882"/>
        <v>1.0007497189607399</v>
      </c>
      <c r="FW244" s="39">
        <f t="shared" si="884"/>
        <v>26.445438329252593</v>
      </c>
    </row>
    <row r="245" spans="2:179">
      <c r="B245" s="1048">
        <f t="shared" ca="1" si="875"/>
        <v>43552</v>
      </c>
      <c r="C245" s="153">
        <f t="shared" ca="1" si="865"/>
        <v>0</v>
      </c>
      <c r="D245" s="153">
        <f t="shared" ca="1" si="866"/>
        <v>0</v>
      </c>
      <c r="E245" s="153">
        <f t="shared" ca="1" si="867"/>
        <v>0</v>
      </c>
      <c r="F245" s="153">
        <f t="shared" ca="1" si="868"/>
        <v>0</v>
      </c>
      <c r="G245" s="153">
        <f t="shared" ca="1" si="869"/>
        <v>0</v>
      </c>
      <c r="H245" s="39">
        <f t="shared" ca="1" si="870"/>
        <v>0</v>
      </c>
      <c r="I245" s="39">
        <f t="shared" ca="1" si="871"/>
        <v>0</v>
      </c>
      <c r="J245" s="39">
        <f t="shared" ca="1" si="872"/>
        <v>0</v>
      </c>
      <c r="K245" s="39">
        <f t="shared" ca="1" si="873"/>
        <v>0</v>
      </c>
      <c r="L245" s="39">
        <f t="shared" ca="1" si="874"/>
        <v>0</v>
      </c>
      <c r="M245" s="39">
        <f t="shared" ca="1" si="878"/>
        <v>0</v>
      </c>
      <c r="O245" s="69"/>
      <c r="ED245" s="53"/>
      <c r="EE245" s="38"/>
      <c r="EJ245" s="53"/>
      <c r="EK245" s="38"/>
      <c r="EN245" s="53"/>
      <c r="EO245" s="153"/>
      <c r="EU245" s="1360">
        <f t="shared" ca="1" si="857"/>
        <v>0</v>
      </c>
      <c r="EV245" s="73">
        <v>25</v>
      </c>
      <c r="EW245" s="38">
        <v>30</v>
      </c>
      <c r="EX245" s="54">
        <v>41487</v>
      </c>
      <c r="EY245" s="55">
        <f t="shared" si="847"/>
        <v>52444.5</v>
      </c>
      <c r="EZ245" s="61">
        <f t="shared" ca="1" si="845"/>
        <v>42</v>
      </c>
      <c r="FA245" s="38" t="s">
        <v>401</v>
      </c>
      <c r="FB245" s="39">
        <v>25.93</v>
      </c>
      <c r="FC245" s="39">
        <f t="shared" si="876"/>
        <v>0.92999999999999972</v>
      </c>
      <c r="FD245" s="40">
        <f t="shared" si="877"/>
        <v>3.71999999999999E-2</v>
      </c>
      <c r="FE245" s="39">
        <f t="shared" ca="1" si="858"/>
        <v>2.2142857142857138E-2</v>
      </c>
      <c r="FF245" s="43">
        <f t="shared" ca="1" si="846"/>
        <v>1</v>
      </c>
      <c r="FH245" s="987"/>
      <c r="FS245" s="550">
        <v>19</v>
      </c>
      <c r="FT245" s="58">
        <v>2</v>
      </c>
      <c r="FU245" s="38">
        <v>4</v>
      </c>
      <c r="FV245" s="38">
        <f t="shared" si="882"/>
        <v>1.0009997501665211</v>
      </c>
      <c r="FW245" s="39">
        <f t="shared" si="884"/>
        <v>26.452045560518908</v>
      </c>
    </row>
    <row r="246" spans="2:179">
      <c r="B246" s="1048">
        <f t="shared" ca="1" si="875"/>
        <v>43582</v>
      </c>
      <c r="C246" s="153">
        <f t="shared" ca="1" si="865"/>
        <v>0</v>
      </c>
      <c r="D246" s="153">
        <f t="shared" ca="1" si="866"/>
        <v>0</v>
      </c>
      <c r="E246" s="153">
        <f t="shared" ca="1" si="867"/>
        <v>0</v>
      </c>
      <c r="F246" s="153">
        <f t="shared" ca="1" si="868"/>
        <v>0</v>
      </c>
      <c r="G246" s="153">
        <f t="shared" ca="1" si="869"/>
        <v>0</v>
      </c>
      <c r="H246" s="39">
        <f t="shared" ca="1" si="870"/>
        <v>0</v>
      </c>
      <c r="I246" s="39">
        <f t="shared" ca="1" si="871"/>
        <v>0</v>
      </c>
      <c r="J246" s="39">
        <f t="shared" ca="1" si="872"/>
        <v>0</v>
      </c>
      <c r="K246" s="39">
        <f t="shared" ca="1" si="873"/>
        <v>0</v>
      </c>
      <c r="L246" s="39">
        <f t="shared" ca="1" si="874"/>
        <v>0</v>
      </c>
      <c r="M246" s="39">
        <f t="shared" ca="1" si="878"/>
        <v>0</v>
      </c>
      <c r="O246" s="69"/>
      <c r="ED246" s="53"/>
      <c r="EE246" s="38"/>
      <c r="EJ246" s="53"/>
      <c r="EK246" s="38"/>
      <c r="EN246" s="53"/>
      <c r="EO246" s="153"/>
      <c r="EU246" s="1360">
        <f t="shared" ca="1" si="857"/>
        <v>0</v>
      </c>
      <c r="EV246" s="73">
        <v>50</v>
      </c>
      <c r="EW246" s="38">
        <v>30</v>
      </c>
      <c r="EX246" s="54">
        <v>41487</v>
      </c>
      <c r="EY246" s="55">
        <f t="shared" si="847"/>
        <v>52444.5</v>
      </c>
      <c r="EZ246" s="61">
        <f t="shared" ca="1" si="845"/>
        <v>42</v>
      </c>
      <c r="FA246" s="1" t="s">
        <v>404</v>
      </c>
      <c r="FB246" s="39">
        <v>51.86</v>
      </c>
      <c r="FC246" s="39">
        <f t="shared" si="876"/>
        <v>1.8599999999999994</v>
      </c>
      <c r="FD246" s="40">
        <f t="shared" si="877"/>
        <v>3.71999999999999E-2</v>
      </c>
      <c r="FE246" s="39">
        <f t="shared" ca="1" si="858"/>
        <v>4.4285714285714275E-2</v>
      </c>
      <c r="FF246" s="43">
        <f t="shared" ca="1" si="846"/>
        <v>1</v>
      </c>
      <c r="FH246" s="987"/>
      <c r="FS246" s="550">
        <v>19</v>
      </c>
      <c r="FT246" s="58">
        <v>2</v>
      </c>
      <c r="FU246" s="38">
        <v>5</v>
      </c>
      <c r="FV246" s="38">
        <f t="shared" si="882"/>
        <v>1.001249843841072</v>
      </c>
      <c r="FW246" s="39">
        <f t="shared" si="884"/>
        <v>26.458654442561603</v>
      </c>
    </row>
    <row r="247" spans="2:179">
      <c r="B247" s="1048">
        <f t="shared" ca="1" si="875"/>
        <v>43612</v>
      </c>
      <c r="C247" s="153">
        <f t="shared" ca="1" si="865"/>
        <v>0</v>
      </c>
      <c r="D247" s="153">
        <f t="shared" ca="1" si="866"/>
        <v>0</v>
      </c>
      <c r="E247" s="153">
        <f t="shared" ca="1" si="867"/>
        <v>0</v>
      </c>
      <c r="F247" s="153">
        <f t="shared" ca="1" si="868"/>
        <v>0</v>
      </c>
      <c r="G247" s="153">
        <f t="shared" ca="1" si="869"/>
        <v>0</v>
      </c>
      <c r="H247" s="39">
        <f t="shared" ca="1" si="870"/>
        <v>0</v>
      </c>
      <c r="I247" s="39">
        <f t="shared" ca="1" si="871"/>
        <v>0</v>
      </c>
      <c r="J247" s="39">
        <f t="shared" ca="1" si="872"/>
        <v>0</v>
      </c>
      <c r="K247" s="39">
        <f t="shared" ca="1" si="873"/>
        <v>0</v>
      </c>
      <c r="L247" s="39">
        <f t="shared" ca="1" si="874"/>
        <v>0</v>
      </c>
      <c r="M247" s="39">
        <f t="shared" ca="1" si="878"/>
        <v>0</v>
      </c>
      <c r="O247" s="69"/>
      <c r="ED247" s="53"/>
      <c r="EE247" s="38"/>
      <c r="EJ247" s="53"/>
      <c r="EK247" s="38"/>
      <c r="EN247" s="53"/>
      <c r="EO247" s="153"/>
      <c r="EU247" s="1360">
        <f t="shared" ca="1" si="857"/>
        <v>0</v>
      </c>
      <c r="EV247" s="73">
        <v>25</v>
      </c>
      <c r="EW247" s="38">
        <v>30</v>
      </c>
      <c r="EX247" s="54">
        <v>41456</v>
      </c>
      <c r="EY247" s="55">
        <f t="shared" si="847"/>
        <v>52413.5</v>
      </c>
      <c r="EZ247" s="61">
        <f t="shared" ref="EZ247:EZ301" ca="1" si="885">IF(EX247&gt;$G$1,0,DATEDIF(EX247,$G$1,"M"))</f>
        <v>43</v>
      </c>
      <c r="FA247" s="69" t="s">
        <v>362</v>
      </c>
      <c r="FB247" s="39">
        <v>25.93</v>
      </c>
      <c r="FC247" s="39">
        <f t="shared" si="876"/>
        <v>0.92999999999999972</v>
      </c>
      <c r="FD247" s="40">
        <f t="shared" si="877"/>
        <v>3.71999999999999E-2</v>
      </c>
      <c r="FE247" s="39">
        <f t="shared" ca="1" si="858"/>
        <v>2.1627906976744181E-2</v>
      </c>
      <c r="FF247" s="43">
        <f t="shared" ref="FF247:FF301" ca="1" si="886">IF(EX247&lt;$G$1-365.25,1,0)</f>
        <v>1</v>
      </c>
      <c r="FH247" s="987"/>
      <c r="FS247" s="550">
        <v>19</v>
      </c>
      <c r="FT247" s="58">
        <v>2</v>
      </c>
      <c r="FU247" s="38">
        <v>6</v>
      </c>
      <c r="FV247" s="38">
        <f t="shared" si="882"/>
        <v>1.0015000000000001</v>
      </c>
      <c r="FW247" s="39">
        <f t="shared" si="884"/>
        <v>26.465264975793112</v>
      </c>
    </row>
    <row r="248" spans="2:179">
      <c r="B248" s="1048">
        <f t="shared" ca="1" si="875"/>
        <v>43642</v>
      </c>
      <c r="C248" s="153">
        <f t="shared" ca="1" si="865"/>
        <v>0</v>
      </c>
      <c r="D248" s="153">
        <f t="shared" ca="1" si="866"/>
        <v>0</v>
      </c>
      <c r="E248" s="153">
        <f t="shared" ca="1" si="867"/>
        <v>0</v>
      </c>
      <c r="F248" s="153">
        <f t="shared" ca="1" si="868"/>
        <v>0</v>
      </c>
      <c r="G248" s="153">
        <f t="shared" ca="1" si="869"/>
        <v>0</v>
      </c>
      <c r="H248" s="39">
        <f t="shared" ca="1" si="870"/>
        <v>0</v>
      </c>
      <c r="I248" s="39">
        <f t="shared" ca="1" si="871"/>
        <v>0</v>
      </c>
      <c r="J248" s="39">
        <f t="shared" ca="1" si="872"/>
        <v>0</v>
      </c>
      <c r="K248" s="39">
        <f t="shared" ca="1" si="873"/>
        <v>0</v>
      </c>
      <c r="L248" s="39">
        <f t="shared" ca="1" si="874"/>
        <v>0</v>
      </c>
      <c r="M248" s="39">
        <f t="shared" ca="1" si="878"/>
        <v>0</v>
      </c>
      <c r="O248" s="69"/>
      <c r="ED248" s="53"/>
      <c r="EE248" s="38"/>
      <c r="EJ248" s="53"/>
      <c r="EK248" s="38"/>
      <c r="EN248" s="53"/>
      <c r="EO248" s="153"/>
      <c r="EU248" s="1360">
        <f t="shared" ca="1" si="857"/>
        <v>0</v>
      </c>
      <c r="EV248" s="73">
        <v>25</v>
      </c>
      <c r="EW248" s="38">
        <v>30</v>
      </c>
      <c r="EX248" s="54">
        <v>41456</v>
      </c>
      <c r="EY248" s="55">
        <f t="shared" ref="EY248:EY301" si="887">EX248+EW248*365.25</f>
        <v>52413.5</v>
      </c>
      <c r="EZ248" s="61">
        <f t="shared" ca="1" si="885"/>
        <v>43</v>
      </c>
      <c r="FA248" s="69" t="s">
        <v>363</v>
      </c>
      <c r="FB248" s="39">
        <v>25.93</v>
      </c>
      <c r="FC248" s="39">
        <f t="shared" si="876"/>
        <v>0.92999999999999972</v>
      </c>
      <c r="FD248" s="40">
        <f t="shared" si="877"/>
        <v>3.71999999999999E-2</v>
      </c>
      <c r="FE248" s="39">
        <f t="shared" ca="1" si="858"/>
        <v>2.1627906976744181E-2</v>
      </c>
      <c r="FF248" s="43">
        <f t="shared" ca="1" si="886"/>
        <v>1</v>
      </c>
    </row>
    <row r="249" spans="2:179">
      <c r="B249" s="1048">
        <f t="shared" ca="1" si="875"/>
        <v>43672</v>
      </c>
      <c r="C249" s="153">
        <f t="shared" ca="1" si="865"/>
        <v>0</v>
      </c>
      <c r="D249" s="153">
        <f t="shared" ca="1" si="866"/>
        <v>0</v>
      </c>
      <c r="E249" s="153">
        <f t="shared" ca="1" si="867"/>
        <v>0</v>
      </c>
      <c r="F249" s="153">
        <f t="shared" ca="1" si="868"/>
        <v>0</v>
      </c>
      <c r="G249" s="153">
        <f t="shared" ca="1" si="869"/>
        <v>0</v>
      </c>
      <c r="H249" s="39">
        <f t="shared" ca="1" si="870"/>
        <v>0</v>
      </c>
      <c r="I249" s="39">
        <f t="shared" ca="1" si="871"/>
        <v>0</v>
      </c>
      <c r="J249" s="39">
        <f t="shared" ca="1" si="872"/>
        <v>0</v>
      </c>
      <c r="K249" s="39">
        <f t="shared" ca="1" si="873"/>
        <v>0</v>
      </c>
      <c r="L249" s="39">
        <f t="shared" ca="1" si="874"/>
        <v>0</v>
      </c>
      <c r="M249" s="39">
        <f t="shared" ca="1" si="878"/>
        <v>0</v>
      </c>
      <c r="O249" s="69"/>
      <c r="ED249" s="53"/>
      <c r="EE249" s="38"/>
      <c r="EJ249" s="53"/>
      <c r="EK249" s="38"/>
      <c r="EN249" s="53"/>
      <c r="EO249" s="153"/>
      <c r="EU249" s="1360">
        <f t="shared" ca="1" si="857"/>
        <v>0</v>
      </c>
      <c r="EV249" s="73">
        <v>25</v>
      </c>
      <c r="EW249" s="38">
        <v>30</v>
      </c>
      <c r="EX249" s="54">
        <v>41456</v>
      </c>
      <c r="EY249" s="55">
        <f t="shared" si="887"/>
        <v>52413.5</v>
      </c>
      <c r="EZ249" s="61">
        <f t="shared" ca="1" si="885"/>
        <v>43</v>
      </c>
      <c r="FA249" s="69" t="s">
        <v>365</v>
      </c>
      <c r="FB249" s="39">
        <v>25.93</v>
      </c>
      <c r="FC249" s="39">
        <f t="shared" si="876"/>
        <v>0.92999999999999972</v>
      </c>
      <c r="FD249" s="40">
        <f t="shared" si="877"/>
        <v>3.71999999999999E-2</v>
      </c>
      <c r="FE249" s="39">
        <f t="shared" ca="1" si="858"/>
        <v>2.1627906976744181E-2</v>
      </c>
      <c r="FF249" s="43">
        <f t="shared" ca="1" si="886"/>
        <v>1</v>
      </c>
      <c r="FS249" s="550">
        <v>20</v>
      </c>
      <c r="FT249" s="58">
        <v>1</v>
      </c>
      <c r="FU249" s="38">
        <v>1</v>
      </c>
      <c r="FV249" s="38">
        <f t="shared" ref="FV249:FV260" si="888">(1+$FY$2/2)^(FU249/6)</f>
        <v>1.0002498438930771</v>
      </c>
      <c r="FW249" s="39">
        <f t="shared" ref="FW249:FW254" si="889">$FW$247*FV249</f>
        <v>26.471877160625983</v>
      </c>
    </row>
    <row r="250" spans="2:179">
      <c r="B250" s="1048">
        <f t="shared" ca="1" si="875"/>
        <v>43702</v>
      </c>
      <c r="C250" s="153">
        <f t="shared" ca="1" si="865"/>
        <v>0</v>
      </c>
      <c r="D250" s="153">
        <f t="shared" ca="1" si="866"/>
        <v>0</v>
      </c>
      <c r="E250" s="153">
        <f t="shared" ca="1" si="867"/>
        <v>0</v>
      </c>
      <c r="F250" s="153">
        <f t="shared" ca="1" si="868"/>
        <v>0</v>
      </c>
      <c r="G250" s="153">
        <f t="shared" ca="1" si="869"/>
        <v>0</v>
      </c>
      <c r="H250" s="39">
        <f t="shared" ca="1" si="870"/>
        <v>0</v>
      </c>
      <c r="I250" s="39">
        <f t="shared" ca="1" si="871"/>
        <v>0</v>
      </c>
      <c r="J250" s="39">
        <f t="shared" ca="1" si="872"/>
        <v>0</v>
      </c>
      <c r="K250" s="39">
        <f t="shared" ca="1" si="873"/>
        <v>0</v>
      </c>
      <c r="L250" s="39">
        <f t="shared" ca="1" si="874"/>
        <v>0</v>
      </c>
      <c r="M250" s="39">
        <f t="shared" ca="1" si="878"/>
        <v>0</v>
      </c>
      <c r="O250" s="1277"/>
      <c r="ED250" s="53"/>
      <c r="EE250" s="38"/>
      <c r="EJ250" s="53"/>
      <c r="EK250" s="38"/>
      <c r="EN250" s="53"/>
      <c r="EO250" s="153"/>
      <c r="EU250" s="1360">
        <f t="shared" ca="1" si="857"/>
        <v>0</v>
      </c>
      <c r="EV250" s="73">
        <v>25</v>
      </c>
      <c r="EW250" s="38">
        <v>30</v>
      </c>
      <c r="EX250" s="54">
        <v>41456</v>
      </c>
      <c r="EY250" s="55">
        <f t="shared" si="887"/>
        <v>52413.5</v>
      </c>
      <c r="EZ250" s="61">
        <f t="shared" ca="1" si="885"/>
        <v>43</v>
      </c>
      <c r="FA250" s="69" t="s">
        <v>366</v>
      </c>
      <c r="FB250" s="39">
        <v>25.93</v>
      </c>
      <c r="FC250" s="39">
        <f t="shared" si="876"/>
        <v>0.92999999999999972</v>
      </c>
      <c r="FD250" s="40">
        <f t="shared" si="877"/>
        <v>3.71999999999999E-2</v>
      </c>
      <c r="FE250" s="39">
        <f t="shared" ca="1" si="858"/>
        <v>2.1627906976744181E-2</v>
      </c>
      <c r="FF250" s="43">
        <f t="shared" ca="1" si="886"/>
        <v>1</v>
      </c>
      <c r="FS250" s="550">
        <v>20</v>
      </c>
      <c r="FT250" s="58">
        <v>1</v>
      </c>
      <c r="FU250" s="38">
        <v>2</v>
      </c>
      <c r="FV250" s="38">
        <f t="shared" si="888"/>
        <v>1.0004997502081252</v>
      </c>
      <c r="FW250" s="39">
        <f t="shared" si="889"/>
        <v>26.478490997472854</v>
      </c>
    </row>
    <row r="251" spans="2:179">
      <c r="B251" s="1048">
        <f t="shared" ca="1" si="875"/>
        <v>43732</v>
      </c>
      <c r="C251" s="153">
        <f t="shared" ca="1" si="865"/>
        <v>0</v>
      </c>
      <c r="D251" s="153">
        <f t="shared" ca="1" si="866"/>
        <v>0</v>
      </c>
      <c r="E251" s="153">
        <f t="shared" ca="1" si="867"/>
        <v>0</v>
      </c>
      <c r="F251" s="153">
        <f t="shared" ca="1" si="868"/>
        <v>0</v>
      </c>
      <c r="G251" s="153">
        <f t="shared" ca="1" si="869"/>
        <v>0</v>
      </c>
      <c r="H251" s="39">
        <f t="shared" ca="1" si="870"/>
        <v>0</v>
      </c>
      <c r="I251" s="39">
        <f t="shared" ca="1" si="871"/>
        <v>0</v>
      </c>
      <c r="J251" s="39">
        <f t="shared" ca="1" si="872"/>
        <v>0</v>
      </c>
      <c r="K251" s="39">
        <f t="shared" ca="1" si="873"/>
        <v>0</v>
      </c>
      <c r="L251" s="39">
        <f t="shared" ca="1" si="874"/>
        <v>0</v>
      </c>
      <c r="M251" s="39">
        <f t="shared" ca="1" si="878"/>
        <v>0</v>
      </c>
      <c r="O251" s="69"/>
      <c r="ED251" s="53"/>
      <c r="EE251" s="38"/>
      <c r="EJ251" s="53"/>
      <c r="EK251" s="38"/>
      <c r="EN251" s="53"/>
      <c r="EO251" s="153"/>
      <c r="EU251" s="1360">
        <f t="shared" ca="1" si="857"/>
        <v>0</v>
      </c>
      <c r="EV251" s="73">
        <v>25</v>
      </c>
      <c r="EW251" s="38">
        <v>30</v>
      </c>
      <c r="EX251" s="54">
        <v>41426</v>
      </c>
      <c r="EY251" s="55">
        <f t="shared" si="887"/>
        <v>52383.5</v>
      </c>
      <c r="EZ251" s="61">
        <f t="shared" ca="1" si="885"/>
        <v>44</v>
      </c>
      <c r="FA251" s="37" t="s">
        <v>324</v>
      </c>
      <c r="FB251" s="39">
        <v>25.94</v>
      </c>
      <c r="FC251" s="39">
        <f t="shared" si="876"/>
        <v>0.94000000000000128</v>
      </c>
      <c r="FD251" s="40">
        <f t="shared" si="877"/>
        <v>3.7600000000000078E-2</v>
      </c>
      <c r="FE251" s="39">
        <f t="shared" ca="1" si="858"/>
        <v>2.1363636363636394E-2</v>
      </c>
      <c r="FF251" s="43">
        <f t="shared" ca="1" si="886"/>
        <v>1</v>
      </c>
      <c r="FS251" s="550">
        <v>20</v>
      </c>
      <c r="FT251" s="58">
        <v>1</v>
      </c>
      <c r="FU251" s="38">
        <v>3</v>
      </c>
      <c r="FV251" s="38">
        <f t="shared" si="888"/>
        <v>1.0007497189607399</v>
      </c>
      <c r="FW251" s="39">
        <f t="shared" si="889"/>
        <v>26.485106486746471</v>
      </c>
    </row>
    <row r="252" spans="2:179">
      <c r="B252" s="1048">
        <f t="shared" ca="1" si="875"/>
        <v>43762</v>
      </c>
      <c r="C252" s="153">
        <f t="shared" ca="1" si="865"/>
        <v>0</v>
      </c>
      <c r="D252" s="153">
        <f t="shared" ca="1" si="866"/>
        <v>0</v>
      </c>
      <c r="E252" s="153">
        <f t="shared" ca="1" si="867"/>
        <v>0</v>
      </c>
      <c r="F252" s="153">
        <f t="shared" ca="1" si="868"/>
        <v>0</v>
      </c>
      <c r="G252" s="153">
        <f t="shared" ca="1" si="869"/>
        <v>0</v>
      </c>
      <c r="H252" s="39">
        <f t="shared" ca="1" si="870"/>
        <v>0</v>
      </c>
      <c r="I252" s="39">
        <f t="shared" ca="1" si="871"/>
        <v>0</v>
      </c>
      <c r="J252" s="39">
        <f t="shared" ca="1" si="872"/>
        <v>0</v>
      </c>
      <c r="K252" s="39">
        <f t="shared" ca="1" si="873"/>
        <v>0</v>
      </c>
      <c r="L252" s="39">
        <f t="shared" ca="1" si="874"/>
        <v>0</v>
      </c>
      <c r="M252" s="39">
        <f t="shared" ca="1" si="878"/>
        <v>0</v>
      </c>
      <c r="O252" s="69"/>
      <c r="ED252" s="53"/>
      <c r="EE252" s="38"/>
      <c r="EJ252" s="53"/>
      <c r="EK252" s="38"/>
      <c r="EN252" s="53"/>
      <c r="EO252" s="153"/>
      <c r="EU252" s="1360">
        <f t="shared" ca="1" si="857"/>
        <v>0</v>
      </c>
      <c r="EV252" s="73">
        <v>25</v>
      </c>
      <c r="EW252" s="38">
        <v>30</v>
      </c>
      <c r="EX252" s="54">
        <v>41426</v>
      </c>
      <c r="EY252" s="55">
        <f t="shared" si="887"/>
        <v>52383.5</v>
      </c>
      <c r="EZ252" s="61">
        <f t="shared" ca="1" si="885"/>
        <v>44</v>
      </c>
      <c r="FA252" s="37" t="s">
        <v>326</v>
      </c>
      <c r="FB252" s="39">
        <v>25.94</v>
      </c>
      <c r="FC252" s="39">
        <f t="shared" si="876"/>
        <v>0.94000000000000128</v>
      </c>
      <c r="FD252" s="40">
        <f t="shared" si="877"/>
        <v>3.7600000000000078E-2</v>
      </c>
      <c r="FE252" s="39">
        <f t="shared" ca="1" si="858"/>
        <v>2.1363636363636394E-2</v>
      </c>
      <c r="FF252" s="43">
        <f t="shared" ca="1" si="886"/>
        <v>1</v>
      </c>
      <c r="FS252" s="550">
        <v>20</v>
      </c>
      <c r="FT252" s="58">
        <v>1</v>
      </c>
      <c r="FU252" s="38">
        <v>4</v>
      </c>
      <c r="FV252" s="38">
        <f t="shared" si="888"/>
        <v>1.0009997501665211</v>
      </c>
      <c r="FW252" s="39">
        <f t="shared" si="889"/>
        <v>26.491723628859685</v>
      </c>
    </row>
    <row r="253" spans="2:179">
      <c r="B253" s="1048">
        <f t="shared" ca="1" si="875"/>
        <v>43792</v>
      </c>
      <c r="C253" s="153">
        <f t="shared" ca="1" si="865"/>
        <v>0</v>
      </c>
      <c r="D253" s="153">
        <f t="shared" ca="1" si="866"/>
        <v>0</v>
      </c>
      <c r="E253" s="153">
        <f t="shared" ca="1" si="867"/>
        <v>0</v>
      </c>
      <c r="F253" s="153">
        <f t="shared" ca="1" si="868"/>
        <v>0</v>
      </c>
      <c r="G253" s="153">
        <f t="shared" ca="1" si="869"/>
        <v>0</v>
      </c>
      <c r="H253" s="39">
        <f t="shared" ca="1" si="870"/>
        <v>0</v>
      </c>
      <c r="I253" s="39">
        <f t="shared" ca="1" si="871"/>
        <v>0</v>
      </c>
      <c r="J253" s="39">
        <f t="shared" ca="1" si="872"/>
        <v>0</v>
      </c>
      <c r="K253" s="39">
        <f t="shared" ca="1" si="873"/>
        <v>0</v>
      </c>
      <c r="L253" s="39">
        <f t="shared" ca="1" si="874"/>
        <v>0</v>
      </c>
      <c r="M253" s="39">
        <f t="shared" ca="1" si="878"/>
        <v>0</v>
      </c>
      <c r="O253" s="69"/>
      <c r="ED253" s="53"/>
      <c r="EE253" s="38"/>
      <c r="EJ253" s="53"/>
      <c r="EK253" s="38"/>
      <c r="EN253" s="53"/>
      <c r="EO253" s="153"/>
      <c r="EU253" s="1360">
        <f t="shared" ca="1" si="857"/>
        <v>0</v>
      </c>
      <c r="EV253" s="73">
        <v>25</v>
      </c>
      <c r="EW253" s="38">
        <v>30</v>
      </c>
      <c r="EX253" s="54">
        <v>41426</v>
      </c>
      <c r="EY253" s="55">
        <f t="shared" si="887"/>
        <v>52383.5</v>
      </c>
      <c r="EZ253" s="61">
        <f t="shared" ca="1" si="885"/>
        <v>44</v>
      </c>
      <c r="FA253" s="37" t="s">
        <v>327</v>
      </c>
      <c r="FB253" s="39">
        <v>25.94</v>
      </c>
      <c r="FC253" s="39">
        <f t="shared" si="876"/>
        <v>0.94000000000000128</v>
      </c>
      <c r="FD253" s="40">
        <f t="shared" si="877"/>
        <v>3.7600000000000078E-2</v>
      </c>
      <c r="FE253" s="39">
        <f t="shared" ca="1" si="858"/>
        <v>2.1363636363636394E-2</v>
      </c>
      <c r="FF253" s="43">
        <f t="shared" ca="1" si="886"/>
        <v>1</v>
      </c>
      <c r="FS253" s="550">
        <v>20</v>
      </c>
      <c r="FT253" s="58">
        <v>1</v>
      </c>
      <c r="FU253" s="38">
        <v>5</v>
      </c>
      <c r="FV253" s="38">
        <f t="shared" si="888"/>
        <v>1.001249843841072</v>
      </c>
      <c r="FW253" s="39">
        <f t="shared" si="889"/>
        <v>26.498342424225445</v>
      </c>
    </row>
    <row r="254" spans="2:179">
      <c r="B254" s="1048">
        <f t="shared" ca="1" si="875"/>
        <v>43822</v>
      </c>
      <c r="C254" s="153">
        <f t="shared" ca="1" si="865"/>
        <v>0</v>
      </c>
      <c r="D254" s="153">
        <f t="shared" ca="1" si="866"/>
        <v>0</v>
      </c>
      <c r="E254" s="153">
        <f t="shared" ca="1" si="867"/>
        <v>0</v>
      </c>
      <c r="F254" s="153">
        <f t="shared" ca="1" si="868"/>
        <v>0</v>
      </c>
      <c r="G254" s="153">
        <f t="shared" ca="1" si="869"/>
        <v>0</v>
      </c>
      <c r="H254" s="39">
        <f t="shared" ca="1" si="870"/>
        <v>0</v>
      </c>
      <c r="I254" s="39">
        <f t="shared" ca="1" si="871"/>
        <v>0</v>
      </c>
      <c r="J254" s="39">
        <f t="shared" ca="1" si="872"/>
        <v>0</v>
      </c>
      <c r="K254" s="39">
        <f t="shared" ca="1" si="873"/>
        <v>0</v>
      </c>
      <c r="L254" s="39">
        <f t="shared" ca="1" si="874"/>
        <v>0</v>
      </c>
      <c r="M254" s="39">
        <f t="shared" ca="1" si="878"/>
        <v>0</v>
      </c>
      <c r="O254" s="69"/>
      <c r="ED254" s="53"/>
      <c r="EE254" s="38"/>
      <c r="EJ254" s="53"/>
      <c r="EK254" s="38"/>
      <c r="EN254" s="53"/>
      <c r="EO254" s="153"/>
      <c r="EU254" s="1360">
        <f t="shared" ca="1" si="857"/>
        <v>0</v>
      </c>
      <c r="EV254" s="73">
        <v>25</v>
      </c>
      <c r="EW254" s="38">
        <v>30</v>
      </c>
      <c r="EX254" s="54">
        <v>41426</v>
      </c>
      <c r="EY254" s="55">
        <f t="shared" si="887"/>
        <v>52383.5</v>
      </c>
      <c r="EZ254" s="61">
        <f t="shared" ca="1" si="885"/>
        <v>44</v>
      </c>
      <c r="FA254" s="37" t="s">
        <v>328</v>
      </c>
      <c r="FB254" s="39">
        <v>25.94</v>
      </c>
      <c r="FC254" s="39">
        <f t="shared" si="876"/>
        <v>0.94000000000000128</v>
      </c>
      <c r="FD254" s="40">
        <f t="shared" si="877"/>
        <v>3.7600000000000078E-2</v>
      </c>
      <c r="FE254" s="39">
        <f t="shared" ca="1" si="858"/>
        <v>2.1363636363636394E-2</v>
      </c>
      <c r="FF254" s="43">
        <f t="shared" ca="1" si="886"/>
        <v>1</v>
      </c>
      <c r="FS254" s="550">
        <v>20</v>
      </c>
      <c r="FT254" s="58">
        <v>1</v>
      </c>
      <c r="FU254" s="38">
        <v>6</v>
      </c>
      <c r="FV254" s="38">
        <f t="shared" si="888"/>
        <v>1.0015000000000001</v>
      </c>
      <c r="FW254" s="39">
        <f t="shared" si="889"/>
        <v>26.504962873256801</v>
      </c>
    </row>
    <row r="255" spans="2:179">
      <c r="B255" s="1048">
        <f t="shared" ca="1" si="875"/>
        <v>43852</v>
      </c>
      <c r="C255" s="153">
        <f t="shared" ca="1" si="865"/>
        <v>0</v>
      </c>
      <c r="D255" s="153">
        <f t="shared" ca="1" si="866"/>
        <v>0</v>
      </c>
      <c r="E255" s="153">
        <f t="shared" ca="1" si="867"/>
        <v>0</v>
      </c>
      <c r="F255" s="153">
        <f t="shared" ca="1" si="868"/>
        <v>0</v>
      </c>
      <c r="G255" s="153">
        <f t="shared" ca="1" si="869"/>
        <v>0</v>
      </c>
      <c r="H255" s="39">
        <f t="shared" ca="1" si="870"/>
        <v>0</v>
      </c>
      <c r="I255" s="39">
        <f t="shared" ca="1" si="871"/>
        <v>0</v>
      </c>
      <c r="J255" s="39">
        <f t="shared" ca="1" si="872"/>
        <v>0</v>
      </c>
      <c r="K255" s="39">
        <f t="shared" ca="1" si="873"/>
        <v>0</v>
      </c>
      <c r="L255" s="39">
        <f t="shared" ca="1" si="874"/>
        <v>0</v>
      </c>
      <c r="M255" s="39">
        <f t="shared" ca="1" si="878"/>
        <v>0</v>
      </c>
      <c r="O255" s="69"/>
      <c r="ED255" s="53"/>
      <c r="EE255" s="38"/>
      <c r="EJ255" s="53"/>
      <c r="EK255" s="38"/>
      <c r="EN255" s="53"/>
      <c r="EO255" s="153"/>
      <c r="EU255" s="1360">
        <f t="shared" ca="1" si="857"/>
        <v>0</v>
      </c>
      <c r="EV255" s="73">
        <v>25</v>
      </c>
      <c r="EW255" s="38">
        <v>30</v>
      </c>
      <c r="EX255" s="54">
        <v>41395</v>
      </c>
      <c r="EY255" s="55">
        <f t="shared" si="887"/>
        <v>52352.5</v>
      </c>
      <c r="EZ255" s="61">
        <f t="shared" ca="1" si="885"/>
        <v>45</v>
      </c>
      <c r="FA255" s="1" t="s">
        <v>296</v>
      </c>
      <c r="FB255" s="39">
        <v>25.94</v>
      </c>
      <c r="FC255" s="39">
        <f t="shared" si="876"/>
        <v>0.94000000000000128</v>
      </c>
      <c r="FD255" s="40">
        <f t="shared" si="877"/>
        <v>3.7600000000000078E-2</v>
      </c>
      <c r="FE255" s="39">
        <f t="shared" ca="1" si="858"/>
        <v>2.0888888888888919E-2</v>
      </c>
      <c r="FF255" s="43">
        <f t="shared" ca="1" si="886"/>
        <v>1</v>
      </c>
      <c r="FS255" s="550">
        <v>20</v>
      </c>
      <c r="FT255" s="58">
        <v>2</v>
      </c>
      <c r="FU255" s="38">
        <v>1</v>
      </c>
      <c r="FV255" s="38">
        <f t="shared" si="888"/>
        <v>1.0002498438930771</v>
      </c>
      <c r="FW255" s="39">
        <f t="shared" ref="FW255:FW260" si="890">$FW$254*FV255</f>
        <v>26.511584976366919</v>
      </c>
    </row>
    <row r="256" spans="2:179">
      <c r="B256" s="1048">
        <f t="shared" ca="1" si="875"/>
        <v>43882</v>
      </c>
      <c r="C256" s="153">
        <f t="shared" ca="1" si="865"/>
        <v>0</v>
      </c>
      <c r="D256" s="153">
        <f t="shared" ca="1" si="866"/>
        <v>0</v>
      </c>
      <c r="E256" s="153">
        <f t="shared" ca="1" si="867"/>
        <v>0</v>
      </c>
      <c r="F256" s="153">
        <f t="shared" ca="1" si="868"/>
        <v>0</v>
      </c>
      <c r="G256" s="153">
        <f t="shared" ca="1" si="869"/>
        <v>0</v>
      </c>
      <c r="H256" s="39">
        <f t="shared" ca="1" si="870"/>
        <v>0</v>
      </c>
      <c r="I256" s="39">
        <f t="shared" ca="1" si="871"/>
        <v>0</v>
      </c>
      <c r="J256" s="39">
        <f t="shared" ca="1" si="872"/>
        <v>0</v>
      </c>
      <c r="K256" s="39">
        <f t="shared" ca="1" si="873"/>
        <v>0</v>
      </c>
      <c r="L256" s="39">
        <f t="shared" ca="1" si="874"/>
        <v>0</v>
      </c>
      <c r="M256" s="39">
        <f t="shared" ca="1" si="878"/>
        <v>0</v>
      </c>
      <c r="O256" s="69"/>
      <c r="ED256" s="53"/>
      <c r="EE256" s="38"/>
      <c r="EJ256" s="53"/>
      <c r="EK256" s="38"/>
      <c r="EN256" s="53"/>
      <c r="EO256" s="153"/>
      <c r="EU256" s="1360">
        <f t="shared" ca="1" si="857"/>
        <v>0</v>
      </c>
      <c r="EV256" s="73">
        <v>25</v>
      </c>
      <c r="EW256" s="38">
        <v>30</v>
      </c>
      <c r="EX256" s="54">
        <v>41395</v>
      </c>
      <c r="EY256" s="55">
        <f t="shared" si="887"/>
        <v>52352.5</v>
      </c>
      <c r="EZ256" s="61">
        <f t="shared" ca="1" si="885"/>
        <v>45</v>
      </c>
      <c r="FA256" s="37" t="s">
        <v>299</v>
      </c>
      <c r="FB256" s="39">
        <v>25.94</v>
      </c>
      <c r="FC256" s="39">
        <f t="shared" si="876"/>
        <v>0.94000000000000128</v>
      </c>
      <c r="FD256" s="40">
        <f t="shared" si="877"/>
        <v>3.7600000000000078E-2</v>
      </c>
      <c r="FE256" s="39">
        <f t="shared" ca="1" si="858"/>
        <v>2.0888888888888919E-2</v>
      </c>
      <c r="FF256" s="43">
        <f t="shared" ca="1" si="886"/>
        <v>1</v>
      </c>
      <c r="FS256" s="550">
        <v>20</v>
      </c>
      <c r="FT256" s="58">
        <v>2</v>
      </c>
      <c r="FU256" s="38">
        <v>2</v>
      </c>
      <c r="FV256" s="38">
        <f t="shared" si="888"/>
        <v>1.0004997502081252</v>
      </c>
      <c r="FW256" s="39">
        <f t="shared" si="890"/>
        <v>26.518208733969061</v>
      </c>
    </row>
    <row r="257" spans="2:183">
      <c r="B257" s="1048">
        <f t="shared" ca="1" si="875"/>
        <v>43912</v>
      </c>
      <c r="C257" s="153">
        <f t="shared" ca="1" si="865"/>
        <v>0</v>
      </c>
      <c r="D257" s="153">
        <f t="shared" ca="1" si="866"/>
        <v>0</v>
      </c>
      <c r="E257" s="153">
        <f t="shared" ca="1" si="867"/>
        <v>0</v>
      </c>
      <c r="F257" s="153">
        <f t="shared" ca="1" si="868"/>
        <v>0</v>
      </c>
      <c r="G257" s="153">
        <f t="shared" ca="1" si="869"/>
        <v>0</v>
      </c>
      <c r="H257" s="39">
        <f t="shared" ca="1" si="870"/>
        <v>0</v>
      </c>
      <c r="I257" s="39">
        <f t="shared" ca="1" si="871"/>
        <v>0</v>
      </c>
      <c r="J257" s="39">
        <f t="shared" ca="1" si="872"/>
        <v>0</v>
      </c>
      <c r="K257" s="39">
        <f t="shared" ca="1" si="873"/>
        <v>0</v>
      </c>
      <c r="L257" s="39">
        <f t="shared" ca="1" si="874"/>
        <v>0</v>
      </c>
      <c r="M257" s="39">
        <f t="shared" ca="1" si="878"/>
        <v>0</v>
      </c>
      <c r="O257" s="1277"/>
      <c r="ED257" s="53"/>
      <c r="EE257" s="38"/>
      <c r="EJ257" s="53"/>
      <c r="EK257" s="38"/>
      <c r="EN257" s="53"/>
      <c r="EO257" s="153"/>
      <c r="EU257" s="1360">
        <f t="shared" ca="1" si="857"/>
        <v>0</v>
      </c>
      <c r="EV257" s="73">
        <v>25</v>
      </c>
      <c r="EW257" s="38">
        <v>30</v>
      </c>
      <c r="EX257" s="54">
        <v>41395</v>
      </c>
      <c r="EY257" s="55">
        <f t="shared" si="887"/>
        <v>52352.5</v>
      </c>
      <c r="EZ257" s="61">
        <f t="shared" ca="1" si="885"/>
        <v>45</v>
      </c>
      <c r="FA257" s="37" t="s">
        <v>307</v>
      </c>
      <c r="FB257" s="39">
        <v>25.94</v>
      </c>
      <c r="FC257" s="39">
        <f t="shared" ref="FC257:FC301" si="891">FB257-EV257</f>
        <v>0.94000000000000128</v>
      </c>
      <c r="FD257" s="40">
        <f t="shared" ref="FD257:FD301" si="892">FB257/EV257-1</f>
        <v>3.7600000000000078E-2</v>
      </c>
      <c r="FE257" s="39">
        <f t="shared" ca="1" si="858"/>
        <v>2.0888888888888919E-2</v>
      </c>
      <c r="FF257" s="43">
        <f t="shared" ca="1" si="886"/>
        <v>1</v>
      </c>
      <c r="FS257" s="550">
        <v>20</v>
      </c>
      <c r="FT257" s="58">
        <v>2</v>
      </c>
      <c r="FU257" s="38">
        <v>3</v>
      </c>
      <c r="FV257" s="38">
        <f t="shared" si="888"/>
        <v>1.0007497189607399</v>
      </c>
      <c r="FW257" s="39">
        <f t="shared" si="890"/>
        <v>26.524834146476589</v>
      </c>
    </row>
    <row r="258" spans="2:183">
      <c r="B258" s="1048">
        <f t="shared" ca="1" si="875"/>
        <v>43942</v>
      </c>
      <c r="C258" s="153">
        <f t="shared" ca="1" si="865"/>
        <v>0</v>
      </c>
      <c r="D258" s="153">
        <f t="shared" ca="1" si="866"/>
        <v>0</v>
      </c>
      <c r="E258" s="153">
        <f t="shared" ca="1" si="867"/>
        <v>0</v>
      </c>
      <c r="F258" s="153">
        <f t="shared" ca="1" si="868"/>
        <v>0</v>
      </c>
      <c r="G258" s="153">
        <f t="shared" ca="1" si="869"/>
        <v>0</v>
      </c>
      <c r="H258" s="39">
        <f t="shared" ca="1" si="870"/>
        <v>0</v>
      </c>
      <c r="I258" s="39">
        <f t="shared" ca="1" si="871"/>
        <v>0</v>
      </c>
      <c r="J258" s="39">
        <f t="shared" ca="1" si="872"/>
        <v>100</v>
      </c>
      <c r="K258" s="39">
        <f t="shared" ca="1" si="873"/>
        <v>0</v>
      </c>
      <c r="L258" s="39">
        <f t="shared" ca="1" si="874"/>
        <v>0</v>
      </c>
      <c r="M258" s="39">
        <f t="shared" ca="1" si="878"/>
        <v>100</v>
      </c>
      <c r="O258" s="69"/>
      <c r="ED258" s="53"/>
      <c r="EE258" s="38"/>
      <c r="EJ258" s="53"/>
      <c r="EK258" s="38"/>
      <c r="EN258" s="53"/>
      <c r="EO258" s="153"/>
      <c r="EU258" s="1360">
        <f t="shared" ca="1" si="857"/>
        <v>0</v>
      </c>
      <c r="EV258" s="73">
        <v>25</v>
      </c>
      <c r="EW258" s="38">
        <v>30</v>
      </c>
      <c r="EX258" s="54">
        <v>41395</v>
      </c>
      <c r="EY258" s="55">
        <f t="shared" si="887"/>
        <v>52352.5</v>
      </c>
      <c r="EZ258" s="61">
        <f t="shared" ca="1" si="885"/>
        <v>45</v>
      </c>
      <c r="FA258" s="37" t="s">
        <v>309</v>
      </c>
      <c r="FB258" s="39">
        <v>25.94</v>
      </c>
      <c r="FC258" s="39">
        <f t="shared" si="891"/>
        <v>0.94000000000000128</v>
      </c>
      <c r="FD258" s="40">
        <f t="shared" si="892"/>
        <v>3.7600000000000078E-2</v>
      </c>
      <c r="FE258" s="39">
        <f t="shared" ca="1" si="858"/>
        <v>2.0888888888888919E-2</v>
      </c>
      <c r="FF258" s="43">
        <f t="shared" ca="1" si="886"/>
        <v>1</v>
      </c>
      <c r="FS258" s="550">
        <v>20</v>
      </c>
      <c r="FT258" s="58">
        <v>2</v>
      </c>
      <c r="FU258" s="38">
        <v>4</v>
      </c>
      <c r="FV258" s="38">
        <f t="shared" si="888"/>
        <v>1.0009997501665211</v>
      </c>
      <c r="FW258" s="39">
        <f t="shared" si="890"/>
        <v>26.531461214302976</v>
      </c>
    </row>
    <row r="259" spans="2:183">
      <c r="B259" s="1048">
        <f t="shared" ca="1" si="875"/>
        <v>43972</v>
      </c>
      <c r="C259" s="153">
        <f t="shared" ca="1" si="865"/>
        <v>0</v>
      </c>
      <c r="D259" s="153">
        <f t="shared" ca="1" si="866"/>
        <v>0</v>
      </c>
      <c r="E259" s="153">
        <f t="shared" ca="1" si="867"/>
        <v>0</v>
      </c>
      <c r="F259" s="153">
        <f t="shared" ca="1" si="868"/>
        <v>0</v>
      </c>
      <c r="G259" s="153">
        <f t="shared" ca="1" si="869"/>
        <v>0</v>
      </c>
      <c r="H259" s="39">
        <f t="shared" ca="1" si="870"/>
        <v>0</v>
      </c>
      <c r="I259" s="39">
        <f t="shared" ca="1" si="871"/>
        <v>0</v>
      </c>
      <c r="J259" s="39">
        <f t="shared" ca="1" si="872"/>
        <v>0</v>
      </c>
      <c r="K259" s="39">
        <f t="shared" ca="1" si="873"/>
        <v>0</v>
      </c>
      <c r="L259" s="39">
        <f t="shared" ca="1" si="874"/>
        <v>0</v>
      </c>
      <c r="M259" s="39">
        <f t="shared" ca="1" si="878"/>
        <v>0</v>
      </c>
      <c r="O259" s="69"/>
      <c r="ED259" s="53"/>
      <c r="EE259" s="38"/>
      <c r="EJ259" s="53"/>
      <c r="EK259" s="38"/>
      <c r="EN259" s="53"/>
      <c r="EO259" s="153"/>
      <c r="EU259" s="1360">
        <f t="shared" ref="EU259:EU301" ca="1" si="893">IF(EX259&lt;$G$1-5*365.25,1,0)</f>
        <v>0</v>
      </c>
      <c r="EV259" s="73">
        <v>25</v>
      </c>
      <c r="EW259" s="38">
        <v>30</v>
      </c>
      <c r="EX259" s="54">
        <v>41395</v>
      </c>
      <c r="EY259" s="55">
        <f t="shared" si="887"/>
        <v>52352.5</v>
      </c>
      <c r="EZ259" s="61">
        <f t="shared" ca="1" si="885"/>
        <v>45</v>
      </c>
      <c r="FA259" s="1" t="s">
        <v>315</v>
      </c>
      <c r="FB259" s="39">
        <v>25.94</v>
      </c>
      <c r="FC259" s="39">
        <f t="shared" si="891"/>
        <v>0.94000000000000128</v>
      </c>
      <c r="FD259" s="40">
        <f t="shared" si="892"/>
        <v>3.7600000000000078E-2</v>
      </c>
      <c r="FE259" s="39">
        <f t="shared" ca="1" si="858"/>
        <v>2.0888888888888919E-2</v>
      </c>
      <c r="FF259" s="43">
        <f t="shared" ca="1" si="886"/>
        <v>1</v>
      </c>
      <c r="FS259" s="550">
        <v>20</v>
      </c>
      <c r="FT259" s="58">
        <v>2</v>
      </c>
      <c r="FU259" s="38">
        <v>5</v>
      </c>
      <c r="FV259" s="38">
        <f t="shared" si="888"/>
        <v>1.001249843841072</v>
      </c>
      <c r="FW259" s="39">
        <f t="shared" si="890"/>
        <v>26.53808993786178</v>
      </c>
    </row>
    <row r="260" spans="2:183">
      <c r="B260" s="1048">
        <f t="shared" ca="1" si="875"/>
        <v>44002</v>
      </c>
      <c r="C260" s="153">
        <f t="shared" ca="1" si="865"/>
        <v>0</v>
      </c>
      <c r="D260" s="153">
        <f t="shared" ca="1" si="866"/>
        <v>0</v>
      </c>
      <c r="E260" s="153">
        <f t="shared" ca="1" si="867"/>
        <v>0</v>
      </c>
      <c r="F260" s="153">
        <f t="shared" ca="1" si="868"/>
        <v>0</v>
      </c>
      <c r="G260" s="153">
        <f t="shared" ca="1" si="869"/>
        <v>0</v>
      </c>
      <c r="H260" s="39">
        <f t="shared" ca="1" si="870"/>
        <v>0</v>
      </c>
      <c r="I260" s="39">
        <f t="shared" ca="1" si="871"/>
        <v>0</v>
      </c>
      <c r="J260" s="39">
        <f t="shared" ca="1" si="872"/>
        <v>0</v>
      </c>
      <c r="K260" s="39">
        <f t="shared" ca="1" si="873"/>
        <v>0</v>
      </c>
      <c r="L260" s="39">
        <f t="shared" ca="1" si="874"/>
        <v>0</v>
      </c>
      <c r="M260" s="39">
        <f t="shared" ca="1" si="878"/>
        <v>0</v>
      </c>
      <c r="O260" s="69"/>
      <c r="ED260" s="53"/>
      <c r="EE260" s="38"/>
      <c r="EJ260" s="53"/>
      <c r="EK260" s="38"/>
      <c r="EN260" s="53"/>
      <c r="EO260" s="153"/>
      <c r="EU260" s="1360">
        <f t="shared" ca="1" si="893"/>
        <v>0</v>
      </c>
      <c r="EV260" s="73">
        <v>25</v>
      </c>
      <c r="EW260" s="38">
        <v>30</v>
      </c>
      <c r="EX260" s="54">
        <v>41395</v>
      </c>
      <c r="EY260" s="55">
        <f t="shared" si="887"/>
        <v>52352.5</v>
      </c>
      <c r="EZ260" s="61">
        <f t="shared" ca="1" si="885"/>
        <v>45</v>
      </c>
      <c r="FA260" s="37" t="s">
        <v>297</v>
      </c>
      <c r="FB260" s="39">
        <v>25.94</v>
      </c>
      <c r="FC260" s="39">
        <f t="shared" si="891"/>
        <v>0.94000000000000128</v>
      </c>
      <c r="FD260" s="40">
        <f t="shared" si="892"/>
        <v>3.7600000000000078E-2</v>
      </c>
      <c r="FE260" s="39">
        <f t="shared" ref="FE260:FE301" ca="1" si="894">FC260/EZ260</f>
        <v>2.0888888888888919E-2</v>
      </c>
      <c r="FF260" s="43">
        <f t="shared" ca="1" si="886"/>
        <v>1</v>
      </c>
      <c r="FS260" s="550">
        <v>20</v>
      </c>
      <c r="FT260" s="58">
        <v>2</v>
      </c>
      <c r="FU260" s="38">
        <v>6</v>
      </c>
      <c r="FV260" s="38">
        <f t="shared" si="888"/>
        <v>1.0015000000000001</v>
      </c>
      <c r="FW260" s="39">
        <f t="shared" si="890"/>
        <v>26.544720317566689</v>
      </c>
    </row>
    <row r="261" spans="2:183">
      <c r="B261" s="1048">
        <f t="shared" ca="1" si="875"/>
        <v>44032</v>
      </c>
      <c r="C261" s="153">
        <f t="shared" ca="1" si="865"/>
        <v>0</v>
      </c>
      <c r="D261" s="153">
        <f t="shared" ca="1" si="866"/>
        <v>0</v>
      </c>
      <c r="E261" s="153">
        <f t="shared" ca="1" si="867"/>
        <v>0</v>
      </c>
      <c r="F261" s="153">
        <f t="shared" ca="1" si="868"/>
        <v>0</v>
      </c>
      <c r="G261" s="153">
        <f t="shared" ca="1" si="869"/>
        <v>0</v>
      </c>
      <c r="H261" s="39">
        <f t="shared" ca="1" si="870"/>
        <v>0</v>
      </c>
      <c r="I261" s="39">
        <f t="shared" ca="1" si="871"/>
        <v>0</v>
      </c>
      <c r="J261" s="39">
        <f t="shared" ca="1" si="872"/>
        <v>0</v>
      </c>
      <c r="K261" s="39">
        <f t="shared" ca="1" si="873"/>
        <v>0</v>
      </c>
      <c r="L261" s="39">
        <f t="shared" ca="1" si="874"/>
        <v>0</v>
      </c>
      <c r="M261" s="39">
        <f t="shared" ca="1" si="878"/>
        <v>0</v>
      </c>
      <c r="O261" s="69"/>
      <c r="EU261" s="1360">
        <f t="shared" ca="1" si="893"/>
        <v>0</v>
      </c>
      <c r="EV261" s="73">
        <v>25</v>
      </c>
      <c r="EW261" s="38">
        <v>30</v>
      </c>
      <c r="EX261" s="54">
        <v>41365</v>
      </c>
      <c r="EY261" s="55">
        <f t="shared" si="887"/>
        <v>52322.5</v>
      </c>
      <c r="EZ261" s="61">
        <f t="shared" ca="1" si="885"/>
        <v>46</v>
      </c>
      <c r="FA261" s="37" t="s">
        <v>269</v>
      </c>
      <c r="FB261" s="39">
        <v>26.14</v>
      </c>
      <c r="FC261" s="39">
        <f t="shared" si="891"/>
        <v>1.1400000000000006</v>
      </c>
      <c r="FD261" s="40">
        <f t="shared" si="892"/>
        <v>4.5600000000000085E-2</v>
      </c>
      <c r="FE261" s="39">
        <f t="shared" ca="1" si="894"/>
        <v>2.4782608695652186E-2</v>
      </c>
      <c r="FF261" s="43">
        <f t="shared" ca="1" si="886"/>
        <v>1</v>
      </c>
    </row>
    <row r="262" spans="2:183">
      <c r="B262" s="1048">
        <f t="shared" ca="1" si="875"/>
        <v>44062</v>
      </c>
      <c r="C262" s="153">
        <f t="shared" ca="1" si="865"/>
        <v>0</v>
      </c>
      <c r="D262" s="153">
        <f t="shared" ca="1" si="866"/>
        <v>0</v>
      </c>
      <c r="E262" s="153">
        <f t="shared" ca="1" si="867"/>
        <v>0</v>
      </c>
      <c r="F262" s="153">
        <f t="shared" ca="1" si="868"/>
        <v>0</v>
      </c>
      <c r="G262" s="153">
        <f t="shared" ca="1" si="869"/>
        <v>0</v>
      </c>
      <c r="H262" s="39">
        <f t="shared" ca="1" si="870"/>
        <v>0</v>
      </c>
      <c r="I262" s="39">
        <f t="shared" ca="1" si="871"/>
        <v>0</v>
      </c>
      <c r="J262" s="39">
        <f t="shared" ca="1" si="872"/>
        <v>0</v>
      </c>
      <c r="K262" s="39">
        <f t="shared" ca="1" si="873"/>
        <v>0</v>
      </c>
      <c r="L262" s="39">
        <f t="shared" ca="1" si="874"/>
        <v>0</v>
      </c>
      <c r="M262" s="39">
        <f t="shared" ca="1" si="878"/>
        <v>0</v>
      </c>
      <c r="O262" s="69"/>
      <c r="EU262" s="1360">
        <f t="shared" ca="1" si="893"/>
        <v>0</v>
      </c>
      <c r="EV262" s="73">
        <v>25</v>
      </c>
      <c r="EW262" s="38">
        <v>30</v>
      </c>
      <c r="EX262" s="54">
        <v>41365</v>
      </c>
      <c r="EY262" s="55">
        <f t="shared" si="887"/>
        <v>52322.5</v>
      </c>
      <c r="EZ262" s="61">
        <f t="shared" ca="1" si="885"/>
        <v>46</v>
      </c>
      <c r="FA262" s="37" t="s">
        <v>292</v>
      </c>
      <c r="FB262" s="39">
        <v>26.14</v>
      </c>
      <c r="FC262" s="39">
        <f t="shared" si="891"/>
        <v>1.1400000000000006</v>
      </c>
      <c r="FD262" s="40">
        <f t="shared" si="892"/>
        <v>4.5600000000000085E-2</v>
      </c>
      <c r="FE262" s="39">
        <f t="shared" ca="1" si="894"/>
        <v>2.4782608695652186E-2</v>
      </c>
      <c r="FF262" s="43">
        <f t="shared" ca="1" si="886"/>
        <v>1</v>
      </c>
      <c r="FS262" s="550">
        <v>21</v>
      </c>
      <c r="FT262" s="58">
        <v>1</v>
      </c>
      <c r="FU262" s="38">
        <v>1</v>
      </c>
      <c r="FV262" s="38">
        <f t="shared" ref="FV262:FV273" si="895">(1+$FY$2/2)^(FU262/6)</f>
        <v>1.0002498438930771</v>
      </c>
      <c r="FW262" s="39">
        <f>MAX(2*FX2,FW260*FV262)</f>
        <v>50</v>
      </c>
      <c r="FX262" s="723" t="s">
        <v>2796</v>
      </c>
      <c r="FY262" s="722"/>
      <c r="FZ262" s="722"/>
    </row>
    <row r="263" spans="2:183">
      <c r="B263" s="1048">
        <f t="shared" ca="1" si="875"/>
        <v>44092</v>
      </c>
      <c r="C263" s="153">
        <f t="shared" ca="1" si="865"/>
        <v>0</v>
      </c>
      <c r="D263" s="153">
        <f t="shared" ca="1" si="866"/>
        <v>0</v>
      </c>
      <c r="E263" s="153">
        <f t="shared" ca="1" si="867"/>
        <v>0</v>
      </c>
      <c r="F263" s="153">
        <f t="shared" ca="1" si="868"/>
        <v>0</v>
      </c>
      <c r="G263" s="153">
        <f t="shared" ca="1" si="869"/>
        <v>0</v>
      </c>
      <c r="H263" s="39">
        <f t="shared" ca="1" si="870"/>
        <v>0</v>
      </c>
      <c r="I263" s="39">
        <f t="shared" ca="1" si="871"/>
        <v>0</v>
      </c>
      <c r="J263" s="39">
        <f t="shared" ca="1" si="872"/>
        <v>0</v>
      </c>
      <c r="K263" s="39">
        <f t="shared" ca="1" si="873"/>
        <v>0</v>
      </c>
      <c r="L263" s="39">
        <f t="shared" ca="1" si="874"/>
        <v>0</v>
      </c>
      <c r="M263" s="39">
        <f t="shared" ca="1" si="878"/>
        <v>0</v>
      </c>
      <c r="O263" s="69"/>
      <c r="EU263" s="1360">
        <f t="shared" ca="1" si="893"/>
        <v>0</v>
      </c>
      <c r="EV263" s="73">
        <v>25</v>
      </c>
      <c r="EW263" s="38">
        <v>30</v>
      </c>
      <c r="EX263" s="54">
        <v>41365</v>
      </c>
      <c r="EY263" s="55">
        <f t="shared" si="887"/>
        <v>52322.5</v>
      </c>
      <c r="EZ263" s="61">
        <f t="shared" ca="1" si="885"/>
        <v>46</v>
      </c>
      <c r="FA263" s="37" t="s">
        <v>293</v>
      </c>
      <c r="FB263" s="39">
        <v>26.14</v>
      </c>
      <c r="FC263" s="39">
        <f t="shared" si="891"/>
        <v>1.1400000000000006</v>
      </c>
      <c r="FD263" s="40">
        <f t="shared" si="892"/>
        <v>4.5600000000000085E-2</v>
      </c>
      <c r="FE263" s="39">
        <f t="shared" ca="1" si="894"/>
        <v>2.4782608695652186E-2</v>
      </c>
      <c r="FF263" s="43">
        <f t="shared" ca="1" si="886"/>
        <v>1</v>
      </c>
      <c r="FS263" s="550">
        <v>21</v>
      </c>
      <c r="FT263" s="58">
        <v>1</v>
      </c>
      <c r="FU263" s="38">
        <v>2</v>
      </c>
      <c r="FV263" s="38">
        <f t="shared" si="895"/>
        <v>1.0004997502081252</v>
      </c>
      <c r="FW263" s="39">
        <f>FW262*FV263</f>
        <v>50.024987510406262</v>
      </c>
      <c r="FX263" s="1419" t="s">
        <v>2797</v>
      </c>
      <c r="FY263" s="1420"/>
      <c r="FZ263" s="1420"/>
      <c r="GA263" s="1420"/>
    </row>
    <row r="264" spans="2:183">
      <c r="B264" s="1048">
        <f t="shared" ca="1" si="875"/>
        <v>44122</v>
      </c>
      <c r="C264" s="153">
        <f t="shared" ca="1" si="865"/>
        <v>0</v>
      </c>
      <c r="D264" s="153">
        <f t="shared" ca="1" si="866"/>
        <v>0</v>
      </c>
      <c r="E264" s="153">
        <f t="shared" ca="1" si="867"/>
        <v>0</v>
      </c>
      <c r="F264" s="153">
        <f t="shared" ca="1" si="868"/>
        <v>0</v>
      </c>
      <c r="G264" s="153">
        <f t="shared" ca="1" si="869"/>
        <v>0</v>
      </c>
      <c r="H264" s="39">
        <f t="shared" ca="1" si="870"/>
        <v>0</v>
      </c>
      <c r="I264" s="39">
        <f t="shared" ca="1" si="871"/>
        <v>0</v>
      </c>
      <c r="J264" s="39">
        <f t="shared" ca="1" si="872"/>
        <v>0</v>
      </c>
      <c r="K264" s="39">
        <f t="shared" ca="1" si="873"/>
        <v>0</v>
      </c>
      <c r="L264" s="39">
        <f t="shared" ca="1" si="874"/>
        <v>0</v>
      </c>
      <c r="M264" s="39">
        <f t="shared" ca="1" si="878"/>
        <v>0</v>
      </c>
      <c r="O264" s="1277"/>
      <c r="EU264" s="1360">
        <f t="shared" ca="1" si="893"/>
        <v>0</v>
      </c>
      <c r="EV264" s="73">
        <v>25</v>
      </c>
      <c r="EW264" s="38">
        <v>30</v>
      </c>
      <c r="EX264" s="54">
        <v>41365</v>
      </c>
      <c r="EY264" s="55">
        <f t="shared" si="887"/>
        <v>52322.5</v>
      </c>
      <c r="EZ264" s="61">
        <f t="shared" ca="1" si="885"/>
        <v>46</v>
      </c>
      <c r="FA264" s="37" t="s">
        <v>294</v>
      </c>
      <c r="FB264" s="39">
        <v>26.14</v>
      </c>
      <c r="FC264" s="39">
        <f t="shared" si="891"/>
        <v>1.1400000000000006</v>
      </c>
      <c r="FD264" s="40">
        <f t="shared" si="892"/>
        <v>4.5600000000000085E-2</v>
      </c>
      <c r="FE264" s="39">
        <f t="shared" ca="1" si="894"/>
        <v>2.4782608695652186E-2</v>
      </c>
      <c r="FF264" s="43">
        <f t="shared" ca="1" si="886"/>
        <v>1</v>
      </c>
      <c r="FS264" s="550">
        <v>21</v>
      </c>
      <c r="FT264" s="58">
        <v>1</v>
      </c>
      <c r="FU264" s="38">
        <v>3</v>
      </c>
      <c r="FV264" s="38">
        <f t="shared" si="895"/>
        <v>1.0007497189607399</v>
      </c>
      <c r="FW264" s="39">
        <f t="shared" ref="FW264:FW267" si="896">FW263*FV264</f>
        <v>50.06249219205359</v>
      </c>
    </row>
    <row r="265" spans="2:183">
      <c r="B265" s="1048">
        <f t="shared" ca="1" si="875"/>
        <v>44152</v>
      </c>
      <c r="C265" s="153">
        <f t="shared" ca="1" si="865"/>
        <v>0</v>
      </c>
      <c r="D265" s="153">
        <f t="shared" ca="1" si="866"/>
        <v>0</v>
      </c>
      <c r="E265" s="153">
        <f t="shared" ca="1" si="867"/>
        <v>0</v>
      </c>
      <c r="F265" s="153">
        <f t="shared" ca="1" si="868"/>
        <v>0</v>
      </c>
      <c r="G265" s="153">
        <f t="shared" ca="1" si="869"/>
        <v>0</v>
      </c>
      <c r="H265" s="39">
        <f t="shared" ca="1" si="870"/>
        <v>0</v>
      </c>
      <c r="I265" s="39">
        <f t="shared" ca="1" si="871"/>
        <v>0</v>
      </c>
      <c r="J265" s="39">
        <f t="shared" ca="1" si="872"/>
        <v>0</v>
      </c>
      <c r="K265" s="39">
        <f t="shared" ca="1" si="873"/>
        <v>0</v>
      </c>
      <c r="L265" s="39">
        <f t="shared" ca="1" si="874"/>
        <v>0</v>
      </c>
      <c r="M265" s="39">
        <f t="shared" ca="1" si="878"/>
        <v>0</v>
      </c>
      <c r="O265" s="69"/>
      <c r="EU265" s="1360">
        <f t="shared" ca="1" si="893"/>
        <v>0</v>
      </c>
      <c r="EV265" s="73">
        <v>25</v>
      </c>
      <c r="EW265" s="38">
        <v>30</v>
      </c>
      <c r="EX265" s="54">
        <v>41334</v>
      </c>
      <c r="EY265" s="55">
        <f t="shared" si="887"/>
        <v>52291.5</v>
      </c>
      <c r="EZ265" s="61">
        <f t="shared" ca="1" si="885"/>
        <v>47</v>
      </c>
      <c r="FA265" s="39" t="s">
        <v>242</v>
      </c>
      <c r="FB265" s="39">
        <v>26.15</v>
      </c>
      <c r="FC265" s="39">
        <f t="shared" si="891"/>
        <v>1.1499999999999986</v>
      </c>
      <c r="FD265" s="40">
        <f t="shared" si="892"/>
        <v>4.6000000000000041E-2</v>
      </c>
      <c r="FE265" s="39">
        <f t="shared" ca="1" si="894"/>
        <v>2.4468085106382948E-2</v>
      </c>
      <c r="FF265" s="43">
        <f t="shared" ca="1" si="886"/>
        <v>1</v>
      </c>
      <c r="FS265" s="550">
        <v>21</v>
      </c>
      <c r="FT265" s="58">
        <v>1</v>
      </c>
      <c r="FU265" s="38">
        <v>4</v>
      </c>
      <c r="FV265" s="38">
        <f t="shared" si="895"/>
        <v>1.0009997501665211</v>
      </c>
      <c r="FW265" s="39">
        <f t="shared" si="896"/>
        <v>50.112542176959053</v>
      </c>
    </row>
    <row r="266" spans="2:183">
      <c r="B266" s="1048">
        <f t="shared" ca="1" si="875"/>
        <v>44182</v>
      </c>
      <c r="C266" s="153">
        <f t="shared" ca="1" si="865"/>
        <v>0</v>
      </c>
      <c r="D266" s="153">
        <f t="shared" ca="1" si="866"/>
        <v>0</v>
      </c>
      <c r="E266" s="153">
        <f t="shared" ca="1" si="867"/>
        <v>0</v>
      </c>
      <c r="F266" s="153">
        <f t="shared" ca="1" si="868"/>
        <v>0</v>
      </c>
      <c r="G266" s="153">
        <f t="shared" ca="1" si="869"/>
        <v>0</v>
      </c>
      <c r="H266" s="39">
        <f t="shared" ca="1" si="870"/>
        <v>0</v>
      </c>
      <c r="I266" s="39">
        <f t="shared" ca="1" si="871"/>
        <v>0</v>
      </c>
      <c r="J266" s="39">
        <f t="shared" ca="1" si="872"/>
        <v>0</v>
      </c>
      <c r="K266" s="39">
        <f t="shared" ca="1" si="873"/>
        <v>0</v>
      </c>
      <c r="L266" s="39">
        <f t="shared" ca="1" si="874"/>
        <v>0</v>
      </c>
      <c r="M266" s="39">
        <f t="shared" ca="1" si="878"/>
        <v>0</v>
      </c>
      <c r="O266" s="69"/>
      <c r="EU266" s="1360">
        <f t="shared" ca="1" si="893"/>
        <v>0</v>
      </c>
      <c r="EV266" s="73">
        <v>25</v>
      </c>
      <c r="EW266" s="38">
        <v>30</v>
      </c>
      <c r="EX266" s="54">
        <v>41334</v>
      </c>
      <c r="EY266" s="55">
        <f t="shared" si="887"/>
        <v>52291.5</v>
      </c>
      <c r="EZ266" s="61">
        <f t="shared" ca="1" si="885"/>
        <v>47</v>
      </c>
      <c r="FA266" s="39" t="s">
        <v>244</v>
      </c>
      <c r="FB266" s="39">
        <v>26.15</v>
      </c>
      <c r="FC266" s="39">
        <f t="shared" si="891"/>
        <v>1.1499999999999986</v>
      </c>
      <c r="FD266" s="40">
        <f t="shared" si="892"/>
        <v>4.6000000000000041E-2</v>
      </c>
      <c r="FE266" s="39">
        <f t="shared" ca="1" si="894"/>
        <v>2.4468085106382948E-2</v>
      </c>
      <c r="FF266" s="43">
        <f t="shared" ca="1" si="886"/>
        <v>1</v>
      </c>
      <c r="FS266" s="550">
        <v>21</v>
      </c>
      <c r="FT266" s="58">
        <v>1</v>
      </c>
      <c r="FU266" s="38">
        <v>5</v>
      </c>
      <c r="FV266" s="38">
        <f t="shared" si="895"/>
        <v>1.001249843841072</v>
      </c>
      <c r="FW266" s="39">
        <f t="shared" si="896"/>
        <v>50.175175029159384</v>
      </c>
    </row>
    <row r="267" spans="2:183">
      <c r="B267" s="1048">
        <f t="shared" ca="1" si="875"/>
        <v>44212</v>
      </c>
      <c r="C267" s="153">
        <f t="shared" ca="1" si="865"/>
        <v>0</v>
      </c>
      <c r="D267" s="153">
        <f t="shared" ca="1" si="866"/>
        <v>0</v>
      </c>
      <c r="E267" s="153">
        <f t="shared" ca="1" si="867"/>
        <v>0</v>
      </c>
      <c r="F267" s="153">
        <f t="shared" ca="1" si="868"/>
        <v>0</v>
      </c>
      <c r="G267" s="153">
        <f t="shared" ca="1" si="869"/>
        <v>0</v>
      </c>
      <c r="H267" s="39">
        <f t="shared" ca="1" si="870"/>
        <v>0</v>
      </c>
      <c r="I267" s="39">
        <f t="shared" ca="1" si="871"/>
        <v>0</v>
      </c>
      <c r="J267" s="39">
        <f t="shared" ca="1" si="872"/>
        <v>0</v>
      </c>
      <c r="K267" s="39">
        <f t="shared" ca="1" si="873"/>
        <v>0</v>
      </c>
      <c r="L267" s="39">
        <f t="shared" ca="1" si="874"/>
        <v>0</v>
      </c>
      <c r="M267" s="39">
        <f t="shared" ca="1" si="878"/>
        <v>0</v>
      </c>
      <c r="O267" s="69"/>
      <c r="EU267" s="1360">
        <f t="shared" ca="1" si="893"/>
        <v>0</v>
      </c>
      <c r="EV267" s="73">
        <v>25</v>
      </c>
      <c r="EW267" s="38">
        <v>30</v>
      </c>
      <c r="EX267" s="54">
        <v>41334</v>
      </c>
      <c r="EY267" s="55">
        <f t="shared" si="887"/>
        <v>52291.5</v>
      </c>
      <c r="EZ267" s="61">
        <f t="shared" ca="1" si="885"/>
        <v>47</v>
      </c>
      <c r="FA267" s="39" t="s">
        <v>251</v>
      </c>
      <c r="FB267" s="39">
        <v>26.15</v>
      </c>
      <c r="FC267" s="39">
        <f t="shared" si="891"/>
        <v>1.1499999999999986</v>
      </c>
      <c r="FD267" s="40">
        <f t="shared" si="892"/>
        <v>4.6000000000000041E-2</v>
      </c>
      <c r="FE267" s="39">
        <f t="shared" ca="1" si="894"/>
        <v>2.4468085106382948E-2</v>
      </c>
      <c r="FF267" s="43">
        <f t="shared" ca="1" si="886"/>
        <v>1</v>
      </c>
      <c r="FS267" s="550">
        <v>21</v>
      </c>
      <c r="FT267" s="58">
        <v>1</v>
      </c>
      <c r="FU267" s="38">
        <v>6</v>
      </c>
      <c r="FV267" s="38">
        <f t="shared" si="895"/>
        <v>1.0015000000000001</v>
      </c>
      <c r="FW267" s="39">
        <f t="shared" si="896"/>
        <v>50.250437791703128</v>
      </c>
    </row>
    <row r="268" spans="2:183">
      <c r="B268" s="1048">
        <f t="shared" ca="1" si="875"/>
        <v>44242</v>
      </c>
      <c r="C268" s="153">
        <f t="shared" ca="1" si="865"/>
        <v>0</v>
      </c>
      <c r="D268" s="153">
        <f t="shared" ca="1" si="866"/>
        <v>0</v>
      </c>
      <c r="E268" s="153">
        <f t="shared" ca="1" si="867"/>
        <v>0</v>
      </c>
      <c r="F268" s="153">
        <f t="shared" ca="1" si="868"/>
        <v>0</v>
      </c>
      <c r="G268" s="153">
        <f t="shared" ca="1" si="869"/>
        <v>0</v>
      </c>
      <c r="H268" s="39">
        <f t="shared" ca="1" si="870"/>
        <v>0</v>
      </c>
      <c r="I268" s="39">
        <f t="shared" ca="1" si="871"/>
        <v>0</v>
      </c>
      <c r="J268" s="39">
        <f t="shared" ca="1" si="872"/>
        <v>0</v>
      </c>
      <c r="K268" s="39">
        <f t="shared" ca="1" si="873"/>
        <v>0</v>
      </c>
      <c r="L268" s="39">
        <f t="shared" ca="1" si="874"/>
        <v>0</v>
      </c>
      <c r="M268" s="39">
        <f t="shared" ca="1" si="878"/>
        <v>0</v>
      </c>
      <c r="O268" s="69"/>
      <c r="EU268" s="1360">
        <f t="shared" ca="1" si="893"/>
        <v>0</v>
      </c>
      <c r="EV268" s="73">
        <v>25</v>
      </c>
      <c r="EW268" s="38">
        <v>30</v>
      </c>
      <c r="EX268" s="54">
        <v>41334</v>
      </c>
      <c r="EY268" s="55">
        <f t="shared" si="887"/>
        <v>52291.5</v>
      </c>
      <c r="EZ268" s="61">
        <f t="shared" ca="1" si="885"/>
        <v>47</v>
      </c>
      <c r="FA268" s="37" t="s">
        <v>263</v>
      </c>
      <c r="FB268" s="39">
        <v>26.15</v>
      </c>
      <c r="FC268" s="39">
        <f t="shared" si="891"/>
        <v>1.1499999999999986</v>
      </c>
      <c r="FD268" s="40">
        <f t="shared" si="892"/>
        <v>4.6000000000000041E-2</v>
      </c>
      <c r="FE268" s="39">
        <f t="shared" ca="1" si="894"/>
        <v>2.4468085106382948E-2</v>
      </c>
      <c r="FF268" s="43">
        <f t="shared" ca="1" si="886"/>
        <v>1</v>
      </c>
      <c r="FS268" s="550">
        <v>21</v>
      </c>
      <c r="FT268" s="58">
        <v>2</v>
      </c>
      <c r="FU268" s="38">
        <v>1</v>
      </c>
      <c r="FV268" s="38">
        <f t="shared" si="895"/>
        <v>1.0002498438930771</v>
      </c>
      <c r="FW268" s="39">
        <f t="shared" ref="FW268:FW273" si="897">$FW$267*FV268</f>
        <v>50.26299255670984</v>
      </c>
    </row>
    <row r="269" spans="2:183">
      <c r="B269" s="1048">
        <f t="shared" ca="1" si="875"/>
        <v>44272</v>
      </c>
      <c r="C269" s="153">
        <f t="shared" ca="1" si="865"/>
        <v>0</v>
      </c>
      <c r="D269" s="153">
        <f t="shared" ca="1" si="866"/>
        <v>0</v>
      </c>
      <c r="E269" s="153">
        <f t="shared" ca="1" si="867"/>
        <v>0</v>
      </c>
      <c r="F269" s="153">
        <f t="shared" ca="1" si="868"/>
        <v>0</v>
      </c>
      <c r="G269" s="153">
        <f t="shared" ca="1" si="869"/>
        <v>0</v>
      </c>
      <c r="H269" s="39">
        <f t="shared" ca="1" si="870"/>
        <v>0</v>
      </c>
      <c r="I269" s="39">
        <f t="shared" ca="1" si="871"/>
        <v>0</v>
      </c>
      <c r="J269" s="39">
        <f t="shared" ca="1" si="872"/>
        <v>0</v>
      </c>
      <c r="K269" s="39">
        <f t="shared" ca="1" si="873"/>
        <v>0</v>
      </c>
      <c r="L269" s="39">
        <f t="shared" ca="1" si="874"/>
        <v>0</v>
      </c>
      <c r="M269" s="39">
        <f t="shared" ca="1" si="878"/>
        <v>0</v>
      </c>
      <c r="O269" s="69"/>
      <c r="EU269" s="1360">
        <f t="shared" ca="1" si="893"/>
        <v>0</v>
      </c>
      <c r="EV269" s="73">
        <v>25</v>
      </c>
      <c r="EW269" s="38">
        <v>30</v>
      </c>
      <c r="EX269" s="54">
        <v>41334</v>
      </c>
      <c r="EY269" s="55">
        <f t="shared" si="887"/>
        <v>52291.5</v>
      </c>
      <c r="EZ269" s="61">
        <f t="shared" ca="1" si="885"/>
        <v>47</v>
      </c>
      <c r="FA269" s="37" t="s">
        <v>264</v>
      </c>
      <c r="FB269" s="39">
        <v>26.15</v>
      </c>
      <c r="FC269" s="39">
        <f t="shared" si="891"/>
        <v>1.1499999999999986</v>
      </c>
      <c r="FD269" s="40">
        <f t="shared" si="892"/>
        <v>4.6000000000000041E-2</v>
      </c>
      <c r="FE269" s="39">
        <f t="shared" ca="1" si="894"/>
        <v>2.4468085106382948E-2</v>
      </c>
      <c r="FF269" s="43">
        <f t="shared" ca="1" si="886"/>
        <v>1</v>
      </c>
      <c r="FS269" s="550">
        <v>21</v>
      </c>
      <c r="FT269" s="58">
        <v>2</v>
      </c>
      <c r="FU269" s="38">
        <v>2</v>
      </c>
      <c r="FV269" s="38">
        <f t="shared" si="895"/>
        <v>1.0004997502081252</v>
      </c>
      <c r="FW269" s="39">
        <f t="shared" si="897"/>
        <v>50.275550458447917</v>
      </c>
    </row>
    <row r="270" spans="2:183">
      <c r="B270" s="1048">
        <f t="shared" ca="1" si="875"/>
        <v>44302</v>
      </c>
      <c r="C270" s="153">
        <f t="shared" ca="1" si="865"/>
        <v>0</v>
      </c>
      <c r="D270" s="153">
        <f t="shared" ca="1" si="866"/>
        <v>0</v>
      </c>
      <c r="E270" s="153">
        <f t="shared" ca="1" si="867"/>
        <v>0</v>
      </c>
      <c r="F270" s="153">
        <f t="shared" ca="1" si="868"/>
        <v>0</v>
      </c>
      <c r="G270" s="153">
        <f t="shared" ca="1" si="869"/>
        <v>0</v>
      </c>
      <c r="H270" s="39">
        <f t="shared" ca="1" si="870"/>
        <v>0</v>
      </c>
      <c r="I270" s="39">
        <f t="shared" ca="1" si="871"/>
        <v>0</v>
      </c>
      <c r="J270" s="39">
        <f t="shared" ca="1" si="872"/>
        <v>100</v>
      </c>
      <c r="K270" s="39">
        <f t="shared" ca="1" si="873"/>
        <v>0</v>
      </c>
      <c r="L270" s="39">
        <f t="shared" ca="1" si="874"/>
        <v>0</v>
      </c>
      <c r="M270" s="39">
        <f t="shared" ca="1" si="878"/>
        <v>100</v>
      </c>
      <c r="O270" s="69"/>
      <c r="EU270" s="1360">
        <f t="shared" ca="1" si="893"/>
        <v>0</v>
      </c>
      <c r="EV270" s="73">
        <v>25</v>
      </c>
      <c r="EW270" s="38">
        <v>30</v>
      </c>
      <c r="EX270" s="54">
        <v>41306</v>
      </c>
      <c r="EY270" s="55">
        <f t="shared" si="887"/>
        <v>52263.5</v>
      </c>
      <c r="EZ270" s="61">
        <f t="shared" ca="1" si="885"/>
        <v>48</v>
      </c>
      <c r="FA270" s="39" t="s">
        <v>232</v>
      </c>
      <c r="FB270" s="39">
        <v>26.15</v>
      </c>
      <c r="FC270" s="39">
        <f t="shared" si="891"/>
        <v>1.1499999999999986</v>
      </c>
      <c r="FD270" s="40">
        <f t="shared" si="892"/>
        <v>4.6000000000000041E-2</v>
      </c>
      <c r="FE270" s="39">
        <f t="shared" ca="1" si="894"/>
        <v>2.3958333333333304E-2</v>
      </c>
      <c r="FF270" s="43">
        <f t="shared" ca="1" si="886"/>
        <v>1</v>
      </c>
      <c r="FS270" s="550">
        <v>21</v>
      </c>
      <c r="FT270" s="58">
        <v>2</v>
      </c>
      <c r="FU270" s="38">
        <v>3</v>
      </c>
      <c r="FV270" s="38">
        <f t="shared" si="895"/>
        <v>1.0007497189607399</v>
      </c>
      <c r="FW270" s="39">
        <f t="shared" si="897"/>
        <v>50.288111497701053</v>
      </c>
    </row>
    <row r="271" spans="2:183">
      <c r="B271" s="1048">
        <f t="shared" ca="1" si="875"/>
        <v>44332</v>
      </c>
      <c r="C271" s="153">
        <f t="shared" ca="1" si="865"/>
        <v>0</v>
      </c>
      <c r="D271" s="153">
        <f t="shared" ca="1" si="866"/>
        <v>0</v>
      </c>
      <c r="E271" s="153">
        <f t="shared" ca="1" si="867"/>
        <v>0</v>
      </c>
      <c r="F271" s="153">
        <f t="shared" ca="1" si="868"/>
        <v>0</v>
      </c>
      <c r="G271" s="153">
        <f t="shared" ca="1" si="869"/>
        <v>0</v>
      </c>
      <c r="H271" s="39">
        <f t="shared" ca="1" si="870"/>
        <v>0</v>
      </c>
      <c r="I271" s="39">
        <f t="shared" ca="1" si="871"/>
        <v>0</v>
      </c>
      <c r="J271" s="39">
        <f t="shared" ca="1" si="872"/>
        <v>0</v>
      </c>
      <c r="K271" s="39">
        <f t="shared" ca="1" si="873"/>
        <v>0</v>
      </c>
      <c r="L271" s="39">
        <f t="shared" ca="1" si="874"/>
        <v>0</v>
      </c>
      <c r="M271" s="39">
        <f t="shared" ca="1" si="878"/>
        <v>0</v>
      </c>
      <c r="O271" s="1277"/>
      <c r="EU271" s="1360">
        <f t="shared" ca="1" si="893"/>
        <v>0</v>
      </c>
      <c r="EV271" s="73">
        <v>25</v>
      </c>
      <c r="EW271" s="38">
        <v>30</v>
      </c>
      <c r="EX271" s="54">
        <v>41306</v>
      </c>
      <c r="EY271" s="55">
        <f t="shared" si="887"/>
        <v>52263.5</v>
      </c>
      <c r="EZ271" s="61">
        <f t="shared" ca="1" si="885"/>
        <v>48</v>
      </c>
      <c r="FA271" s="39" t="s">
        <v>233</v>
      </c>
      <c r="FB271" s="39">
        <v>26.15</v>
      </c>
      <c r="FC271" s="39">
        <f t="shared" si="891"/>
        <v>1.1499999999999986</v>
      </c>
      <c r="FD271" s="40">
        <f t="shared" si="892"/>
        <v>4.6000000000000041E-2</v>
      </c>
      <c r="FE271" s="39">
        <f t="shared" ca="1" si="894"/>
        <v>2.3958333333333304E-2</v>
      </c>
      <c r="FF271" s="43">
        <f t="shared" ca="1" si="886"/>
        <v>1</v>
      </c>
      <c r="FS271" s="550">
        <v>21</v>
      </c>
      <c r="FT271" s="58">
        <v>2</v>
      </c>
      <c r="FU271" s="38">
        <v>4</v>
      </c>
      <c r="FV271" s="38">
        <f t="shared" si="895"/>
        <v>1.0009997501665211</v>
      </c>
      <c r="FW271" s="39">
        <f t="shared" si="897"/>
        <v>50.300675675253139</v>
      </c>
    </row>
    <row r="272" spans="2:183">
      <c r="B272" s="1048">
        <f t="shared" ca="1" si="875"/>
        <v>44362</v>
      </c>
      <c r="C272" s="153">
        <f t="shared" ca="1" si="865"/>
        <v>0</v>
      </c>
      <c r="D272" s="153">
        <f t="shared" ca="1" si="866"/>
        <v>0</v>
      </c>
      <c r="E272" s="153">
        <f t="shared" ca="1" si="867"/>
        <v>0</v>
      </c>
      <c r="F272" s="153">
        <f t="shared" ca="1" si="868"/>
        <v>0</v>
      </c>
      <c r="G272" s="153">
        <f t="shared" ca="1" si="869"/>
        <v>0</v>
      </c>
      <c r="H272" s="39">
        <f t="shared" ca="1" si="870"/>
        <v>0</v>
      </c>
      <c r="I272" s="39">
        <f t="shared" ca="1" si="871"/>
        <v>0</v>
      </c>
      <c r="J272" s="39">
        <f t="shared" ca="1" si="872"/>
        <v>0</v>
      </c>
      <c r="K272" s="39">
        <f t="shared" ca="1" si="873"/>
        <v>0</v>
      </c>
      <c r="L272" s="39">
        <f t="shared" ca="1" si="874"/>
        <v>0</v>
      </c>
      <c r="M272" s="39">
        <f t="shared" ca="1" si="878"/>
        <v>0</v>
      </c>
      <c r="O272" s="69"/>
      <c r="EU272" s="1360">
        <f t="shared" ca="1" si="893"/>
        <v>0</v>
      </c>
      <c r="EV272" s="73">
        <v>25</v>
      </c>
      <c r="EW272" s="38">
        <v>30</v>
      </c>
      <c r="EX272" s="54">
        <v>41306</v>
      </c>
      <c r="EY272" s="55">
        <f t="shared" si="887"/>
        <v>52263.5</v>
      </c>
      <c r="EZ272" s="61">
        <f t="shared" ca="1" si="885"/>
        <v>48</v>
      </c>
      <c r="FA272" s="39" t="s">
        <v>238</v>
      </c>
      <c r="FB272" s="39">
        <v>26.15</v>
      </c>
      <c r="FC272" s="39">
        <f t="shared" si="891"/>
        <v>1.1499999999999986</v>
      </c>
      <c r="FD272" s="40">
        <f t="shared" si="892"/>
        <v>4.6000000000000041E-2</v>
      </c>
      <c r="FE272" s="39">
        <f t="shared" ca="1" si="894"/>
        <v>2.3958333333333304E-2</v>
      </c>
      <c r="FF272" s="43">
        <f t="shared" ca="1" si="886"/>
        <v>1</v>
      </c>
      <c r="FS272" s="550">
        <v>21</v>
      </c>
      <c r="FT272" s="58">
        <v>2</v>
      </c>
      <c r="FU272" s="38">
        <v>5</v>
      </c>
      <c r="FV272" s="38">
        <f t="shared" si="895"/>
        <v>1.001249843841072</v>
      </c>
      <c r="FW272" s="39">
        <f t="shared" si="897"/>
        <v>50.313242991888259</v>
      </c>
    </row>
    <row r="273" spans="2:179">
      <c r="B273" s="1048">
        <f t="shared" ca="1" si="875"/>
        <v>44392</v>
      </c>
      <c r="C273" s="153">
        <f t="shared" ca="1" si="865"/>
        <v>0</v>
      </c>
      <c r="D273" s="153">
        <f t="shared" ca="1" si="866"/>
        <v>0</v>
      </c>
      <c r="E273" s="153">
        <f t="shared" ca="1" si="867"/>
        <v>0</v>
      </c>
      <c r="F273" s="153">
        <f t="shared" ca="1" si="868"/>
        <v>0</v>
      </c>
      <c r="G273" s="153">
        <f t="shared" ca="1" si="869"/>
        <v>0</v>
      </c>
      <c r="H273" s="39">
        <f t="shared" ca="1" si="870"/>
        <v>0</v>
      </c>
      <c r="I273" s="39">
        <f t="shared" ca="1" si="871"/>
        <v>0</v>
      </c>
      <c r="J273" s="39">
        <f t="shared" ca="1" si="872"/>
        <v>0</v>
      </c>
      <c r="K273" s="39">
        <f t="shared" ca="1" si="873"/>
        <v>0</v>
      </c>
      <c r="L273" s="39">
        <f t="shared" ca="1" si="874"/>
        <v>0</v>
      </c>
      <c r="M273" s="39">
        <f t="shared" ca="1" si="878"/>
        <v>0</v>
      </c>
      <c r="O273" s="69"/>
      <c r="EU273" s="1360">
        <f t="shared" ca="1" si="893"/>
        <v>0</v>
      </c>
      <c r="EV273" s="73">
        <v>25</v>
      </c>
      <c r="EW273" s="38">
        <v>30</v>
      </c>
      <c r="EX273" s="54">
        <v>41306</v>
      </c>
      <c r="EY273" s="55">
        <f t="shared" si="887"/>
        <v>52263.5</v>
      </c>
      <c r="EZ273" s="61">
        <f t="shared" ca="1" si="885"/>
        <v>48</v>
      </c>
      <c r="FA273" s="37" t="s">
        <v>240</v>
      </c>
      <c r="FB273" s="39">
        <v>26.15</v>
      </c>
      <c r="FC273" s="39">
        <f t="shared" si="891"/>
        <v>1.1499999999999986</v>
      </c>
      <c r="FD273" s="40">
        <f t="shared" si="892"/>
        <v>4.6000000000000041E-2</v>
      </c>
      <c r="FE273" s="39">
        <f t="shared" ca="1" si="894"/>
        <v>2.3958333333333304E-2</v>
      </c>
      <c r="FF273" s="43">
        <f t="shared" ca="1" si="886"/>
        <v>1</v>
      </c>
      <c r="FS273" s="550">
        <v>21</v>
      </c>
      <c r="FT273" s="58">
        <v>2</v>
      </c>
      <c r="FU273" s="38">
        <v>6</v>
      </c>
      <c r="FV273" s="38">
        <f t="shared" si="895"/>
        <v>1.0015000000000001</v>
      </c>
      <c r="FW273" s="39">
        <f t="shared" si="897"/>
        <v>50.325813448390683</v>
      </c>
    </row>
    <row r="274" spans="2:179">
      <c r="B274" s="1048">
        <f t="shared" ca="1" si="875"/>
        <v>44422</v>
      </c>
      <c r="C274" s="153">
        <f t="shared" ca="1" si="865"/>
        <v>0</v>
      </c>
      <c r="D274" s="153">
        <f t="shared" ca="1" si="866"/>
        <v>0</v>
      </c>
      <c r="E274" s="153">
        <f t="shared" ca="1" si="867"/>
        <v>0</v>
      </c>
      <c r="F274" s="153">
        <f t="shared" ca="1" si="868"/>
        <v>0</v>
      </c>
      <c r="G274" s="153">
        <f t="shared" ca="1" si="869"/>
        <v>0</v>
      </c>
      <c r="H274" s="39">
        <f t="shared" ca="1" si="870"/>
        <v>0</v>
      </c>
      <c r="I274" s="39">
        <f t="shared" ca="1" si="871"/>
        <v>0</v>
      </c>
      <c r="J274" s="39">
        <f t="shared" ca="1" si="872"/>
        <v>0</v>
      </c>
      <c r="K274" s="39">
        <f t="shared" ca="1" si="873"/>
        <v>0</v>
      </c>
      <c r="L274" s="39">
        <f t="shared" ca="1" si="874"/>
        <v>0</v>
      </c>
      <c r="M274" s="39">
        <f t="shared" ca="1" si="878"/>
        <v>0</v>
      </c>
      <c r="O274" s="69"/>
      <c r="EU274" s="1360">
        <f t="shared" ca="1" si="893"/>
        <v>0</v>
      </c>
      <c r="EV274" s="73">
        <v>25</v>
      </c>
      <c r="EW274" s="38">
        <v>30</v>
      </c>
      <c r="EX274" s="54">
        <v>41275</v>
      </c>
      <c r="EY274" s="55">
        <f t="shared" si="887"/>
        <v>52232.5</v>
      </c>
      <c r="EZ274" s="61">
        <f t="shared" ca="1" si="885"/>
        <v>49</v>
      </c>
      <c r="FA274" s="61" t="s">
        <v>225</v>
      </c>
      <c r="FB274" s="39">
        <v>26.15</v>
      </c>
      <c r="FC274" s="39">
        <f t="shared" si="891"/>
        <v>1.1499999999999986</v>
      </c>
      <c r="FD274" s="40">
        <f t="shared" si="892"/>
        <v>4.6000000000000041E-2</v>
      </c>
      <c r="FE274" s="39">
        <f t="shared" ca="1" si="894"/>
        <v>2.3469387755102013E-2</v>
      </c>
      <c r="FF274" s="43">
        <f t="shared" ca="1" si="886"/>
        <v>1</v>
      </c>
    </row>
    <row r="275" spans="2:179">
      <c r="B275" s="1048">
        <f t="shared" ca="1" si="875"/>
        <v>44452</v>
      </c>
      <c r="C275" s="153">
        <f t="shared" ca="1" si="865"/>
        <v>0</v>
      </c>
      <c r="D275" s="153">
        <f t="shared" ca="1" si="866"/>
        <v>0</v>
      </c>
      <c r="E275" s="153">
        <f t="shared" ca="1" si="867"/>
        <v>0</v>
      </c>
      <c r="F275" s="153">
        <f t="shared" ca="1" si="868"/>
        <v>0</v>
      </c>
      <c r="G275" s="153">
        <f t="shared" ca="1" si="869"/>
        <v>0</v>
      </c>
      <c r="H275" s="39">
        <f t="shared" ca="1" si="870"/>
        <v>0</v>
      </c>
      <c r="I275" s="39">
        <f t="shared" ca="1" si="871"/>
        <v>0</v>
      </c>
      <c r="J275" s="39">
        <f t="shared" ca="1" si="872"/>
        <v>0</v>
      </c>
      <c r="K275" s="39">
        <f t="shared" ca="1" si="873"/>
        <v>0</v>
      </c>
      <c r="L275" s="39">
        <f t="shared" ca="1" si="874"/>
        <v>0</v>
      </c>
      <c r="M275" s="39">
        <f t="shared" ca="1" si="878"/>
        <v>0</v>
      </c>
      <c r="O275" s="69"/>
      <c r="EU275" s="1360">
        <f t="shared" ca="1" si="893"/>
        <v>0</v>
      </c>
      <c r="EV275" s="73">
        <v>25</v>
      </c>
      <c r="EW275" s="38">
        <v>30</v>
      </c>
      <c r="EX275" s="54">
        <v>41275</v>
      </c>
      <c r="EY275" s="55">
        <f t="shared" si="887"/>
        <v>52232.5</v>
      </c>
      <c r="EZ275" s="61">
        <f t="shared" ca="1" si="885"/>
        <v>49</v>
      </c>
      <c r="FA275" s="61" t="s">
        <v>227</v>
      </c>
      <c r="FB275" s="39">
        <v>26.15</v>
      </c>
      <c r="FC275" s="39">
        <f t="shared" si="891"/>
        <v>1.1499999999999986</v>
      </c>
      <c r="FD275" s="40">
        <f t="shared" si="892"/>
        <v>4.6000000000000041E-2</v>
      </c>
      <c r="FE275" s="39">
        <f t="shared" ca="1" si="894"/>
        <v>2.3469387755102013E-2</v>
      </c>
      <c r="FF275" s="43">
        <f t="shared" ca="1" si="886"/>
        <v>1</v>
      </c>
      <c r="FS275" s="550">
        <v>22</v>
      </c>
      <c r="FT275" s="58">
        <v>1</v>
      </c>
      <c r="FU275" s="38">
        <v>1</v>
      </c>
      <c r="FV275" s="38">
        <f t="shared" ref="FV275:FV286" si="898">(1+$FY$2/2)^(FU275/6)</f>
        <v>1.0002498438930771</v>
      </c>
      <c r="FW275" s="39">
        <f t="shared" ref="FW275:FW280" si="899">$FW$273*FV275</f>
        <v>50.338387045544906</v>
      </c>
    </row>
    <row r="276" spans="2:179">
      <c r="B276" s="1048">
        <f t="shared" ca="1" si="875"/>
        <v>44482</v>
      </c>
      <c r="C276" s="153">
        <f t="shared" ca="1" si="865"/>
        <v>0</v>
      </c>
      <c r="D276" s="153">
        <f t="shared" ca="1" si="866"/>
        <v>0</v>
      </c>
      <c r="E276" s="153">
        <f t="shared" ca="1" si="867"/>
        <v>0</v>
      </c>
      <c r="F276" s="153">
        <f t="shared" ca="1" si="868"/>
        <v>0</v>
      </c>
      <c r="G276" s="153">
        <f t="shared" ca="1" si="869"/>
        <v>0</v>
      </c>
      <c r="H276" s="39">
        <f t="shared" ca="1" si="870"/>
        <v>0</v>
      </c>
      <c r="I276" s="39">
        <f t="shared" ca="1" si="871"/>
        <v>0</v>
      </c>
      <c r="J276" s="39">
        <f t="shared" ca="1" si="872"/>
        <v>0</v>
      </c>
      <c r="K276" s="39">
        <f t="shared" ca="1" si="873"/>
        <v>0</v>
      </c>
      <c r="L276" s="39">
        <f t="shared" ca="1" si="874"/>
        <v>0</v>
      </c>
      <c r="M276" s="39">
        <f t="shared" ca="1" si="878"/>
        <v>0</v>
      </c>
      <c r="O276" s="69"/>
      <c r="EU276" s="1360">
        <f t="shared" ca="1" si="893"/>
        <v>0</v>
      </c>
      <c r="EV276" s="73">
        <v>25</v>
      </c>
      <c r="EW276" s="38">
        <v>30</v>
      </c>
      <c r="EX276" s="54">
        <v>41275</v>
      </c>
      <c r="EY276" s="55">
        <f t="shared" si="887"/>
        <v>52232.5</v>
      </c>
      <c r="EZ276" s="61">
        <f t="shared" ca="1" si="885"/>
        <v>49</v>
      </c>
      <c r="FA276" s="39" t="s">
        <v>228</v>
      </c>
      <c r="FB276" s="39">
        <v>26.15</v>
      </c>
      <c r="FC276" s="39">
        <f t="shared" si="891"/>
        <v>1.1499999999999986</v>
      </c>
      <c r="FD276" s="40">
        <f t="shared" si="892"/>
        <v>4.6000000000000041E-2</v>
      </c>
      <c r="FE276" s="39">
        <f t="shared" ca="1" si="894"/>
        <v>2.3469387755102013E-2</v>
      </c>
      <c r="FF276" s="43">
        <f t="shared" ca="1" si="886"/>
        <v>1</v>
      </c>
      <c r="FS276" s="550">
        <v>22</v>
      </c>
      <c r="FT276" s="58">
        <v>1</v>
      </c>
      <c r="FU276" s="38">
        <v>2</v>
      </c>
      <c r="FV276" s="38">
        <f t="shared" si="898"/>
        <v>1.0004997502081252</v>
      </c>
      <c r="FW276" s="39">
        <f t="shared" si="899"/>
        <v>50.350963784135587</v>
      </c>
    </row>
    <row r="277" spans="2:179">
      <c r="B277" s="1048">
        <f t="shared" ca="1" si="875"/>
        <v>44512</v>
      </c>
      <c r="C277" s="153">
        <f t="shared" ca="1" si="865"/>
        <v>0</v>
      </c>
      <c r="D277" s="153">
        <f t="shared" ca="1" si="866"/>
        <v>0</v>
      </c>
      <c r="E277" s="153">
        <f t="shared" ca="1" si="867"/>
        <v>0</v>
      </c>
      <c r="F277" s="153">
        <f t="shared" ca="1" si="868"/>
        <v>0</v>
      </c>
      <c r="G277" s="153">
        <f t="shared" ca="1" si="869"/>
        <v>0</v>
      </c>
      <c r="H277" s="39">
        <f t="shared" ca="1" si="870"/>
        <v>0</v>
      </c>
      <c r="I277" s="39">
        <f t="shared" ca="1" si="871"/>
        <v>0</v>
      </c>
      <c r="J277" s="39">
        <f t="shared" ca="1" si="872"/>
        <v>0</v>
      </c>
      <c r="K277" s="39">
        <f t="shared" ca="1" si="873"/>
        <v>0</v>
      </c>
      <c r="L277" s="39">
        <f t="shared" ca="1" si="874"/>
        <v>0</v>
      </c>
      <c r="M277" s="39">
        <f t="shared" ca="1" si="878"/>
        <v>0</v>
      </c>
      <c r="O277" s="69"/>
      <c r="EU277" s="1360">
        <f t="shared" ca="1" si="893"/>
        <v>0</v>
      </c>
      <c r="EV277" s="73">
        <v>25</v>
      </c>
      <c r="EW277" s="38">
        <v>30</v>
      </c>
      <c r="EX277" s="54">
        <v>41275</v>
      </c>
      <c r="EY277" s="55">
        <f t="shared" si="887"/>
        <v>52232.5</v>
      </c>
      <c r="EZ277" s="61">
        <f t="shared" ca="1" si="885"/>
        <v>49</v>
      </c>
      <c r="FA277" s="37" t="s">
        <v>230</v>
      </c>
      <c r="FB277" s="39">
        <v>26.15</v>
      </c>
      <c r="FC277" s="39">
        <f t="shared" si="891"/>
        <v>1.1499999999999986</v>
      </c>
      <c r="FD277" s="40">
        <f t="shared" si="892"/>
        <v>4.6000000000000041E-2</v>
      </c>
      <c r="FE277" s="39">
        <f t="shared" ca="1" si="894"/>
        <v>2.3469387755102013E-2</v>
      </c>
      <c r="FF277" s="43">
        <f t="shared" ca="1" si="886"/>
        <v>1</v>
      </c>
      <c r="FS277" s="550">
        <v>22</v>
      </c>
      <c r="FT277" s="58">
        <v>1</v>
      </c>
      <c r="FU277" s="38">
        <v>3</v>
      </c>
      <c r="FV277" s="38">
        <f t="shared" si="898"/>
        <v>1.0007497189607399</v>
      </c>
      <c r="FW277" s="39">
        <f t="shared" si="899"/>
        <v>50.363543664947599</v>
      </c>
    </row>
    <row r="278" spans="2:179">
      <c r="B278" s="1048">
        <f t="shared" ca="1" si="875"/>
        <v>44542</v>
      </c>
      <c r="C278" s="153">
        <f t="shared" ca="1" si="865"/>
        <v>0</v>
      </c>
      <c r="D278" s="153">
        <f t="shared" ca="1" si="866"/>
        <v>0</v>
      </c>
      <c r="E278" s="153">
        <f t="shared" ca="1" si="867"/>
        <v>0</v>
      </c>
      <c r="F278" s="153">
        <f t="shared" ca="1" si="868"/>
        <v>0</v>
      </c>
      <c r="G278" s="153">
        <f t="shared" ca="1" si="869"/>
        <v>0</v>
      </c>
      <c r="H278" s="39">
        <f t="shared" ca="1" si="870"/>
        <v>0</v>
      </c>
      <c r="I278" s="39">
        <f t="shared" ca="1" si="871"/>
        <v>0</v>
      </c>
      <c r="J278" s="39">
        <f t="shared" ca="1" si="872"/>
        <v>0</v>
      </c>
      <c r="K278" s="39">
        <f t="shared" ca="1" si="873"/>
        <v>0</v>
      </c>
      <c r="L278" s="39">
        <f t="shared" ca="1" si="874"/>
        <v>0</v>
      </c>
      <c r="M278" s="39">
        <f t="shared" ca="1" si="878"/>
        <v>0</v>
      </c>
      <c r="O278" s="38"/>
      <c r="EU278" s="1360">
        <f t="shared" ca="1" si="893"/>
        <v>0</v>
      </c>
      <c r="EV278" s="73">
        <v>25</v>
      </c>
      <c r="EW278" s="38">
        <v>30</v>
      </c>
      <c r="EX278" s="54">
        <v>41244</v>
      </c>
      <c r="EY278" s="55">
        <f t="shared" si="887"/>
        <v>52201.5</v>
      </c>
      <c r="EZ278" s="61">
        <f t="shared" ca="1" si="885"/>
        <v>50</v>
      </c>
      <c r="FA278" s="58" t="s">
        <v>204</v>
      </c>
      <c r="FB278" s="39">
        <v>26.16</v>
      </c>
      <c r="FC278" s="39">
        <f t="shared" si="891"/>
        <v>1.1600000000000001</v>
      </c>
      <c r="FD278" s="40">
        <f t="shared" si="892"/>
        <v>4.6399999999999997E-2</v>
      </c>
      <c r="FE278" s="39">
        <f t="shared" ca="1" si="894"/>
        <v>2.3200000000000002E-2</v>
      </c>
      <c r="FF278" s="43">
        <f t="shared" ca="1" si="886"/>
        <v>1</v>
      </c>
      <c r="FS278" s="550">
        <v>22</v>
      </c>
      <c r="FT278" s="58">
        <v>1</v>
      </c>
      <c r="FU278" s="38">
        <v>4</v>
      </c>
      <c r="FV278" s="38">
        <f t="shared" si="898"/>
        <v>1.0009997501665211</v>
      </c>
      <c r="FW278" s="39">
        <f t="shared" si="899"/>
        <v>50.376126688766021</v>
      </c>
    </row>
    <row r="279" spans="2:179">
      <c r="B279" s="1048">
        <f t="shared" ca="1" si="875"/>
        <v>44572</v>
      </c>
      <c r="C279" s="153">
        <f t="shared" ca="1" si="865"/>
        <v>0</v>
      </c>
      <c r="D279" s="153">
        <f t="shared" ca="1" si="866"/>
        <v>0</v>
      </c>
      <c r="E279" s="153">
        <f t="shared" ca="1" si="867"/>
        <v>0</v>
      </c>
      <c r="F279" s="153">
        <f t="shared" ca="1" si="868"/>
        <v>0</v>
      </c>
      <c r="G279" s="153">
        <f t="shared" ca="1" si="869"/>
        <v>0</v>
      </c>
      <c r="H279" s="39">
        <f t="shared" ca="1" si="870"/>
        <v>0</v>
      </c>
      <c r="I279" s="39">
        <f t="shared" ca="1" si="871"/>
        <v>0</v>
      </c>
      <c r="J279" s="39">
        <f t="shared" ca="1" si="872"/>
        <v>0</v>
      </c>
      <c r="K279" s="39">
        <f t="shared" ca="1" si="873"/>
        <v>0</v>
      </c>
      <c r="L279" s="39">
        <f t="shared" ca="1" si="874"/>
        <v>0</v>
      </c>
      <c r="M279" s="39">
        <f t="shared" ca="1" si="878"/>
        <v>0</v>
      </c>
      <c r="O279" s="38"/>
      <c r="EU279" s="1360">
        <f t="shared" ca="1" si="893"/>
        <v>0</v>
      </c>
      <c r="EV279" s="73">
        <v>25</v>
      </c>
      <c r="EW279" s="38">
        <v>30</v>
      </c>
      <c r="EX279" s="54">
        <v>41244</v>
      </c>
      <c r="EY279" s="55">
        <f t="shared" si="887"/>
        <v>52201.5</v>
      </c>
      <c r="EZ279" s="61">
        <f t="shared" ca="1" si="885"/>
        <v>50</v>
      </c>
      <c r="FA279" s="61" t="s">
        <v>215</v>
      </c>
      <c r="FB279" s="39">
        <v>26.16</v>
      </c>
      <c r="FC279" s="39">
        <f t="shared" si="891"/>
        <v>1.1600000000000001</v>
      </c>
      <c r="FD279" s="40">
        <f t="shared" si="892"/>
        <v>4.6399999999999997E-2</v>
      </c>
      <c r="FE279" s="39">
        <f t="shared" ca="1" si="894"/>
        <v>2.3200000000000002E-2</v>
      </c>
      <c r="FF279" s="43">
        <f t="shared" ca="1" si="886"/>
        <v>1</v>
      </c>
      <c r="FS279" s="550">
        <v>22</v>
      </c>
      <c r="FT279" s="58">
        <v>1</v>
      </c>
      <c r="FU279" s="38">
        <v>5</v>
      </c>
      <c r="FV279" s="38">
        <f t="shared" si="898"/>
        <v>1.001249843841072</v>
      </c>
      <c r="FW279" s="39">
        <f t="shared" si="899"/>
        <v>50.388712856376088</v>
      </c>
    </row>
    <row r="280" spans="2:179">
      <c r="B280" s="1048">
        <f t="shared" ca="1" si="875"/>
        <v>44602</v>
      </c>
      <c r="C280" s="153">
        <f t="shared" ca="1" si="865"/>
        <v>0</v>
      </c>
      <c r="D280" s="153">
        <f t="shared" ca="1" si="866"/>
        <v>0</v>
      </c>
      <c r="E280" s="153">
        <f t="shared" ca="1" si="867"/>
        <v>0</v>
      </c>
      <c r="F280" s="153">
        <f t="shared" ca="1" si="868"/>
        <v>0</v>
      </c>
      <c r="G280" s="153">
        <f t="shared" ca="1" si="869"/>
        <v>0</v>
      </c>
      <c r="H280" s="39">
        <f t="shared" ca="1" si="870"/>
        <v>0</v>
      </c>
      <c r="I280" s="39">
        <f t="shared" ca="1" si="871"/>
        <v>0</v>
      </c>
      <c r="J280" s="39">
        <f t="shared" ca="1" si="872"/>
        <v>0</v>
      </c>
      <c r="K280" s="39">
        <f t="shared" ca="1" si="873"/>
        <v>0</v>
      </c>
      <c r="L280" s="39">
        <f t="shared" ca="1" si="874"/>
        <v>0</v>
      </c>
      <c r="M280" s="39">
        <f t="shared" ca="1" si="878"/>
        <v>0</v>
      </c>
      <c r="O280" s="38"/>
      <c r="EU280" s="1360">
        <f t="shared" ca="1" si="893"/>
        <v>0</v>
      </c>
      <c r="EV280" s="73">
        <v>25</v>
      </c>
      <c r="EW280" s="38">
        <v>30</v>
      </c>
      <c r="EX280" s="54">
        <v>41244</v>
      </c>
      <c r="EY280" s="55">
        <f t="shared" si="887"/>
        <v>52201.5</v>
      </c>
      <c r="EZ280" s="61">
        <f t="shared" ca="1" si="885"/>
        <v>50</v>
      </c>
      <c r="FA280" s="58" t="s">
        <v>223</v>
      </c>
      <c r="FB280" s="39">
        <v>26.16</v>
      </c>
      <c r="FC280" s="39">
        <f t="shared" si="891"/>
        <v>1.1600000000000001</v>
      </c>
      <c r="FD280" s="40">
        <f t="shared" si="892"/>
        <v>4.6399999999999997E-2</v>
      </c>
      <c r="FE280" s="39">
        <f t="shared" ca="1" si="894"/>
        <v>2.3200000000000002E-2</v>
      </c>
      <c r="FF280" s="43">
        <f t="shared" ca="1" si="886"/>
        <v>1</v>
      </c>
      <c r="FS280" s="550">
        <v>22</v>
      </c>
      <c r="FT280" s="58">
        <v>1</v>
      </c>
      <c r="FU280" s="38">
        <v>6</v>
      </c>
      <c r="FV280" s="38">
        <f t="shared" si="898"/>
        <v>1.0015000000000001</v>
      </c>
      <c r="FW280" s="39">
        <f t="shared" si="899"/>
        <v>50.401302168563269</v>
      </c>
    </row>
    <row r="281" spans="2:179">
      <c r="B281" s="1048">
        <f t="shared" ca="1" si="875"/>
        <v>44632</v>
      </c>
      <c r="C281" s="153">
        <f t="shared" ca="1" si="865"/>
        <v>0</v>
      </c>
      <c r="D281" s="153">
        <f t="shared" ca="1" si="866"/>
        <v>0</v>
      </c>
      <c r="E281" s="153">
        <f t="shared" ca="1" si="867"/>
        <v>0</v>
      </c>
      <c r="F281" s="153">
        <f t="shared" ca="1" si="868"/>
        <v>0</v>
      </c>
      <c r="G281" s="153">
        <f t="shared" ca="1" si="869"/>
        <v>0</v>
      </c>
      <c r="H281" s="39">
        <f t="shared" ca="1" si="870"/>
        <v>0</v>
      </c>
      <c r="I281" s="39">
        <f t="shared" ca="1" si="871"/>
        <v>0</v>
      </c>
      <c r="J281" s="39">
        <f t="shared" ca="1" si="872"/>
        <v>0</v>
      </c>
      <c r="K281" s="39">
        <f t="shared" ca="1" si="873"/>
        <v>0</v>
      </c>
      <c r="L281" s="39">
        <f t="shared" ca="1" si="874"/>
        <v>0</v>
      </c>
      <c r="M281" s="39">
        <f t="shared" ca="1" si="878"/>
        <v>0</v>
      </c>
      <c r="O281" s="38"/>
      <c r="EU281" s="1360">
        <f t="shared" ca="1" si="893"/>
        <v>0</v>
      </c>
      <c r="EV281" s="73">
        <v>25</v>
      </c>
      <c r="EW281" s="38">
        <v>30</v>
      </c>
      <c r="EX281" s="54">
        <v>41244</v>
      </c>
      <c r="EY281" s="55">
        <f t="shared" si="887"/>
        <v>52201.5</v>
      </c>
      <c r="EZ281" s="61">
        <f t="shared" ca="1" si="885"/>
        <v>50</v>
      </c>
      <c r="FA281" s="58" t="s">
        <v>224</v>
      </c>
      <c r="FB281" s="39">
        <v>26.16</v>
      </c>
      <c r="FC281" s="39">
        <f t="shared" si="891"/>
        <v>1.1600000000000001</v>
      </c>
      <c r="FD281" s="40">
        <f t="shared" si="892"/>
        <v>4.6399999999999997E-2</v>
      </c>
      <c r="FE281" s="39">
        <f t="shared" ca="1" si="894"/>
        <v>2.3200000000000002E-2</v>
      </c>
      <c r="FF281" s="43">
        <f t="shared" ca="1" si="886"/>
        <v>1</v>
      </c>
      <c r="FS281" s="550">
        <v>22</v>
      </c>
      <c r="FT281" s="58">
        <v>2</v>
      </c>
      <c r="FU281" s="38">
        <v>1</v>
      </c>
      <c r="FV281" s="38">
        <f t="shared" si="898"/>
        <v>1.0002498438930771</v>
      </c>
      <c r="FW281" s="39">
        <f t="shared" ref="FW281:FW286" si="900">$FW$280*FV281</f>
        <v>50.413894626113219</v>
      </c>
    </row>
    <row r="282" spans="2:179">
      <c r="B282" s="1048">
        <f t="shared" ca="1" si="875"/>
        <v>44662</v>
      </c>
      <c r="C282" s="153">
        <f t="shared" ca="1" si="865"/>
        <v>0</v>
      </c>
      <c r="D282" s="153">
        <f t="shared" ca="1" si="866"/>
        <v>0</v>
      </c>
      <c r="E282" s="153">
        <f t="shared" ca="1" si="867"/>
        <v>0</v>
      </c>
      <c r="F282" s="153">
        <f t="shared" ca="1" si="868"/>
        <v>0</v>
      </c>
      <c r="G282" s="153">
        <f t="shared" ca="1" si="869"/>
        <v>0</v>
      </c>
      <c r="H282" s="39">
        <f t="shared" ca="1" si="870"/>
        <v>0</v>
      </c>
      <c r="I282" s="39">
        <f t="shared" ca="1" si="871"/>
        <v>0</v>
      </c>
      <c r="J282" s="39">
        <f t="shared" ca="1" si="872"/>
        <v>0</v>
      </c>
      <c r="K282" s="39">
        <f t="shared" ca="1" si="873"/>
        <v>0</v>
      </c>
      <c r="L282" s="39">
        <f t="shared" ca="1" si="874"/>
        <v>0</v>
      </c>
      <c r="M282" s="39">
        <f t="shared" ca="1" si="878"/>
        <v>0</v>
      </c>
      <c r="O282" s="38"/>
      <c r="EU282" s="1360">
        <f t="shared" ca="1" si="893"/>
        <v>0</v>
      </c>
      <c r="EV282" s="73">
        <v>25</v>
      </c>
      <c r="EW282" s="38">
        <v>30</v>
      </c>
      <c r="EX282" s="54">
        <v>41214</v>
      </c>
      <c r="EY282" s="55">
        <f t="shared" si="887"/>
        <v>52171.5</v>
      </c>
      <c r="EZ282" s="61">
        <f t="shared" ca="1" si="885"/>
        <v>51</v>
      </c>
      <c r="FA282" s="61" t="s">
        <v>190</v>
      </c>
      <c r="FB282" s="39">
        <v>26.16</v>
      </c>
      <c r="FC282" s="39">
        <f t="shared" si="891"/>
        <v>1.1600000000000001</v>
      </c>
      <c r="FD282" s="40">
        <f t="shared" si="892"/>
        <v>4.6399999999999997E-2</v>
      </c>
      <c r="FE282" s="39">
        <f t="shared" ca="1" si="894"/>
        <v>2.2745098039215688E-2</v>
      </c>
      <c r="FF282" s="43">
        <f t="shared" ca="1" si="886"/>
        <v>1</v>
      </c>
      <c r="FS282" s="550">
        <v>22</v>
      </c>
      <c r="FT282" s="58">
        <v>2</v>
      </c>
      <c r="FU282" s="38">
        <v>2</v>
      </c>
      <c r="FV282" s="38">
        <f t="shared" si="898"/>
        <v>1.0004997502081252</v>
      </c>
      <c r="FW282" s="39">
        <f t="shared" si="900"/>
        <v>50.42649022981179</v>
      </c>
    </row>
    <row r="283" spans="2:179">
      <c r="B283" s="1048">
        <f t="shared" ca="1" si="875"/>
        <v>44692</v>
      </c>
      <c r="C283" s="153">
        <f t="shared" ref="C283:C346" ca="1" si="901">SUMIFS(P:P,U:U,"&gt;="&amp;DATE(YEAR(B283),MONTH(B283),DAY(B283)),U:U,"&lt;"&amp;DATE(YEAR(B284),MONTH(B284),DAY(B284)))</f>
        <v>0</v>
      </c>
      <c r="D283" s="153">
        <f t="shared" ref="D283:D346" ca="1" si="902">SUMIFS(Y:Y,AD:AD,"&gt;="&amp;DATE(YEAR(B283),MONTH(B283),DAY(B283)),AD:AD,"&lt;"&amp;DATE(YEAR(B284),MONTH(B284),DAY(B284)))</f>
        <v>0</v>
      </c>
      <c r="E283" s="153">
        <f t="shared" ref="E283:E346" ca="1" si="903">SUMIFS(AI:AI,AN:AN,"&gt;="&amp;DATE(YEAR(B283),MONTH(B283),DAY(B283)),AN:AN,"&lt;"&amp;DATE(YEAR(B284),MONTH(B284),DAY(B284)))</f>
        <v>0</v>
      </c>
      <c r="F283" s="153">
        <f t="shared" ref="F283:F346" ca="1" si="904">SUMIFS(AR:AR,AW:AW,"&gt;="&amp;DATE(YEAR(B283),MONTH(B283),DAY(B283)),AW:AW,"&lt;"&amp;DATE(YEAR(B284),MONTH(B284),DAY(B284)))</f>
        <v>0</v>
      </c>
      <c r="G283" s="153">
        <f t="shared" ref="G283:G346" ca="1" si="905">SUMIFS(BC:BC,BF:BF,"&gt;="&amp;DATE(YEAR(B283),MONTH(B283),DAY(B283)),BF:BF,"&lt;"&amp;DATE(YEAR(B284),MONTH(B284),DAY(B284)))</f>
        <v>0</v>
      </c>
      <c r="H283" s="39">
        <f t="shared" ref="H283:H346" ca="1" si="906">SUMIFS(BW:BW,BZ:BZ,"&gt;="&amp;DATE(YEAR(B283),MONTH(B283),DY(B283)),BZ:BZ,"&lt;"&amp;DATE(YEAR(B284),MONTH(B284),DAY(B284)))</f>
        <v>0</v>
      </c>
      <c r="I283" s="39">
        <f t="shared" ref="I283:I346" ca="1" si="907">SUMIFS(CO:CO,CR:CR,"&gt;="&amp;DATE(YEAR(B283),MONTH(B283),DAY(B283)),CR:CR,"&lt;"&amp;DATE(YEAR(B284),MONTH(B284),DAY(B284)))</f>
        <v>0</v>
      </c>
      <c r="J283" s="39">
        <f t="shared" ref="J283:J346" ca="1" si="908">SUMIFS(DG:DG,DJ:DJ,"&gt;="&amp;DATE(YEAR(B283),MONTH(B283),DAY(B283)),DJ:DJ,"&lt;"&amp;DATE(YEAR(B284),MONTH(B284),DAY(B284)))</f>
        <v>0</v>
      </c>
      <c r="K283" s="39">
        <f t="shared" ref="K283:K346" ca="1" si="909">SUMIFS(EK:EK,EG:EG,"&gt;="&amp;DATE(YEAR(B283),MONTH(B283),DAY(B283)),EG:EG,"&lt;"&amp;DATE(YEAR(B284),MONTH(B284),DAY(B284)))</f>
        <v>0</v>
      </c>
      <c r="L283" s="39">
        <f t="shared" ref="L283:L346" ca="1" si="910">SUMIFS(FB:FB,EY:EY,"&gt;="&amp;DATE(YEAR(B283),MONTH(B283),DAY(B283)),EY:EY,"&lt;"&amp;DATE(YEAR(B284),MONTH(B284),DAY(B284)))</f>
        <v>0</v>
      </c>
      <c r="M283" s="39">
        <f t="shared" ca="1" si="878"/>
        <v>0</v>
      </c>
      <c r="O283" s="38"/>
      <c r="EU283" s="1360">
        <f t="shared" ca="1" si="893"/>
        <v>0</v>
      </c>
      <c r="EV283" s="73">
        <v>25</v>
      </c>
      <c r="EW283" s="38">
        <v>30</v>
      </c>
      <c r="EX283" s="54">
        <v>41214</v>
      </c>
      <c r="EY283" s="55">
        <f t="shared" si="887"/>
        <v>52171.5</v>
      </c>
      <c r="EZ283" s="61">
        <f t="shared" ca="1" si="885"/>
        <v>51</v>
      </c>
      <c r="FA283" s="61" t="s">
        <v>191</v>
      </c>
      <c r="FB283" s="39">
        <v>26.16</v>
      </c>
      <c r="FC283" s="39">
        <f t="shared" si="891"/>
        <v>1.1600000000000001</v>
      </c>
      <c r="FD283" s="40">
        <f t="shared" si="892"/>
        <v>4.6399999999999997E-2</v>
      </c>
      <c r="FE283" s="39">
        <f t="shared" ca="1" si="894"/>
        <v>2.2745098039215688E-2</v>
      </c>
      <c r="FF283" s="43">
        <f t="shared" ca="1" si="886"/>
        <v>1</v>
      </c>
      <c r="FS283" s="550">
        <v>22</v>
      </c>
      <c r="FT283" s="58">
        <v>2</v>
      </c>
      <c r="FU283" s="38">
        <v>3</v>
      </c>
      <c r="FV283" s="38">
        <f t="shared" si="898"/>
        <v>1.0007497189607399</v>
      </c>
      <c r="FW283" s="39">
        <f t="shared" si="900"/>
        <v>50.439088980445021</v>
      </c>
    </row>
    <row r="284" spans="2:179">
      <c r="B284" s="1048">
        <f t="shared" ref="B284:B347" ca="1" si="911">B283+30</f>
        <v>44722</v>
      </c>
      <c r="C284" s="153">
        <f t="shared" ca="1" si="901"/>
        <v>0</v>
      </c>
      <c r="D284" s="153">
        <f t="shared" ca="1" si="902"/>
        <v>0</v>
      </c>
      <c r="E284" s="153">
        <f t="shared" ca="1" si="903"/>
        <v>0</v>
      </c>
      <c r="F284" s="153">
        <f t="shared" ca="1" si="904"/>
        <v>0</v>
      </c>
      <c r="G284" s="153">
        <f t="shared" ca="1" si="905"/>
        <v>0</v>
      </c>
      <c r="H284" s="39">
        <f t="shared" ca="1" si="906"/>
        <v>0</v>
      </c>
      <c r="I284" s="39">
        <f t="shared" ca="1" si="907"/>
        <v>0</v>
      </c>
      <c r="J284" s="39">
        <f t="shared" ca="1" si="908"/>
        <v>0</v>
      </c>
      <c r="K284" s="39">
        <f t="shared" ca="1" si="909"/>
        <v>0</v>
      </c>
      <c r="L284" s="39">
        <f t="shared" ca="1" si="910"/>
        <v>0</v>
      </c>
      <c r="M284" s="39">
        <f t="shared" ca="1" si="878"/>
        <v>0</v>
      </c>
      <c r="O284" s="38"/>
      <c r="EU284" s="1360">
        <f t="shared" ca="1" si="893"/>
        <v>0</v>
      </c>
      <c r="EV284" s="73">
        <v>25</v>
      </c>
      <c r="EW284" s="38">
        <v>30</v>
      </c>
      <c r="EX284" s="54">
        <v>41214</v>
      </c>
      <c r="EY284" s="55">
        <f t="shared" si="887"/>
        <v>52171.5</v>
      </c>
      <c r="EZ284" s="61">
        <f t="shared" ca="1" si="885"/>
        <v>51</v>
      </c>
      <c r="FA284" s="61" t="s">
        <v>192</v>
      </c>
      <c r="FB284" s="39">
        <v>26.16</v>
      </c>
      <c r="FC284" s="39">
        <f t="shared" si="891"/>
        <v>1.1600000000000001</v>
      </c>
      <c r="FD284" s="40">
        <f t="shared" si="892"/>
        <v>4.6399999999999997E-2</v>
      </c>
      <c r="FE284" s="39">
        <f t="shared" ca="1" si="894"/>
        <v>2.2745098039215688E-2</v>
      </c>
      <c r="FF284" s="43">
        <f t="shared" ca="1" si="886"/>
        <v>1</v>
      </c>
      <c r="FS284" s="550">
        <v>22</v>
      </c>
      <c r="FT284" s="58">
        <v>2</v>
      </c>
      <c r="FU284" s="38">
        <v>4</v>
      </c>
      <c r="FV284" s="38">
        <f t="shared" si="898"/>
        <v>1.0009997501665211</v>
      </c>
      <c r="FW284" s="39">
        <f t="shared" si="900"/>
        <v>50.45169087879917</v>
      </c>
    </row>
    <row r="285" spans="2:179">
      <c r="B285" s="1048">
        <f t="shared" ca="1" si="911"/>
        <v>44752</v>
      </c>
      <c r="C285" s="153">
        <f t="shared" ca="1" si="901"/>
        <v>0</v>
      </c>
      <c r="D285" s="153">
        <f t="shared" ca="1" si="902"/>
        <v>0</v>
      </c>
      <c r="E285" s="153">
        <f t="shared" ca="1" si="903"/>
        <v>0</v>
      </c>
      <c r="F285" s="153">
        <f t="shared" ca="1" si="904"/>
        <v>0</v>
      </c>
      <c r="G285" s="153">
        <f t="shared" ca="1" si="905"/>
        <v>0</v>
      </c>
      <c r="H285" s="39">
        <f t="shared" ca="1" si="906"/>
        <v>0</v>
      </c>
      <c r="I285" s="39">
        <f t="shared" ca="1" si="907"/>
        <v>0</v>
      </c>
      <c r="J285" s="39">
        <f t="shared" ca="1" si="908"/>
        <v>0</v>
      </c>
      <c r="K285" s="39">
        <f t="shared" ca="1" si="909"/>
        <v>0</v>
      </c>
      <c r="L285" s="39">
        <f t="shared" ca="1" si="910"/>
        <v>0</v>
      </c>
      <c r="M285" s="39">
        <f t="shared" ref="M285:M348" ca="1" si="912">SUM(C285:L285)</f>
        <v>0</v>
      </c>
      <c r="O285" s="38"/>
      <c r="EU285" s="1360">
        <f t="shared" ca="1" si="893"/>
        <v>0</v>
      </c>
      <c r="EV285" s="73">
        <v>25</v>
      </c>
      <c r="EW285" s="38">
        <v>30</v>
      </c>
      <c r="EX285" s="54">
        <v>41214</v>
      </c>
      <c r="EY285" s="55">
        <f t="shared" si="887"/>
        <v>52171.5</v>
      </c>
      <c r="EZ285" s="61">
        <f t="shared" ca="1" si="885"/>
        <v>51</v>
      </c>
      <c r="FA285" s="61" t="s">
        <v>193</v>
      </c>
      <c r="FB285" s="39">
        <v>26.16</v>
      </c>
      <c r="FC285" s="39">
        <f t="shared" si="891"/>
        <v>1.1600000000000001</v>
      </c>
      <c r="FD285" s="40">
        <f t="shared" si="892"/>
        <v>4.6399999999999997E-2</v>
      </c>
      <c r="FE285" s="39">
        <f t="shared" ca="1" si="894"/>
        <v>2.2745098039215688E-2</v>
      </c>
      <c r="FF285" s="43">
        <f t="shared" ca="1" si="886"/>
        <v>1</v>
      </c>
      <c r="FS285" s="550">
        <v>22</v>
      </c>
      <c r="FT285" s="58">
        <v>2</v>
      </c>
      <c r="FU285" s="38">
        <v>5</v>
      </c>
      <c r="FV285" s="38">
        <f t="shared" si="898"/>
        <v>1.001249843841072</v>
      </c>
      <c r="FW285" s="39">
        <f t="shared" si="900"/>
        <v>50.464295925660657</v>
      </c>
    </row>
    <row r="286" spans="2:179">
      <c r="B286" s="1048">
        <f t="shared" ca="1" si="911"/>
        <v>44782</v>
      </c>
      <c r="C286" s="153">
        <f t="shared" ca="1" si="901"/>
        <v>0</v>
      </c>
      <c r="D286" s="153">
        <f t="shared" ca="1" si="902"/>
        <v>0</v>
      </c>
      <c r="E286" s="153">
        <f t="shared" ca="1" si="903"/>
        <v>0</v>
      </c>
      <c r="F286" s="153">
        <f t="shared" ca="1" si="904"/>
        <v>0</v>
      </c>
      <c r="G286" s="153">
        <f t="shared" ca="1" si="905"/>
        <v>0</v>
      </c>
      <c r="H286" s="39">
        <f t="shared" ca="1" si="906"/>
        <v>0</v>
      </c>
      <c r="I286" s="39">
        <f t="shared" ca="1" si="907"/>
        <v>0</v>
      </c>
      <c r="J286" s="39">
        <f t="shared" ca="1" si="908"/>
        <v>0</v>
      </c>
      <c r="K286" s="39">
        <f t="shared" ca="1" si="909"/>
        <v>0</v>
      </c>
      <c r="L286" s="39">
        <f t="shared" ca="1" si="910"/>
        <v>0</v>
      </c>
      <c r="M286" s="39">
        <f t="shared" ca="1" si="912"/>
        <v>0</v>
      </c>
      <c r="O286" s="38"/>
      <c r="EU286" s="1360">
        <f t="shared" ca="1" si="893"/>
        <v>0</v>
      </c>
      <c r="EV286" s="73">
        <v>25</v>
      </c>
      <c r="EW286" s="38">
        <v>30</v>
      </c>
      <c r="EX286" s="54">
        <v>41214</v>
      </c>
      <c r="EY286" s="55">
        <f t="shared" si="887"/>
        <v>52171.5</v>
      </c>
      <c r="EZ286" s="61">
        <f t="shared" ca="1" si="885"/>
        <v>51</v>
      </c>
      <c r="FA286" s="61" t="s">
        <v>199</v>
      </c>
      <c r="FB286" s="39">
        <v>26.16</v>
      </c>
      <c r="FC286" s="39">
        <f t="shared" si="891"/>
        <v>1.1600000000000001</v>
      </c>
      <c r="FD286" s="40">
        <f t="shared" si="892"/>
        <v>4.6399999999999997E-2</v>
      </c>
      <c r="FE286" s="39">
        <f t="shared" ca="1" si="894"/>
        <v>2.2745098039215688E-2</v>
      </c>
      <c r="FF286" s="43">
        <f t="shared" ca="1" si="886"/>
        <v>1</v>
      </c>
      <c r="FS286" s="550">
        <v>22</v>
      </c>
      <c r="FT286" s="58">
        <v>2</v>
      </c>
      <c r="FU286" s="38">
        <v>6</v>
      </c>
      <c r="FV286" s="38">
        <f t="shared" si="898"/>
        <v>1.0015000000000001</v>
      </c>
      <c r="FW286" s="39">
        <f t="shared" si="900"/>
        <v>50.476904121816119</v>
      </c>
    </row>
    <row r="287" spans="2:179">
      <c r="B287" s="1048">
        <f t="shared" ca="1" si="911"/>
        <v>44812</v>
      </c>
      <c r="C287" s="153">
        <f t="shared" ca="1" si="901"/>
        <v>0</v>
      </c>
      <c r="D287" s="153">
        <f t="shared" ca="1" si="902"/>
        <v>0</v>
      </c>
      <c r="E287" s="153">
        <f t="shared" ca="1" si="903"/>
        <v>0</v>
      </c>
      <c r="F287" s="153">
        <f t="shared" ca="1" si="904"/>
        <v>0</v>
      </c>
      <c r="G287" s="153">
        <f t="shared" ca="1" si="905"/>
        <v>0</v>
      </c>
      <c r="H287" s="39">
        <f t="shared" ca="1" si="906"/>
        <v>0</v>
      </c>
      <c r="I287" s="39">
        <f t="shared" ca="1" si="907"/>
        <v>0</v>
      </c>
      <c r="J287" s="39">
        <f t="shared" ca="1" si="908"/>
        <v>0</v>
      </c>
      <c r="K287" s="39">
        <f t="shared" ca="1" si="909"/>
        <v>0</v>
      </c>
      <c r="L287" s="39">
        <f t="shared" ca="1" si="910"/>
        <v>0</v>
      </c>
      <c r="M287" s="39">
        <f t="shared" ca="1" si="912"/>
        <v>0</v>
      </c>
      <c r="O287" s="38"/>
      <c r="EU287" s="1360">
        <f t="shared" ca="1" si="893"/>
        <v>0</v>
      </c>
      <c r="EV287" s="37">
        <v>25</v>
      </c>
      <c r="EW287" s="38">
        <v>30</v>
      </c>
      <c r="EX287" s="54">
        <v>41183</v>
      </c>
      <c r="EY287" s="55">
        <f t="shared" si="887"/>
        <v>52140.5</v>
      </c>
      <c r="EZ287" s="61">
        <f t="shared" ca="1" si="885"/>
        <v>52</v>
      </c>
      <c r="FA287" s="61" t="s">
        <v>186</v>
      </c>
      <c r="FB287" s="39">
        <v>26.43</v>
      </c>
      <c r="FC287" s="39">
        <f t="shared" si="891"/>
        <v>1.4299999999999997</v>
      </c>
      <c r="FD287" s="40">
        <f t="shared" si="892"/>
        <v>5.7199999999999918E-2</v>
      </c>
      <c r="FE287" s="39">
        <f t="shared" ca="1" si="894"/>
        <v>2.7499999999999993E-2</v>
      </c>
      <c r="FF287" s="43">
        <f t="shared" ca="1" si="886"/>
        <v>1</v>
      </c>
    </row>
    <row r="288" spans="2:179">
      <c r="B288" s="1048">
        <f t="shared" ca="1" si="911"/>
        <v>44842</v>
      </c>
      <c r="C288" s="153">
        <f t="shared" ca="1" si="901"/>
        <v>0</v>
      </c>
      <c r="D288" s="153">
        <f t="shared" ca="1" si="902"/>
        <v>0</v>
      </c>
      <c r="E288" s="153">
        <f t="shared" ca="1" si="903"/>
        <v>0</v>
      </c>
      <c r="F288" s="153">
        <f t="shared" ca="1" si="904"/>
        <v>0</v>
      </c>
      <c r="G288" s="153">
        <f t="shared" ca="1" si="905"/>
        <v>0</v>
      </c>
      <c r="H288" s="39">
        <f t="shared" ca="1" si="906"/>
        <v>0</v>
      </c>
      <c r="I288" s="39">
        <f t="shared" ca="1" si="907"/>
        <v>0</v>
      </c>
      <c r="J288" s="39">
        <f t="shared" ca="1" si="908"/>
        <v>0</v>
      </c>
      <c r="K288" s="39">
        <f t="shared" ca="1" si="909"/>
        <v>0</v>
      </c>
      <c r="L288" s="39">
        <f t="shared" ca="1" si="910"/>
        <v>0</v>
      </c>
      <c r="M288" s="39">
        <f t="shared" ca="1" si="912"/>
        <v>0</v>
      </c>
      <c r="O288" s="38"/>
      <c r="EU288" s="1360">
        <f t="shared" ca="1" si="893"/>
        <v>0</v>
      </c>
      <c r="EV288" s="37">
        <v>25</v>
      </c>
      <c r="EW288" s="38">
        <v>30</v>
      </c>
      <c r="EX288" s="54">
        <v>41183</v>
      </c>
      <c r="EY288" s="55">
        <f t="shared" si="887"/>
        <v>52140.5</v>
      </c>
      <c r="EZ288" s="61">
        <f t="shared" ca="1" si="885"/>
        <v>52</v>
      </c>
      <c r="FA288" s="61" t="s">
        <v>187</v>
      </c>
      <c r="FB288" s="39">
        <v>26.43</v>
      </c>
      <c r="FC288" s="39">
        <f t="shared" si="891"/>
        <v>1.4299999999999997</v>
      </c>
      <c r="FD288" s="40">
        <f t="shared" si="892"/>
        <v>5.7199999999999918E-2</v>
      </c>
      <c r="FE288" s="39">
        <f t="shared" ca="1" si="894"/>
        <v>2.7499999999999993E-2</v>
      </c>
      <c r="FF288" s="43">
        <f t="shared" ca="1" si="886"/>
        <v>1</v>
      </c>
      <c r="FS288" s="550">
        <v>23</v>
      </c>
      <c r="FT288" s="58">
        <v>1</v>
      </c>
      <c r="FU288" s="38">
        <v>1</v>
      </c>
      <c r="FV288" s="38">
        <f t="shared" ref="FV288:FV299" si="913">(1+$FY$2/2)^(FU288/6)</f>
        <v>1.0002498438930771</v>
      </c>
      <c r="FW288" s="39">
        <f t="shared" ref="FW288:FW293" si="914">$FW$286*FV288</f>
        <v>50.489515468052396</v>
      </c>
    </row>
    <row r="289" spans="2:179">
      <c r="B289" s="1048">
        <f t="shared" ca="1" si="911"/>
        <v>44872</v>
      </c>
      <c r="C289" s="153">
        <f t="shared" ca="1" si="901"/>
        <v>0</v>
      </c>
      <c r="D289" s="153">
        <f t="shared" ca="1" si="902"/>
        <v>0</v>
      </c>
      <c r="E289" s="153">
        <f t="shared" ca="1" si="903"/>
        <v>0</v>
      </c>
      <c r="F289" s="153">
        <f t="shared" ca="1" si="904"/>
        <v>0</v>
      </c>
      <c r="G289" s="153">
        <f t="shared" ca="1" si="905"/>
        <v>0</v>
      </c>
      <c r="H289" s="39">
        <f t="shared" ca="1" si="906"/>
        <v>0</v>
      </c>
      <c r="I289" s="39">
        <f t="shared" ca="1" si="907"/>
        <v>0</v>
      </c>
      <c r="J289" s="39">
        <f t="shared" ca="1" si="908"/>
        <v>0</v>
      </c>
      <c r="K289" s="39">
        <f t="shared" ca="1" si="909"/>
        <v>0</v>
      </c>
      <c r="L289" s="39">
        <f t="shared" ca="1" si="910"/>
        <v>0</v>
      </c>
      <c r="M289" s="39">
        <f t="shared" ca="1" si="912"/>
        <v>0</v>
      </c>
      <c r="O289" s="38"/>
      <c r="EU289" s="1360">
        <f t="shared" ca="1" si="893"/>
        <v>0</v>
      </c>
      <c r="EV289" s="73">
        <v>25</v>
      </c>
      <c r="EW289" s="38">
        <v>30</v>
      </c>
      <c r="EX289" s="54">
        <v>41183</v>
      </c>
      <c r="EY289" s="55">
        <f t="shared" si="887"/>
        <v>52140.5</v>
      </c>
      <c r="EZ289" s="61">
        <f t="shared" ca="1" si="885"/>
        <v>52</v>
      </c>
      <c r="FA289" s="61" t="s">
        <v>188</v>
      </c>
      <c r="FB289" s="39">
        <v>26.43</v>
      </c>
      <c r="FC289" s="39">
        <f t="shared" si="891"/>
        <v>1.4299999999999997</v>
      </c>
      <c r="FD289" s="40">
        <f t="shared" si="892"/>
        <v>5.7199999999999918E-2</v>
      </c>
      <c r="FE289" s="39">
        <f t="shared" ca="1" si="894"/>
        <v>2.7499999999999993E-2</v>
      </c>
      <c r="FF289" s="43">
        <f t="shared" ca="1" si="886"/>
        <v>1</v>
      </c>
      <c r="FS289" s="550">
        <v>23</v>
      </c>
      <c r="FT289" s="58">
        <v>1</v>
      </c>
      <c r="FU289" s="38">
        <v>2</v>
      </c>
      <c r="FV289" s="38">
        <f t="shared" si="913"/>
        <v>1.0004997502081252</v>
      </c>
      <c r="FW289" s="39">
        <f t="shared" si="914"/>
        <v>50.502129965156513</v>
      </c>
    </row>
    <row r="290" spans="2:179">
      <c r="B290" s="1048">
        <f t="shared" ca="1" si="911"/>
        <v>44902</v>
      </c>
      <c r="C290" s="153">
        <f t="shared" ca="1" si="901"/>
        <v>0</v>
      </c>
      <c r="D290" s="153">
        <f t="shared" ca="1" si="902"/>
        <v>0</v>
      </c>
      <c r="E290" s="153">
        <f t="shared" ca="1" si="903"/>
        <v>0</v>
      </c>
      <c r="F290" s="153">
        <f t="shared" ca="1" si="904"/>
        <v>0</v>
      </c>
      <c r="G290" s="153">
        <f t="shared" ca="1" si="905"/>
        <v>0</v>
      </c>
      <c r="H290" s="39">
        <f t="shared" ca="1" si="906"/>
        <v>0</v>
      </c>
      <c r="I290" s="39">
        <f t="shared" ca="1" si="907"/>
        <v>0</v>
      </c>
      <c r="J290" s="39">
        <f t="shared" ca="1" si="908"/>
        <v>0</v>
      </c>
      <c r="K290" s="39">
        <f t="shared" ca="1" si="909"/>
        <v>0</v>
      </c>
      <c r="L290" s="39">
        <f t="shared" ca="1" si="910"/>
        <v>0</v>
      </c>
      <c r="M290" s="39">
        <f t="shared" ca="1" si="912"/>
        <v>0</v>
      </c>
      <c r="O290" s="38"/>
      <c r="EU290" s="1360">
        <f t="shared" ca="1" si="893"/>
        <v>0</v>
      </c>
      <c r="EV290" s="73">
        <v>25</v>
      </c>
      <c r="EW290" s="38">
        <v>30</v>
      </c>
      <c r="EX290" s="54">
        <v>41183</v>
      </c>
      <c r="EY290" s="55">
        <f t="shared" si="887"/>
        <v>52140.5</v>
      </c>
      <c r="EZ290" s="61">
        <f t="shared" ca="1" si="885"/>
        <v>52</v>
      </c>
      <c r="FA290" s="61" t="s">
        <v>189</v>
      </c>
      <c r="FB290" s="39">
        <v>26.43</v>
      </c>
      <c r="FC290" s="39">
        <f t="shared" si="891"/>
        <v>1.4299999999999997</v>
      </c>
      <c r="FD290" s="40">
        <f t="shared" si="892"/>
        <v>5.7199999999999918E-2</v>
      </c>
      <c r="FE290" s="39">
        <f t="shared" ca="1" si="894"/>
        <v>2.7499999999999993E-2</v>
      </c>
      <c r="FF290" s="43">
        <f t="shared" ca="1" si="886"/>
        <v>1</v>
      </c>
      <c r="FS290" s="550">
        <v>23</v>
      </c>
      <c r="FT290" s="58">
        <v>1</v>
      </c>
      <c r="FU290" s="38">
        <v>3</v>
      </c>
      <c r="FV290" s="38">
        <f t="shared" si="913"/>
        <v>1.0007497189607399</v>
      </c>
      <c r="FW290" s="39">
        <f t="shared" si="914"/>
        <v>50.514747613915695</v>
      </c>
    </row>
    <row r="291" spans="2:179">
      <c r="B291" s="1048">
        <f t="shared" ca="1" si="911"/>
        <v>44932</v>
      </c>
      <c r="C291" s="153">
        <f t="shared" ca="1" si="901"/>
        <v>0</v>
      </c>
      <c r="D291" s="153">
        <f t="shared" ca="1" si="902"/>
        <v>0</v>
      </c>
      <c r="E291" s="153">
        <f t="shared" ca="1" si="903"/>
        <v>0</v>
      </c>
      <c r="F291" s="153">
        <f t="shared" ca="1" si="904"/>
        <v>0</v>
      </c>
      <c r="G291" s="153">
        <f t="shared" ca="1" si="905"/>
        <v>0</v>
      </c>
      <c r="H291" s="39">
        <f t="shared" ca="1" si="906"/>
        <v>0</v>
      </c>
      <c r="I291" s="39">
        <f t="shared" ca="1" si="907"/>
        <v>0</v>
      </c>
      <c r="J291" s="39">
        <f t="shared" ca="1" si="908"/>
        <v>100</v>
      </c>
      <c r="K291" s="39">
        <f t="shared" ca="1" si="909"/>
        <v>0</v>
      </c>
      <c r="L291" s="39">
        <f t="shared" ca="1" si="910"/>
        <v>0</v>
      </c>
      <c r="M291" s="39">
        <f t="shared" ca="1" si="912"/>
        <v>100</v>
      </c>
      <c r="O291" s="38"/>
      <c r="EU291" s="1360">
        <f t="shared" ca="1" si="893"/>
        <v>0</v>
      </c>
      <c r="EV291" s="39">
        <v>100</v>
      </c>
      <c r="EW291" s="38">
        <v>30</v>
      </c>
      <c r="EX291" s="54">
        <v>41153</v>
      </c>
      <c r="EY291" s="55">
        <f t="shared" si="887"/>
        <v>52110.5</v>
      </c>
      <c r="EZ291" s="61">
        <f t="shared" ca="1" si="885"/>
        <v>53</v>
      </c>
      <c r="FA291" s="61" t="s">
        <v>179</v>
      </c>
      <c r="FB291" s="39">
        <v>105.76</v>
      </c>
      <c r="FC291" s="39">
        <f t="shared" si="891"/>
        <v>5.7600000000000051</v>
      </c>
      <c r="FD291" s="40">
        <f t="shared" si="892"/>
        <v>5.7600000000000096E-2</v>
      </c>
      <c r="FE291" s="39">
        <f t="shared" ca="1" si="894"/>
        <v>0.10867924528301896</v>
      </c>
      <c r="FF291" s="43">
        <f t="shared" ca="1" si="886"/>
        <v>1</v>
      </c>
      <c r="FS291" s="550">
        <v>23</v>
      </c>
      <c r="FT291" s="58">
        <v>1</v>
      </c>
      <c r="FU291" s="38">
        <v>4</v>
      </c>
      <c r="FV291" s="38">
        <f t="shared" si="913"/>
        <v>1.0009997501665211</v>
      </c>
      <c r="FW291" s="39">
        <f t="shared" si="914"/>
        <v>50.527368415117373</v>
      </c>
    </row>
    <row r="292" spans="2:179">
      <c r="B292" s="1048">
        <f t="shared" ca="1" si="911"/>
        <v>44962</v>
      </c>
      <c r="C292" s="153">
        <f t="shared" ca="1" si="901"/>
        <v>0</v>
      </c>
      <c r="D292" s="153">
        <f t="shared" ca="1" si="902"/>
        <v>0</v>
      </c>
      <c r="E292" s="153">
        <f t="shared" ca="1" si="903"/>
        <v>0</v>
      </c>
      <c r="F292" s="153">
        <f t="shared" ca="1" si="904"/>
        <v>0</v>
      </c>
      <c r="G292" s="153">
        <f t="shared" ca="1" si="905"/>
        <v>0</v>
      </c>
      <c r="H292" s="39">
        <f t="shared" ca="1" si="906"/>
        <v>0</v>
      </c>
      <c r="I292" s="39">
        <f t="shared" ca="1" si="907"/>
        <v>0</v>
      </c>
      <c r="J292" s="39">
        <f t="shared" ca="1" si="908"/>
        <v>0</v>
      </c>
      <c r="K292" s="39">
        <f t="shared" ca="1" si="909"/>
        <v>0</v>
      </c>
      <c r="L292" s="39">
        <f t="shared" ca="1" si="910"/>
        <v>0</v>
      </c>
      <c r="M292" s="39">
        <f t="shared" ca="1" si="912"/>
        <v>0</v>
      </c>
      <c r="O292" s="38"/>
      <c r="EU292" s="1360">
        <f t="shared" ca="1" si="893"/>
        <v>0</v>
      </c>
      <c r="EV292" s="39">
        <v>50</v>
      </c>
      <c r="EW292" s="38">
        <v>30</v>
      </c>
      <c r="EX292" s="54">
        <v>41153</v>
      </c>
      <c r="EY292" s="55">
        <f t="shared" si="887"/>
        <v>52110.5</v>
      </c>
      <c r="EZ292" s="61">
        <f t="shared" ca="1" si="885"/>
        <v>53</v>
      </c>
      <c r="FA292" s="61" t="s">
        <v>180</v>
      </c>
      <c r="FB292" s="39">
        <v>52.88</v>
      </c>
      <c r="FC292" s="39">
        <f t="shared" si="891"/>
        <v>2.8800000000000026</v>
      </c>
      <c r="FD292" s="40">
        <f t="shared" si="892"/>
        <v>5.7600000000000096E-2</v>
      </c>
      <c r="FE292" s="39">
        <f t="shared" ca="1" si="894"/>
        <v>5.4339622641509482E-2</v>
      </c>
      <c r="FF292" s="43">
        <f t="shared" ca="1" si="886"/>
        <v>1</v>
      </c>
      <c r="FS292" s="550">
        <v>23</v>
      </c>
      <c r="FT292" s="58">
        <v>1</v>
      </c>
      <c r="FU292" s="38">
        <v>5</v>
      </c>
      <c r="FV292" s="38">
        <f t="shared" si="913"/>
        <v>1.001249843841072</v>
      </c>
      <c r="FW292" s="39">
        <f t="shared" si="914"/>
        <v>50.539992369549154</v>
      </c>
    </row>
    <row r="293" spans="2:179">
      <c r="B293" s="1048">
        <f t="shared" ca="1" si="911"/>
        <v>44992</v>
      </c>
      <c r="C293" s="153">
        <f t="shared" ca="1" si="901"/>
        <v>0</v>
      </c>
      <c r="D293" s="153">
        <f t="shared" ca="1" si="902"/>
        <v>0</v>
      </c>
      <c r="E293" s="153">
        <f t="shared" ca="1" si="903"/>
        <v>0</v>
      </c>
      <c r="F293" s="153">
        <f t="shared" ca="1" si="904"/>
        <v>0</v>
      </c>
      <c r="G293" s="153">
        <f t="shared" ca="1" si="905"/>
        <v>0</v>
      </c>
      <c r="H293" s="39">
        <f t="shared" ca="1" si="906"/>
        <v>0</v>
      </c>
      <c r="I293" s="39">
        <f t="shared" ca="1" si="907"/>
        <v>0</v>
      </c>
      <c r="J293" s="39">
        <f t="shared" ca="1" si="908"/>
        <v>0</v>
      </c>
      <c r="K293" s="39">
        <f t="shared" ca="1" si="909"/>
        <v>0</v>
      </c>
      <c r="L293" s="39">
        <f t="shared" ca="1" si="910"/>
        <v>0</v>
      </c>
      <c r="M293" s="39">
        <f t="shared" ca="1" si="912"/>
        <v>0</v>
      </c>
      <c r="O293" s="38"/>
      <c r="EU293" s="1360">
        <f t="shared" ca="1" si="893"/>
        <v>0</v>
      </c>
      <c r="EV293" s="39">
        <v>25</v>
      </c>
      <c r="EW293" s="38">
        <v>30</v>
      </c>
      <c r="EX293" s="54">
        <v>41153</v>
      </c>
      <c r="EY293" s="55">
        <f t="shared" si="887"/>
        <v>52110.5</v>
      </c>
      <c r="EZ293" s="61">
        <f t="shared" ca="1" si="885"/>
        <v>53</v>
      </c>
      <c r="FA293" s="61" t="s">
        <v>181</v>
      </c>
      <c r="FB293" s="39">
        <v>26.44</v>
      </c>
      <c r="FC293" s="39">
        <f t="shared" si="891"/>
        <v>1.4400000000000013</v>
      </c>
      <c r="FD293" s="40">
        <f t="shared" si="892"/>
        <v>5.7600000000000096E-2</v>
      </c>
      <c r="FE293" s="39">
        <f t="shared" ca="1" si="894"/>
        <v>2.7169811320754741E-2</v>
      </c>
      <c r="FF293" s="43">
        <f t="shared" ca="1" si="886"/>
        <v>1</v>
      </c>
      <c r="FS293" s="550">
        <v>23</v>
      </c>
      <c r="FT293" s="58">
        <v>1</v>
      </c>
      <c r="FU293" s="38">
        <v>6</v>
      </c>
      <c r="FV293" s="38">
        <f t="shared" si="913"/>
        <v>1.0015000000000001</v>
      </c>
      <c r="FW293" s="39">
        <f t="shared" si="914"/>
        <v>50.552619477998846</v>
      </c>
    </row>
    <row r="294" spans="2:179">
      <c r="B294" s="1048">
        <f t="shared" ca="1" si="911"/>
        <v>45022</v>
      </c>
      <c r="C294" s="153">
        <f t="shared" ca="1" si="901"/>
        <v>0</v>
      </c>
      <c r="D294" s="153">
        <f t="shared" ca="1" si="902"/>
        <v>0</v>
      </c>
      <c r="E294" s="153">
        <f t="shared" ca="1" si="903"/>
        <v>0</v>
      </c>
      <c r="F294" s="153">
        <f t="shared" ca="1" si="904"/>
        <v>0</v>
      </c>
      <c r="G294" s="153">
        <f t="shared" ca="1" si="905"/>
        <v>0</v>
      </c>
      <c r="H294" s="39">
        <f t="shared" ca="1" si="906"/>
        <v>0</v>
      </c>
      <c r="I294" s="39">
        <f t="shared" ca="1" si="907"/>
        <v>0</v>
      </c>
      <c r="J294" s="39">
        <f t="shared" ca="1" si="908"/>
        <v>0</v>
      </c>
      <c r="K294" s="39">
        <f t="shared" ca="1" si="909"/>
        <v>0</v>
      </c>
      <c r="L294" s="39">
        <f t="shared" ca="1" si="910"/>
        <v>0</v>
      </c>
      <c r="M294" s="39">
        <f t="shared" ca="1" si="912"/>
        <v>0</v>
      </c>
      <c r="O294" s="38"/>
      <c r="EU294" s="1360">
        <f t="shared" ca="1" si="893"/>
        <v>0</v>
      </c>
      <c r="EV294" s="39">
        <v>25</v>
      </c>
      <c r="EW294" s="38">
        <v>30</v>
      </c>
      <c r="EX294" s="54">
        <v>41153</v>
      </c>
      <c r="EY294" s="55">
        <f t="shared" si="887"/>
        <v>52110.5</v>
      </c>
      <c r="EZ294" s="61">
        <f t="shared" ca="1" si="885"/>
        <v>53</v>
      </c>
      <c r="FA294" s="61" t="s">
        <v>182</v>
      </c>
      <c r="FB294" s="39">
        <v>26.44</v>
      </c>
      <c r="FC294" s="39">
        <f t="shared" si="891"/>
        <v>1.4400000000000013</v>
      </c>
      <c r="FD294" s="40">
        <f t="shared" si="892"/>
        <v>5.7600000000000096E-2</v>
      </c>
      <c r="FE294" s="39">
        <f t="shared" ca="1" si="894"/>
        <v>2.7169811320754741E-2</v>
      </c>
      <c r="FF294" s="43">
        <f t="shared" ca="1" si="886"/>
        <v>1</v>
      </c>
      <c r="FS294" s="550">
        <v>23</v>
      </c>
      <c r="FT294" s="58">
        <v>2</v>
      </c>
      <c r="FU294" s="38">
        <v>1</v>
      </c>
      <c r="FV294" s="38">
        <f t="shared" si="913"/>
        <v>1.0002498438930771</v>
      </c>
      <c r="FW294" s="39">
        <f t="shared" ref="FW294:FW299" si="915">$FW$293*FV294</f>
        <v>50.565249741254476</v>
      </c>
    </row>
    <row r="295" spans="2:179">
      <c r="B295" s="1048">
        <f t="shared" ca="1" si="911"/>
        <v>45052</v>
      </c>
      <c r="C295" s="153">
        <f t="shared" ca="1" si="901"/>
        <v>0</v>
      </c>
      <c r="D295" s="153">
        <f t="shared" ca="1" si="902"/>
        <v>0</v>
      </c>
      <c r="E295" s="153">
        <f t="shared" ca="1" si="903"/>
        <v>0</v>
      </c>
      <c r="F295" s="153">
        <f t="shared" ca="1" si="904"/>
        <v>0</v>
      </c>
      <c r="G295" s="153">
        <f t="shared" ca="1" si="905"/>
        <v>0</v>
      </c>
      <c r="H295" s="39">
        <f t="shared" ca="1" si="906"/>
        <v>0</v>
      </c>
      <c r="I295" s="39">
        <f t="shared" ca="1" si="907"/>
        <v>0</v>
      </c>
      <c r="J295" s="39">
        <f t="shared" ca="1" si="908"/>
        <v>0</v>
      </c>
      <c r="K295" s="39">
        <f t="shared" ca="1" si="909"/>
        <v>0</v>
      </c>
      <c r="L295" s="39">
        <f t="shared" ca="1" si="910"/>
        <v>0</v>
      </c>
      <c r="M295" s="39">
        <f t="shared" ca="1" si="912"/>
        <v>0</v>
      </c>
      <c r="O295" s="38"/>
      <c r="EU295" s="1360">
        <f t="shared" ca="1" si="893"/>
        <v>0</v>
      </c>
      <c r="EV295" s="39">
        <v>25</v>
      </c>
      <c r="EW295" s="38">
        <v>30</v>
      </c>
      <c r="EX295" s="54">
        <v>41153</v>
      </c>
      <c r="EY295" s="55">
        <f t="shared" si="887"/>
        <v>52110.5</v>
      </c>
      <c r="EZ295" s="61">
        <f t="shared" ca="1" si="885"/>
        <v>53</v>
      </c>
      <c r="FA295" s="61" t="s">
        <v>184</v>
      </c>
      <c r="FB295" s="39">
        <v>26.44</v>
      </c>
      <c r="FC295" s="39">
        <f t="shared" si="891"/>
        <v>1.4400000000000013</v>
      </c>
      <c r="FD295" s="40">
        <f t="shared" si="892"/>
        <v>5.7600000000000096E-2</v>
      </c>
      <c r="FE295" s="39">
        <f t="shared" ca="1" si="894"/>
        <v>2.7169811320754741E-2</v>
      </c>
      <c r="FF295" s="43">
        <f t="shared" ca="1" si="886"/>
        <v>1</v>
      </c>
      <c r="FS295" s="550">
        <v>23</v>
      </c>
      <c r="FT295" s="58">
        <v>2</v>
      </c>
      <c r="FU295" s="38">
        <v>2</v>
      </c>
      <c r="FV295" s="38">
        <f t="shared" si="913"/>
        <v>1.0004997502081252</v>
      </c>
      <c r="FW295" s="39">
        <f t="shared" si="915"/>
        <v>50.57788316010425</v>
      </c>
    </row>
    <row r="296" spans="2:179">
      <c r="B296" s="1048">
        <f t="shared" ca="1" si="911"/>
        <v>45082</v>
      </c>
      <c r="C296" s="153">
        <f t="shared" ca="1" si="901"/>
        <v>0</v>
      </c>
      <c r="D296" s="153">
        <f t="shared" ca="1" si="902"/>
        <v>0</v>
      </c>
      <c r="E296" s="153">
        <f t="shared" ca="1" si="903"/>
        <v>0</v>
      </c>
      <c r="F296" s="153">
        <f t="shared" ca="1" si="904"/>
        <v>0</v>
      </c>
      <c r="G296" s="153">
        <f t="shared" ca="1" si="905"/>
        <v>0</v>
      </c>
      <c r="H296" s="39">
        <f t="shared" ca="1" si="906"/>
        <v>0</v>
      </c>
      <c r="I296" s="39">
        <f t="shared" ca="1" si="907"/>
        <v>0</v>
      </c>
      <c r="J296" s="39">
        <f t="shared" ca="1" si="908"/>
        <v>0</v>
      </c>
      <c r="K296" s="39">
        <f t="shared" ca="1" si="909"/>
        <v>0</v>
      </c>
      <c r="L296" s="39">
        <f t="shared" ca="1" si="910"/>
        <v>0</v>
      </c>
      <c r="M296" s="39">
        <f t="shared" ca="1" si="912"/>
        <v>0</v>
      </c>
      <c r="O296" s="38"/>
      <c r="EU296" s="1360">
        <f t="shared" ca="1" si="893"/>
        <v>0</v>
      </c>
      <c r="EV296" s="39">
        <v>25</v>
      </c>
      <c r="EW296" s="38">
        <v>30</v>
      </c>
      <c r="EX296" s="54">
        <v>41153</v>
      </c>
      <c r="EY296" s="55">
        <f t="shared" si="887"/>
        <v>52110.5</v>
      </c>
      <c r="EZ296" s="61">
        <f t="shared" ca="1" si="885"/>
        <v>53</v>
      </c>
      <c r="FA296" s="61" t="s">
        <v>185</v>
      </c>
      <c r="FB296" s="39">
        <v>26.44</v>
      </c>
      <c r="FC296" s="39">
        <f t="shared" si="891"/>
        <v>1.4400000000000013</v>
      </c>
      <c r="FD296" s="40">
        <f t="shared" si="892"/>
        <v>5.7600000000000096E-2</v>
      </c>
      <c r="FE296" s="39">
        <f t="shared" ca="1" si="894"/>
        <v>2.7169811320754741E-2</v>
      </c>
      <c r="FF296" s="43">
        <f t="shared" ca="1" si="886"/>
        <v>1</v>
      </c>
      <c r="FS296" s="550">
        <v>23</v>
      </c>
      <c r="FT296" s="58">
        <v>2</v>
      </c>
      <c r="FU296" s="38">
        <v>3</v>
      </c>
      <c r="FV296" s="38">
        <f t="shared" si="913"/>
        <v>1.0007497189607399</v>
      </c>
      <c r="FW296" s="39">
        <f t="shared" si="915"/>
        <v>50.590519735336571</v>
      </c>
    </row>
    <row r="297" spans="2:179">
      <c r="B297" s="1048">
        <f t="shared" ca="1" si="911"/>
        <v>45112</v>
      </c>
      <c r="C297" s="153">
        <f t="shared" ca="1" si="901"/>
        <v>0</v>
      </c>
      <c r="D297" s="153">
        <f t="shared" ca="1" si="902"/>
        <v>0</v>
      </c>
      <c r="E297" s="153">
        <f t="shared" ca="1" si="903"/>
        <v>0</v>
      </c>
      <c r="F297" s="153">
        <f t="shared" ca="1" si="904"/>
        <v>0</v>
      </c>
      <c r="G297" s="153">
        <f t="shared" ca="1" si="905"/>
        <v>0</v>
      </c>
      <c r="H297" s="39">
        <f t="shared" ca="1" si="906"/>
        <v>0</v>
      </c>
      <c r="I297" s="39">
        <f t="shared" ca="1" si="907"/>
        <v>0</v>
      </c>
      <c r="J297" s="39">
        <f t="shared" ca="1" si="908"/>
        <v>100</v>
      </c>
      <c r="K297" s="39">
        <f t="shared" ca="1" si="909"/>
        <v>0</v>
      </c>
      <c r="L297" s="39">
        <f t="shared" ca="1" si="910"/>
        <v>0</v>
      </c>
      <c r="M297" s="39">
        <f t="shared" ca="1" si="912"/>
        <v>100</v>
      </c>
      <c r="O297" s="38"/>
      <c r="EU297" s="1360">
        <f t="shared" ca="1" si="893"/>
        <v>0</v>
      </c>
      <c r="EV297" s="39">
        <v>100</v>
      </c>
      <c r="EW297" s="38">
        <v>30</v>
      </c>
      <c r="EX297" s="54">
        <v>41153</v>
      </c>
      <c r="EY297" s="55">
        <f t="shared" si="887"/>
        <v>52110.5</v>
      </c>
      <c r="EZ297" s="61">
        <f t="shared" ca="1" si="885"/>
        <v>53</v>
      </c>
      <c r="FA297" s="61" t="s">
        <v>183</v>
      </c>
      <c r="FB297" s="39">
        <v>105.76</v>
      </c>
      <c r="FC297" s="39">
        <f t="shared" si="891"/>
        <v>5.7600000000000051</v>
      </c>
      <c r="FD297" s="40">
        <f t="shared" si="892"/>
        <v>5.7600000000000096E-2</v>
      </c>
      <c r="FE297" s="39">
        <f t="shared" ca="1" si="894"/>
        <v>0.10867924528301896</v>
      </c>
      <c r="FF297" s="43">
        <f t="shared" ca="1" si="886"/>
        <v>1</v>
      </c>
      <c r="FS297" s="550">
        <v>23</v>
      </c>
      <c r="FT297" s="58">
        <v>2</v>
      </c>
      <c r="FU297" s="38">
        <v>4</v>
      </c>
      <c r="FV297" s="38">
        <f t="shared" si="913"/>
        <v>1.0009997501665211</v>
      </c>
      <c r="FW297" s="39">
        <f t="shared" si="915"/>
        <v>50.603159467740056</v>
      </c>
    </row>
    <row r="298" spans="2:179">
      <c r="B298" s="1048">
        <f t="shared" ca="1" si="911"/>
        <v>45142</v>
      </c>
      <c r="C298" s="153">
        <f t="shared" ca="1" si="901"/>
        <v>0</v>
      </c>
      <c r="D298" s="153">
        <f t="shared" ca="1" si="902"/>
        <v>0</v>
      </c>
      <c r="E298" s="153">
        <f t="shared" ca="1" si="903"/>
        <v>0</v>
      </c>
      <c r="F298" s="153">
        <f t="shared" ca="1" si="904"/>
        <v>0</v>
      </c>
      <c r="G298" s="153">
        <f t="shared" ca="1" si="905"/>
        <v>0</v>
      </c>
      <c r="H298" s="39">
        <f t="shared" ca="1" si="906"/>
        <v>0</v>
      </c>
      <c r="I298" s="39">
        <f t="shared" ca="1" si="907"/>
        <v>0</v>
      </c>
      <c r="J298" s="39">
        <f t="shared" ca="1" si="908"/>
        <v>0</v>
      </c>
      <c r="K298" s="39">
        <f t="shared" ca="1" si="909"/>
        <v>0</v>
      </c>
      <c r="L298" s="39">
        <f t="shared" ca="1" si="910"/>
        <v>0</v>
      </c>
      <c r="M298" s="39">
        <f t="shared" ca="1" si="912"/>
        <v>0</v>
      </c>
      <c r="O298" s="38"/>
      <c r="EU298" s="1360">
        <f t="shared" ca="1" si="893"/>
        <v>0</v>
      </c>
      <c r="EV298" s="39">
        <v>25</v>
      </c>
      <c r="EW298" s="38">
        <v>30</v>
      </c>
      <c r="EX298" s="54">
        <v>41122</v>
      </c>
      <c r="EY298" s="55">
        <f t="shared" si="887"/>
        <v>52079.5</v>
      </c>
      <c r="EZ298" s="61">
        <f t="shared" ca="1" si="885"/>
        <v>54</v>
      </c>
      <c r="FA298" s="61" t="s">
        <v>175</v>
      </c>
      <c r="FB298" s="39">
        <v>26.44</v>
      </c>
      <c r="FC298" s="39">
        <f t="shared" si="891"/>
        <v>1.4400000000000013</v>
      </c>
      <c r="FD298" s="40">
        <f t="shared" si="892"/>
        <v>5.7600000000000096E-2</v>
      </c>
      <c r="FE298" s="39">
        <f t="shared" ca="1" si="894"/>
        <v>2.6666666666666689E-2</v>
      </c>
      <c r="FF298" s="43">
        <f t="shared" ca="1" si="886"/>
        <v>1</v>
      </c>
      <c r="FS298" s="550">
        <v>23</v>
      </c>
      <c r="FT298" s="58">
        <v>2</v>
      </c>
      <c r="FU298" s="38">
        <v>5</v>
      </c>
      <c r="FV298" s="38">
        <f t="shared" si="913"/>
        <v>1.001249843841072</v>
      </c>
      <c r="FW298" s="39">
        <f t="shared" si="915"/>
        <v>50.61580235810348</v>
      </c>
    </row>
    <row r="299" spans="2:179">
      <c r="B299" s="1048">
        <f t="shared" ca="1" si="911"/>
        <v>45172</v>
      </c>
      <c r="C299" s="153">
        <f t="shared" ca="1" si="901"/>
        <v>0</v>
      </c>
      <c r="D299" s="153">
        <f t="shared" ca="1" si="902"/>
        <v>0</v>
      </c>
      <c r="E299" s="153">
        <f t="shared" ca="1" si="903"/>
        <v>0</v>
      </c>
      <c r="F299" s="153">
        <f t="shared" ca="1" si="904"/>
        <v>0</v>
      </c>
      <c r="G299" s="153">
        <f t="shared" ca="1" si="905"/>
        <v>0</v>
      </c>
      <c r="H299" s="39">
        <f t="shared" ca="1" si="906"/>
        <v>0</v>
      </c>
      <c r="I299" s="39">
        <f t="shared" ca="1" si="907"/>
        <v>0</v>
      </c>
      <c r="J299" s="39">
        <f t="shared" ca="1" si="908"/>
        <v>0</v>
      </c>
      <c r="K299" s="39">
        <f t="shared" ca="1" si="909"/>
        <v>0</v>
      </c>
      <c r="L299" s="39">
        <f t="shared" ca="1" si="910"/>
        <v>0</v>
      </c>
      <c r="M299" s="39">
        <f t="shared" ca="1" si="912"/>
        <v>0</v>
      </c>
      <c r="O299" s="38"/>
      <c r="EU299" s="1360">
        <f t="shared" ca="1" si="893"/>
        <v>0</v>
      </c>
      <c r="EV299" s="39">
        <v>25</v>
      </c>
      <c r="EW299" s="38">
        <v>30</v>
      </c>
      <c r="EX299" s="54">
        <v>41122</v>
      </c>
      <c r="EY299" s="55">
        <f t="shared" si="887"/>
        <v>52079.5</v>
      </c>
      <c r="EZ299" s="61">
        <f t="shared" ca="1" si="885"/>
        <v>54</v>
      </c>
      <c r="FA299" s="61" t="s">
        <v>176</v>
      </c>
      <c r="FB299" s="39">
        <v>26.44</v>
      </c>
      <c r="FC299" s="39">
        <f t="shared" si="891"/>
        <v>1.4400000000000013</v>
      </c>
      <c r="FD299" s="40">
        <f t="shared" si="892"/>
        <v>5.7600000000000096E-2</v>
      </c>
      <c r="FE299" s="39">
        <f t="shared" ca="1" si="894"/>
        <v>2.6666666666666689E-2</v>
      </c>
      <c r="FF299" s="43">
        <f t="shared" ca="1" si="886"/>
        <v>1</v>
      </c>
      <c r="FS299" s="550">
        <v>23</v>
      </c>
      <c r="FT299" s="58">
        <v>2</v>
      </c>
      <c r="FU299" s="38">
        <v>6</v>
      </c>
      <c r="FV299" s="38">
        <f t="shared" si="913"/>
        <v>1.0015000000000001</v>
      </c>
      <c r="FW299" s="39">
        <f t="shared" si="915"/>
        <v>50.628448407215849</v>
      </c>
    </row>
    <row r="300" spans="2:179">
      <c r="B300" s="1048">
        <f t="shared" ca="1" si="911"/>
        <v>45202</v>
      </c>
      <c r="C300" s="153">
        <f t="shared" ca="1" si="901"/>
        <v>0</v>
      </c>
      <c r="D300" s="153">
        <f t="shared" ca="1" si="902"/>
        <v>0</v>
      </c>
      <c r="E300" s="153">
        <f t="shared" ca="1" si="903"/>
        <v>0</v>
      </c>
      <c r="F300" s="153">
        <f t="shared" ca="1" si="904"/>
        <v>0</v>
      </c>
      <c r="G300" s="153">
        <f t="shared" ca="1" si="905"/>
        <v>0</v>
      </c>
      <c r="H300" s="39">
        <f t="shared" ca="1" si="906"/>
        <v>0</v>
      </c>
      <c r="I300" s="39">
        <f t="shared" ca="1" si="907"/>
        <v>0</v>
      </c>
      <c r="J300" s="39">
        <f t="shared" ca="1" si="908"/>
        <v>0</v>
      </c>
      <c r="K300" s="39">
        <f t="shared" ca="1" si="909"/>
        <v>0</v>
      </c>
      <c r="L300" s="39">
        <f t="shared" ca="1" si="910"/>
        <v>0</v>
      </c>
      <c r="M300" s="39">
        <f t="shared" ca="1" si="912"/>
        <v>0</v>
      </c>
      <c r="O300" s="38"/>
      <c r="EU300" s="1360">
        <f t="shared" ca="1" si="893"/>
        <v>0</v>
      </c>
      <c r="EV300" s="39">
        <v>25</v>
      </c>
      <c r="EW300" s="38">
        <v>30</v>
      </c>
      <c r="EX300" s="54">
        <v>41122</v>
      </c>
      <c r="EY300" s="55">
        <f t="shared" si="887"/>
        <v>52079.5</v>
      </c>
      <c r="EZ300" s="61">
        <f t="shared" ca="1" si="885"/>
        <v>54</v>
      </c>
      <c r="FA300" s="61" t="s">
        <v>177</v>
      </c>
      <c r="FB300" s="39">
        <v>26.44</v>
      </c>
      <c r="FC300" s="39">
        <f t="shared" si="891"/>
        <v>1.4400000000000013</v>
      </c>
      <c r="FD300" s="40">
        <f t="shared" si="892"/>
        <v>5.7600000000000096E-2</v>
      </c>
      <c r="FE300" s="39">
        <f t="shared" ca="1" si="894"/>
        <v>2.6666666666666689E-2</v>
      </c>
      <c r="FF300" s="43">
        <f t="shared" ca="1" si="886"/>
        <v>1</v>
      </c>
    </row>
    <row r="301" spans="2:179">
      <c r="B301" s="1048">
        <f t="shared" ca="1" si="911"/>
        <v>45232</v>
      </c>
      <c r="C301" s="153">
        <f t="shared" ca="1" si="901"/>
        <v>0</v>
      </c>
      <c r="D301" s="153">
        <f t="shared" ca="1" si="902"/>
        <v>0</v>
      </c>
      <c r="E301" s="153">
        <f t="shared" ca="1" si="903"/>
        <v>0</v>
      </c>
      <c r="F301" s="153">
        <f t="shared" ca="1" si="904"/>
        <v>0</v>
      </c>
      <c r="G301" s="153">
        <f t="shared" ca="1" si="905"/>
        <v>0</v>
      </c>
      <c r="H301" s="39">
        <f t="shared" ca="1" si="906"/>
        <v>0</v>
      </c>
      <c r="I301" s="39">
        <f t="shared" ca="1" si="907"/>
        <v>0</v>
      </c>
      <c r="J301" s="39">
        <f t="shared" ca="1" si="908"/>
        <v>0</v>
      </c>
      <c r="K301" s="39">
        <f t="shared" ca="1" si="909"/>
        <v>0</v>
      </c>
      <c r="L301" s="39">
        <f t="shared" ca="1" si="910"/>
        <v>0</v>
      </c>
      <c r="M301" s="39">
        <f t="shared" ca="1" si="912"/>
        <v>0</v>
      </c>
      <c r="O301" s="38"/>
      <c r="EU301" s="1360">
        <f t="shared" ca="1" si="893"/>
        <v>0</v>
      </c>
      <c r="EV301" s="39">
        <v>25</v>
      </c>
      <c r="EW301" s="38">
        <v>30</v>
      </c>
      <c r="EX301" s="54">
        <v>41122</v>
      </c>
      <c r="EY301" s="55">
        <f t="shared" si="887"/>
        <v>52079.5</v>
      </c>
      <c r="EZ301" s="61">
        <f t="shared" ca="1" si="885"/>
        <v>54</v>
      </c>
      <c r="FA301" s="61" t="s">
        <v>178</v>
      </c>
      <c r="FB301" s="39">
        <v>26.44</v>
      </c>
      <c r="FC301" s="39">
        <f t="shared" si="891"/>
        <v>1.4400000000000013</v>
      </c>
      <c r="FD301" s="40">
        <f t="shared" si="892"/>
        <v>5.7600000000000096E-2</v>
      </c>
      <c r="FE301" s="39">
        <f t="shared" ca="1" si="894"/>
        <v>2.6666666666666689E-2</v>
      </c>
      <c r="FF301" s="43">
        <f t="shared" ca="1" si="886"/>
        <v>1</v>
      </c>
      <c r="FS301" s="550">
        <v>24</v>
      </c>
      <c r="FT301" s="58">
        <v>1</v>
      </c>
      <c r="FU301" s="38">
        <v>1</v>
      </c>
      <c r="FV301" s="38">
        <f t="shared" ref="FV301:FV312" si="916">(1+$FY$2/2)^(FU301/6)</f>
        <v>1.0002498438930771</v>
      </c>
      <c r="FW301" s="39">
        <f t="shared" ref="FW301:FW306" si="917">$FW$299*FV301</f>
        <v>50.641097615866364</v>
      </c>
    </row>
    <row r="302" spans="2:179">
      <c r="B302" s="1048">
        <f t="shared" ca="1" si="911"/>
        <v>45262</v>
      </c>
      <c r="C302" s="153">
        <f t="shared" ca="1" si="901"/>
        <v>0</v>
      </c>
      <c r="D302" s="153">
        <f t="shared" ca="1" si="902"/>
        <v>0</v>
      </c>
      <c r="E302" s="153">
        <f t="shared" ca="1" si="903"/>
        <v>0</v>
      </c>
      <c r="F302" s="153">
        <f t="shared" ca="1" si="904"/>
        <v>0</v>
      </c>
      <c r="G302" s="153">
        <f t="shared" ca="1" si="905"/>
        <v>0</v>
      </c>
      <c r="H302" s="39">
        <f t="shared" ca="1" si="906"/>
        <v>0</v>
      </c>
      <c r="I302" s="39">
        <f t="shared" ca="1" si="907"/>
        <v>0</v>
      </c>
      <c r="J302" s="39">
        <f t="shared" ca="1" si="908"/>
        <v>0</v>
      </c>
      <c r="K302" s="39">
        <f t="shared" ca="1" si="909"/>
        <v>0</v>
      </c>
      <c r="L302" s="39">
        <f t="shared" ca="1" si="910"/>
        <v>0</v>
      </c>
      <c r="M302" s="39">
        <f t="shared" ca="1" si="912"/>
        <v>0</v>
      </c>
      <c r="O302" s="38"/>
      <c r="EY302" s="53"/>
      <c r="EZ302" s="38"/>
      <c r="FA302" s="39"/>
      <c r="FD302" s="153"/>
      <c r="FE302" s="543"/>
      <c r="FF302" s="53"/>
      <c r="FS302" s="550">
        <v>24</v>
      </c>
      <c r="FT302" s="58">
        <v>1</v>
      </c>
      <c r="FU302" s="38">
        <v>2</v>
      </c>
      <c r="FV302" s="38">
        <f t="shared" si="916"/>
        <v>1.0004997502081252</v>
      </c>
      <c r="FW302" s="39">
        <f t="shared" si="917"/>
        <v>50.65374998484441</v>
      </c>
    </row>
    <row r="303" spans="2:179">
      <c r="B303" s="1048">
        <f t="shared" ca="1" si="911"/>
        <v>45292</v>
      </c>
      <c r="C303" s="153">
        <f t="shared" ca="1" si="901"/>
        <v>0</v>
      </c>
      <c r="D303" s="153">
        <f t="shared" ca="1" si="902"/>
        <v>0</v>
      </c>
      <c r="E303" s="153">
        <f t="shared" ca="1" si="903"/>
        <v>0</v>
      </c>
      <c r="F303" s="153">
        <f t="shared" ca="1" si="904"/>
        <v>0</v>
      </c>
      <c r="G303" s="153">
        <f t="shared" ca="1" si="905"/>
        <v>0</v>
      </c>
      <c r="H303" s="39">
        <f t="shared" ca="1" si="906"/>
        <v>0</v>
      </c>
      <c r="I303" s="39">
        <f t="shared" ca="1" si="907"/>
        <v>0</v>
      </c>
      <c r="J303" s="39">
        <f t="shared" ca="1" si="908"/>
        <v>200</v>
      </c>
      <c r="K303" s="39">
        <f t="shared" ca="1" si="909"/>
        <v>0</v>
      </c>
      <c r="L303" s="39">
        <f t="shared" ca="1" si="910"/>
        <v>0</v>
      </c>
      <c r="M303" s="39">
        <f t="shared" ca="1" si="912"/>
        <v>200</v>
      </c>
      <c r="O303" s="38"/>
      <c r="EY303" s="53"/>
      <c r="EZ303" s="38"/>
      <c r="FC303" s="39"/>
      <c r="FD303" s="153"/>
      <c r="FE303" s="214"/>
      <c r="FF303" s="53"/>
      <c r="FS303" s="550">
        <v>24</v>
      </c>
      <c r="FT303" s="58">
        <v>1</v>
      </c>
      <c r="FU303" s="38">
        <v>3</v>
      </c>
      <c r="FV303" s="38">
        <f t="shared" si="916"/>
        <v>1.0007497189607399</v>
      </c>
      <c r="FW303" s="39">
        <f t="shared" si="917"/>
        <v>50.666405514939584</v>
      </c>
    </row>
    <row r="304" spans="2:179">
      <c r="B304" s="1048">
        <f t="shared" ca="1" si="911"/>
        <v>45322</v>
      </c>
      <c r="C304" s="153">
        <f t="shared" ca="1" si="901"/>
        <v>0</v>
      </c>
      <c r="D304" s="153">
        <f t="shared" ca="1" si="902"/>
        <v>0</v>
      </c>
      <c r="E304" s="153">
        <f t="shared" ca="1" si="903"/>
        <v>0</v>
      </c>
      <c r="F304" s="153">
        <f t="shared" ca="1" si="904"/>
        <v>0</v>
      </c>
      <c r="G304" s="153">
        <f t="shared" ca="1" si="905"/>
        <v>0</v>
      </c>
      <c r="H304" s="39">
        <f t="shared" ca="1" si="906"/>
        <v>0</v>
      </c>
      <c r="I304" s="39">
        <f t="shared" ca="1" si="907"/>
        <v>0</v>
      </c>
      <c r="J304" s="39">
        <f t="shared" ca="1" si="908"/>
        <v>0</v>
      </c>
      <c r="K304" s="39">
        <f t="shared" ca="1" si="909"/>
        <v>0</v>
      </c>
      <c r="L304" s="39">
        <f t="shared" ca="1" si="910"/>
        <v>0</v>
      </c>
      <c r="M304" s="39">
        <f t="shared" ca="1" si="912"/>
        <v>0</v>
      </c>
      <c r="O304" s="38"/>
      <c r="EY304" s="53"/>
      <c r="EZ304" s="38"/>
      <c r="FD304" s="657"/>
      <c r="FE304" s="214"/>
      <c r="FF304" s="53"/>
      <c r="FS304" s="550">
        <v>24</v>
      </c>
      <c r="FT304" s="58">
        <v>1</v>
      </c>
      <c r="FU304" s="38">
        <v>4</v>
      </c>
      <c r="FV304" s="38">
        <f t="shared" si="916"/>
        <v>1.0009997501665211</v>
      </c>
      <c r="FW304" s="39">
        <f t="shared" si="917"/>
        <v>50.679064206941668</v>
      </c>
    </row>
    <row r="305" spans="2:179">
      <c r="B305" s="1048">
        <f t="shared" ca="1" si="911"/>
        <v>45352</v>
      </c>
      <c r="C305" s="153">
        <f t="shared" ca="1" si="901"/>
        <v>0</v>
      </c>
      <c r="D305" s="153">
        <f t="shared" ca="1" si="902"/>
        <v>0</v>
      </c>
      <c r="E305" s="153">
        <f t="shared" ca="1" si="903"/>
        <v>0</v>
      </c>
      <c r="F305" s="153">
        <f t="shared" ca="1" si="904"/>
        <v>0</v>
      </c>
      <c r="G305" s="153">
        <f t="shared" ca="1" si="905"/>
        <v>0</v>
      </c>
      <c r="H305" s="39">
        <f t="shared" ca="1" si="906"/>
        <v>0</v>
      </c>
      <c r="I305" s="39">
        <f t="shared" ca="1" si="907"/>
        <v>0</v>
      </c>
      <c r="J305" s="39">
        <f t="shared" ca="1" si="908"/>
        <v>0</v>
      </c>
      <c r="K305" s="39">
        <f t="shared" ca="1" si="909"/>
        <v>0</v>
      </c>
      <c r="L305" s="39">
        <f t="shared" ca="1" si="910"/>
        <v>0</v>
      </c>
      <c r="M305" s="39">
        <f t="shared" ca="1" si="912"/>
        <v>0</v>
      </c>
      <c r="O305" s="38"/>
      <c r="EY305" s="53"/>
      <c r="EZ305" s="38"/>
      <c r="FD305" s="153"/>
      <c r="FE305" s="214"/>
      <c r="FF305" s="53"/>
      <c r="FS305" s="550">
        <v>24</v>
      </c>
      <c r="FT305" s="58">
        <v>1</v>
      </c>
      <c r="FU305" s="38">
        <v>5</v>
      </c>
      <c r="FV305" s="38">
        <f t="shared" si="916"/>
        <v>1.001249843841072</v>
      </c>
      <c r="FW305" s="39">
        <f t="shared" si="917"/>
        <v>50.691726061640637</v>
      </c>
    </row>
    <row r="306" spans="2:179">
      <c r="B306" s="1048">
        <f t="shared" ca="1" si="911"/>
        <v>45382</v>
      </c>
      <c r="C306" s="153">
        <f t="shared" ca="1" si="901"/>
        <v>0</v>
      </c>
      <c r="D306" s="153">
        <f t="shared" ca="1" si="902"/>
        <v>0</v>
      </c>
      <c r="E306" s="153">
        <f t="shared" ca="1" si="903"/>
        <v>0</v>
      </c>
      <c r="F306" s="153">
        <f t="shared" ca="1" si="904"/>
        <v>0</v>
      </c>
      <c r="G306" s="153">
        <f t="shared" ca="1" si="905"/>
        <v>0</v>
      </c>
      <c r="H306" s="39">
        <f t="shared" ca="1" si="906"/>
        <v>0</v>
      </c>
      <c r="I306" s="39">
        <f t="shared" ca="1" si="907"/>
        <v>0</v>
      </c>
      <c r="J306" s="39">
        <f t="shared" ca="1" si="908"/>
        <v>0</v>
      </c>
      <c r="K306" s="39">
        <f t="shared" ca="1" si="909"/>
        <v>0</v>
      </c>
      <c r="L306" s="39">
        <f t="shared" ca="1" si="910"/>
        <v>0</v>
      </c>
      <c r="M306" s="39">
        <f t="shared" ca="1" si="912"/>
        <v>0</v>
      </c>
      <c r="O306" s="38"/>
      <c r="EY306" s="53"/>
      <c r="EZ306" s="38"/>
      <c r="FD306" s="153"/>
      <c r="FE306" s="214"/>
      <c r="FF306" s="53"/>
      <c r="FS306" s="550">
        <v>24</v>
      </c>
      <c r="FT306" s="58">
        <v>1</v>
      </c>
      <c r="FU306" s="38">
        <v>6</v>
      </c>
      <c r="FV306" s="38">
        <f t="shared" si="916"/>
        <v>1.0015000000000001</v>
      </c>
      <c r="FW306" s="39">
        <f t="shared" si="917"/>
        <v>50.704391079826678</v>
      </c>
    </row>
    <row r="307" spans="2:179">
      <c r="B307" s="1048">
        <f t="shared" ca="1" si="911"/>
        <v>45412</v>
      </c>
      <c r="C307" s="153">
        <f t="shared" ca="1" si="901"/>
        <v>0</v>
      </c>
      <c r="D307" s="153">
        <f t="shared" ca="1" si="902"/>
        <v>0</v>
      </c>
      <c r="E307" s="153">
        <f t="shared" ca="1" si="903"/>
        <v>0</v>
      </c>
      <c r="F307" s="153">
        <f t="shared" ca="1" si="904"/>
        <v>0</v>
      </c>
      <c r="G307" s="153">
        <f t="shared" ca="1" si="905"/>
        <v>0</v>
      </c>
      <c r="H307" s="39">
        <f t="shared" ca="1" si="906"/>
        <v>0</v>
      </c>
      <c r="I307" s="39">
        <f t="shared" ca="1" si="907"/>
        <v>0</v>
      </c>
      <c r="J307" s="39">
        <f t="shared" ca="1" si="908"/>
        <v>0</v>
      </c>
      <c r="K307" s="39">
        <f t="shared" ca="1" si="909"/>
        <v>0</v>
      </c>
      <c r="L307" s="39">
        <f t="shared" ca="1" si="910"/>
        <v>0</v>
      </c>
      <c r="M307" s="39">
        <f t="shared" ca="1" si="912"/>
        <v>0</v>
      </c>
      <c r="O307" s="38"/>
      <c r="EY307" s="53"/>
      <c r="EZ307" s="38"/>
      <c r="FD307" s="153"/>
      <c r="FE307" s="214"/>
      <c r="FF307" s="53"/>
      <c r="FS307" s="550">
        <v>24</v>
      </c>
      <c r="FT307" s="58">
        <v>2</v>
      </c>
      <c r="FU307" s="38">
        <v>1</v>
      </c>
      <c r="FV307" s="38">
        <f t="shared" si="916"/>
        <v>1.0002498438930771</v>
      </c>
      <c r="FW307" s="39">
        <f t="shared" ref="FW307:FW312" si="918">$FW$306*FV307</f>
        <v>50.717059262290171</v>
      </c>
    </row>
    <row r="308" spans="2:179">
      <c r="B308" s="1048">
        <f t="shared" ca="1" si="911"/>
        <v>45442</v>
      </c>
      <c r="C308" s="153">
        <f t="shared" ca="1" si="901"/>
        <v>0</v>
      </c>
      <c r="D308" s="153">
        <f t="shared" ca="1" si="902"/>
        <v>0</v>
      </c>
      <c r="E308" s="153">
        <f t="shared" ca="1" si="903"/>
        <v>0</v>
      </c>
      <c r="F308" s="153">
        <f t="shared" ca="1" si="904"/>
        <v>0</v>
      </c>
      <c r="G308" s="153">
        <f t="shared" ca="1" si="905"/>
        <v>0</v>
      </c>
      <c r="H308" s="39">
        <f t="shared" ca="1" si="906"/>
        <v>0</v>
      </c>
      <c r="I308" s="39">
        <f t="shared" ca="1" si="907"/>
        <v>0</v>
      </c>
      <c r="J308" s="39">
        <f t="shared" ca="1" si="908"/>
        <v>0</v>
      </c>
      <c r="K308" s="39">
        <f t="shared" ca="1" si="909"/>
        <v>0</v>
      </c>
      <c r="L308" s="39">
        <f t="shared" ca="1" si="910"/>
        <v>0</v>
      </c>
      <c r="M308" s="39">
        <f t="shared" ca="1" si="912"/>
        <v>0</v>
      </c>
      <c r="O308" s="38"/>
      <c r="EY308" s="53"/>
      <c r="EZ308" s="38"/>
      <c r="FD308" s="153"/>
      <c r="FE308" s="214"/>
      <c r="FF308" s="53"/>
      <c r="FS308" s="550">
        <v>24</v>
      </c>
      <c r="FT308" s="58">
        <v>2</v>
      </c>
      <c r="FU308" s="38">
        <v>2</v>
      </c>
      <c r="FV308" s="38">
        <f t="shared" si="916"/>
        <v>1.0004997502081252</v>
      </c>
      <c r="FW308" s="39">
        <f t="shared" si="918"/>
        <v>50.729730609821686</v>
      </c>
    </row>
    <row r="309" spans="2:179">
      <c r="B309" s="1048">
        <f t="shared" ca="1" si="911"/>
        <v>45472</v>
      </c>
      <c r="C309" s="153">
        <f t="shared" ca="1" si="901"/>
        <v>0</v>
      </c>
      <c r="D309" s="153">
        <f t="shared" ca="1" si="902"/>
        <v>0</v>
      </c>
      <c r="E309" s="153">
        <f t="shared" ca="1" si="903"/>
        <v>0</v>
      </c>
      <c r="F309" s="153">
        <f t="shared" ca="1" si="904"/>
        <v>0</v>
      </c>
      <c r="G309" s="153">
        <f t="shared" ca="1" si="905"/>
        <v>0</v>
      </c>
      <c r="H309" s="39">
        <f t="shared" ca="1" si="906"/>
        <v>0</v>
      </c>
      <c r="I309" s="39">
        <f t="shared" ca="1" si="907"/>
        <v>0</v>
      </c>
      <c r="J309" s="39">
        <f t="shared" ca="1" si="908"/>
        <v>100</v>
      </c>
      <c r="K309" s="39">
        <f t="shared" ca="1" si="909"/>
        <v>0</v>
      </c>
      <c r="L309" s="39">
        <f t="shared" ca="1" si="910"/>
        <v>0</v>
      </c>
      <c r="M309" s="39">
        <f t="shared" ca="1" si="912"/>
        <v>100</v>
      </c>
      <c r="O309" s="38"/>
      <c r="EY309" s="53"/>
      <c r="EZ309" s="38"/>
      <c r="FD309" s="153"/>
      <c r="FE309" s="214"/>
      <c r="FF309" s="53"/>
      <c r="FS309" s="550">
        <v>24</v>
      </c>
      <c r="FT309" s="58">
        <v>2</v>
      </c>
      <c r="FU309" s="38">
        <v>3</v>
      </c>
      <c r="FV309" s="38">
        <f t="shared" si="916"/>
        <v>1.0007497189607399</v>
      </c>
      <c r="FW309" s="39">
        <f t="shared" si="918"/>
        <v>50.742405123211995</v>
      </c>
    </row>
    <row r="310" spans="2:179">
      <c r="B310" s="1048">
        <f t="shared" ca="1" si="911"/>
        <v>45502</v>
      </c>
      <c r="C310" s="153">
        <f t="shared" ca="1" si="901"/>
        <v>0</v>
      </c>
      <c r="D310" s="153">
        <f t="shared" ca="1" si="902"/>
        <v>0</v>
      </c>
      <c r="E310" s="153">
        <f t="shared" ca="1" si="903"/>
        <v>0</v>
      </c>
      <c r="F310" s="153">
        <f t="shared" ca="1" si="904"/>
        <v>0</v>
      </c>
      <c r="G310" s="153">
        <f t="shared" ca="1" si="905"/>
        <v>0</v>
      </c>
      <c r="H310" s="39">
        <f t="shared" ca="1" si="906"/>
        <v>0</v>
      </c>
      <c r="I310" s="39">
        <f t="shared" ca="1" si="907"/>
        <v>0</v>
      </c>
      <c r="J310" s="39">
        <f t="shared" ca="1" si="908"/>
        <v>100</v>
      </c>
      <c r="K310" s="39">
        <f t="shared" ca="1" si="909"/>
        <v>0</v>
      </c>
      <c r="L310" s="39">
        <f t="shared" ca="1" si="910"/>
        <v>0</v>
      </c>
      <c r="M310" s="39">
        <f t="shared" ca="1" si="912"/>
        <v>100</v>
      </c>
      <c r="O310" s="38"/>
      <c r="EY310" s="53"/>
      <c r="EZ310" s="38"/>
      <c r="FD310" s="153"/>
      <c r="FE310" s="214"/>
      <c r="FF310" s="53"/>
      <c r="FS310" s="550">
        <v>24</v>
      </c>
      <c r="FT310" s="58">
        <v>2</v>
      </c>
      <c r="FU310" s="38">
        <v>4</v>
      </c>
      <c r="FV310" s="38">
        <f t="shared" si="916"/>
        <v>1.0009997501665211</v>
      </c>
      <c r="FW310" s="39">
        <f t="shared" si="918"/>
        <v>50.755082803252087</v>
      </c>
    </row>
    <row r="311" spans="2:179">
      <c r="B311" s="1048">
        <f t="shared" ca="1" si="911"/>
        <v>45532</v>
      </c>
      <c r="C311" s="153">
        <f t="shared" ca="1" si="901"/>
        <v>0</v>
      </c>
      <c r="D311" s="153">
        <f t="shared" ca="1" si="902"/>
        <v>0</v>
      </c>
      <c r="E311" s="153">
        <f t="shared" ca="1" si="903"/>
        <v>0</v>
      </c>
      <c r="F311" s="153">
        <f t="shared" ca="1" si="904"/>
        <v>0</v>
      </c>
      <c r="G311" s="153">
        <f t="shared" ca="1" si="905"/>
        <v>0</v>
      </c>
      <c r="H311" s="39">
        <f t="shared" ca="1" si="906"/>
        <v>0</v>
      </c>
      <c r="I311" s="39">
        <f t="shared" ca="1" si="907"/>
        <v>0</v>
      </c>
      <c r="J311" s="39">
        <f t="shared" ca="1" si="908"/>
        <v>0</v>
      </c>
      <c r="K311" s="39">
        <f t="shared" ca="1" si="909"/>
        <v>0</v>
      </c>
      <c r="L311" s="39">
        <f t="shared" ca="1" si="910"/>
        <v>0</v>
      </c>
      <c r="M311" s="39">
        <f t="shared" ca="1" si="912"/>
        <v>0</v>
      </c>
      <c r="O311" s="38"/>
      <c r="EY311" s="53"/>
      <c r="EZ311" s="38"/>
      <c r="FD311" s="153"/>
      <c r="FE311" s="214"/>
      <c r="FF311" s="53"/>
      <c r="FS311" s="550">
        <v>24</v>
      </c>
      <c r="FT311" s="58">
        <v>2</v>
      </c>
      <c r="FU311" s="38">
        <v>5</v>
      </c>
      <c r="FV311" s="38">
        <f t="shared" si="916"/>
        <v>1.001249843841072</v>
      </c>
      <c r="FW311" s="39">
        <f t="shared" si="918"/>
        <v>50.767763650733102</v>
      </c>
    </row>
    <row r="312" spans="2:179">
      <c r="B312" s="1048">
        <f t="shared" ca="1" si="911"/>
        <v>45562</v>
      </c>
      <c r="C312" s="153">
        <f t="shared" ca="1" si="901"/>
        <v>0</v>
      </c>
      <c r="D312" s="153">
        <f t="shared" ca="1" si="902"/>
        <v>0</v>
      </c>
      <c r="E312" s="153">
        <f t="shared" ca="1" si="903"/>
        <v>0</v>
      </c>
      <c r="F312" s="153">
        <f t="shared" ca="1" si="904"/>
        <v>0</v>
      </c>
      <c r="G312" s="153">
        <f t="shared" ca="1" si="905"/>
        <v>0</v>
      </c>
      <c r="H312" s="39">
        <f t="shared" ca="1" si="906"/>
        <v>0</v>
      </c>
      <c r="I312" s="39">
        <f t="shared" ca="1" si="907"/>
        <v>0</v>
      </c>
      <c r="J312" s="39">
        <f t="shared" ca="1" si="908"/>
        <v>0</v>
      </c>
      <c r="K312" s="39">
        <f t="shared" ca="1" si="909"/>
        <v>0</v>
      </c>
      <c r="L312" s="39">
        <f t="shared" ca="1" si="910"/>
        <v>0</v>
      </c>
      <c r="M312" s="39">
        <f t="shared" ca="1" si="912"/>
        <v>0</v>
      </c>
      <c r="O312" s="38"/>
      <c r="EY312" s="53"/>
      <c r="EZ312" s="38"/>
      <c r="FD312" s="153"/>
      <c r="FE312" s="214"/>
      <c r="FF312" s="53"/>
      <c r="FS312" s="550">
        <v>24</v>
      </c>
      <c r="FT312" s="58">
        <v>2</v>
      </c>
      <c r="FU312" s="38">
        <v>6</v>
      </c>
      <c r="FV312" s="38">
        <f t="shared" si="916"/>
        <v>1.0015000000000001</v>
      </c>
      <c r="FW312" s="39">
        <f t="shared" si="918"/>
        <v>50.78044766644642</v>
      </c>
    </row>
    <row r="313" spans="2:179">
      <c r="B313" s="1048">
        <f t="shared" ca="1" si="911"/>
        <v>45592</v>
      </c>
      <c r="C313" s="153">
        <f t="shared" ca="1" si="901"/>
        <v>0</v>
      </c>
      <c r="D313" s="153">
        <f t="shared" ca="1" si="902"/>
        <v>0</v>
      </c>
      <c r="E313" s="153">
        <f t="shared" ca="1" si="903"/>
        <v>0</v>
      </c>
      <c r="F313" s="153">
        <f t="shared" ca="1" si="904"/>
        <v>0</v>
      </c>
      <c r="G313" s="153">
        <f t="shared" ca="1" si="905"/>
        <v>0</v>
      </c>
      <c r="H313" s="39">
        <f t="shared" ca="1" si="906"/>
        <v>0</v>
      </c>
      <c r="I313" s="39">
        <f t="shared" ca="1" si="907"/>
        <v>0</v>
      </c>
      <c r="J313" s="39">
        <f t="shared" ca="1" si="908"/>
        <v>0</v>
      </c>
      <c r="K313" s="39">
        <f t="shared" ca="1" si="909"/>
        <v>0</v>
      </c>
      <c r="L313" s="39">
        <f t="shared" ca="1" si="910"/>
        <v>0</v>
      </c>
      <c r="M313" s="39">
        <f t="shared" ca="1" si="912"/>
        <v>0</v>
      </c>
      <c r="O313" s="38"/>
      <c r="EY313" s="53"/>
      <c r="EZ313" s="38"/>
      <c r="FD313" s="153"/>
      <c r="FE313" s="214"/>
      <c r="FF313" s="53"/>
    </row>
    <row r="314" spans="2:179">
      <c r="B314" s="1048">
        <f t="shared" ca="1" si="911"/>
        <v>45622</v>
      </c>
      <c r="C314" s="153">
        <f t="shared" ca="1" si="901"/>
        <v>0</v>
      </c>
      <c r="D314" s="153">
        <f t="shared" ca="1" si="902"/>
        <v>0</v>
      </c>
      <c r="E314" s="153">
        <f t="shared" ca="1" si="903"/>
        <v>0</v>
      </c>
      <c r="F314" s="153">
        <f t="shared" ca="1" si="904"/>
        <v>0</v>
      </c>
      <c r="G314" s="153">
        <f t="shared" ca="1" si="905"/>
        <v>0</v>
      </c>
      <c r="H314" s="39">
        <f t="shared" ca="1" si="906"/>
        <v>0</v>
      </c>
      <c r="I314" s="39">
        <f t="shared" ca="1" si="907"/>
        <v>0</v>
      </c>
      <c r="J314" s="39">
        <f t="shared" ca="1" si="908"/>
        <v>0</v>
      </c>
      <c r="K314" s="39">
        <f t="shared" ca="1" si="909"/>
        <v>0</v>
      </c>
      <c r="L314" s="39">
        <f t="shared" ca="1" si="910"/>
        <v>0</v>
      </c>
      <c r="M314" s="39">
        <f t="shared" ca="1" si="912"/>
        <v>0</v>
      </c>
      <c r="O314" s="38"/>
      <c r="EY314" s="53"/>
      <c r="EZ314" s="38"/>
      <c r="FD314" s="153"/>
      <c r="FE314" s="214"/>
      <c r="FF314" s="53"/>
      <c r="FS314" s="550">
        <v>25</v>
      </c>
      <c r="FT314" s="58">
        <v>1</v>
      </c>
      <c r="FU314" s="38">
        <v>1</v>
      </c>
      <c r="FV314" s="38">
        <f t="shared" ref="FV314:FV325" si="919">(1+$FY$2/2)^(FU314/6)</f>
        <v>1.0002498438930771</v>
      </c>
      <c r="FW314" s="39">
        <f t="shared" ref="FW314:FW319" si="920">$FW$312*FV314</f>
        <v>50.793134851183602</v>
      </c>
    </row>
    <row r="315" spans="2:179">
      <c r="B315" s="1048">
        <f t="shared" ca="1" si="911"/>
        <v>45652</v>
      </c>
      <c r="C315" s="153">
        <f t="shared" ca="1" si="901"/>
        <v>0</v>
      </c>
      <c r="D315" s="153">
        <f t="shared" ca="1" si="902"/>
        <v>0</v>
      </c>
      <c r="E315" s="153">
        <f t="shared" ca="1" si="903"/>
        <v>0</v>
      </c>
      <c r="F315" s="153">
        <f t="shared" ca="1" si="904"/>
        <v>0</v>
      </c>
      <c r="G315" s="153">
        <f t="shared" ca="1" si="905"/>
        <v>0</v>
      </c>
      <c r="H315" s="39">
        <f t="shared" ca="1" si="906"/>
        <v>0</v>
      </c>
      <c r="I315" s="39">
        <f t="shared" ca="1" si="907"/>
        <v>0</v>
      </c>
      <c r="J315" s="39">
        <f t="shared" ca="1" si="908"/>
        <v>0</v>
      </c>
      <c r="K315" s="39">
        <f t="shared" ca="1" si="909"/>
        <v>0</v>
      </c>
      <c r="L315" s="39">
        <f t="shared" ca="1" si="910"/>
        <v>0</v>
      </c>
      <c r="M315" s="39">
        <f t="shared" ca="1" si="912"/>
        <v>0</v>
      </c>
      <c r="O315" s="38"/>
      <c r="EY315" s="53"/>
      <c r="EZ315" s="38"/>
      <c r="FD315" s="153"/>
      <c r="FE315" s="214"/>
      <c r="FF315" s="53"/>
      <c r="FS315" s="550">
        <v>25</v>
      </c>
      <c r="FT315" s="58">
        <v>1</v>
      </c>
      <c r="FU315" s="38">
        <v>2</v>
      </c>
      <c r="FV315" s="38">
        <f t="shared" si="919"/>
        <v>1.0004997502081252</v>
      </c>
      <c r="FW315" s="39">
        <f t="shared" si="920"/>
        <v>50.805825205736419</v>
      </c>
    </row>
    <row r="316" spans="2:179">
      <c r="B316" s="1048">
        <f t="shared" ca="1" si="911"/>
        <v>45682</v>
      </c>
      <c r="C316" s="153">
        <f t="shared" ca="1" si="901"/>
        <v>0</v>
      </c>
      <c r="D316" s="153">
        <f t="shared" ca="1" si="902"/>
        <v>0</v>
      </c>
      <c r="E316" s="153">
        <f t="shared" ca="1" si="903"/>
        <v>0</v>
      </c>
      <c r="F316" s="153">
        <f t="shared" ca="1" si="904"/>
        <v>0</v>
      </c>
      <c r="G316" s="153">
        <f t="shared" ca="1" si="905"/>
        <v>0</v>
      </c>
      <c r="H316" s="39">
        <f t="shared" ca="1" si="906"/>
        <v>0</v>
      </c>
      <c r="I316" s="39">
        <f t="shared" ca="1" si="907"/>
        <v>0</v>
      </c>
      <c r="J316" s="39">
        <f t="shared" ca="1" si="908"/>
        <v>200</v>
      </c>
      <c r="K316" s="39">
        <f t="shared" ca="1" si="909"/>
        <v>0</v>
      </c>
      <c r="L316" s="39">
        <f t="shared" ca="1" si="910"/>
        <v>0</v>
      </c>
      <c r="M316" s="39">
        <f t="shared" ca="1" si="912"/>
        <v>200</v>
      </c>
      <c r="O316" s="38"/>
      <c r="EY316" s="53"/>
      <c r="EZ316" s="38"/>
      <c r="FD316" s="153"/>
      <c r="FE316" s="214"/>
      <c r="FF316" s="53"/>
      <c r="FS316" s="550">
        <v>25</v>
      </c>
      <c r="FT316" s="58">
        <v>1</v>
      </c>
      <c r="FU316" s="38">
        <v>3</v>
      </c>
      <c r="FV316" s="38">
        <f t="shared" si="919"/>
        <v>1.0007497189607399</v>
      </c>
      <c r="FW316" s="39">
        <f t="shared" si="920"/>
        <v>50.81851873089682</v>
      </c>
    </row>
    <row r="317" spans="2:179">
      <c r="B317" s="1048">
        <f t="shared" ca="1" si="911"/>
        <v>45712</v>
      </c>
      <c r="C317" s="153">
        <f t="shared" ca="1" si="901"/>
        <v>0</v>
      </c>
      <c r="D317" s="153">
        <f t="shared" ca="1" si="902"/>
        <v>0</v>
      </c>
      <c r="E317" s="153">
        <f t="shared" ca="1" si="903"/>
        <v>0</v>
      </c>
      <c r="F317" s="153">
        <f t="shared" ca="1" si="904"/>
        <v>0</v>
      </c>
      <c r="G317" s="153">
        <f t="shared" ca="1" si="905"/>
        <v>0</v>
      </c>
      <c r="H317" s="39">
        <f t="shared" ca="1" si="906"/>
        <v>0</v>
      </c>
      <c r="I317" s="39">
        <f t="shared" ca="1" si="907"/>
        <v>0</v>
      </c>
      <c r="J317" s="39">
        <f t="shared" ca="1" si="908"/>
        <v>0</v>
      </c>
      <c r="K317" s="39">
        <f t="shared" ca="1" si="909"/>
        <v>0</v>
      </c>
      <c r="L317" s="39">
        <f t="shared" ca="1" si="910"/>
        <v>0</v>
      </c>
      <c r="M317" s="39">
        <f t="shared" ca="1" si="912"/>
        <v>0</v>
      </c>
      <c r="O317" s="38"/>
      <c r="EY317" s="53"/>
      <c r="EZ317" s="38"/>
      <c r="FD317" s="153"/>
      <c r="FE317" s="214"/>
      <c r="FF317" s="53"/>
      <c r="FS317" s="550">
        <v>25</v>
      </c>
      <c r="FT317" s="58">
        <v>1</v>
      </c>
      <c r="FU317" s="38">
        <v>4</v>
      </c>
      <c r="FV317" s="38">
        <f t="shared" si="919"/>
        <v>1.0009997501665211</v>
      </c>
      <c r="FW317" s="39">
        <f t="shared" si="920"/>
        <v>50.831215427456968</v>
      </c>
    </row>
    <row r="318" spans="2:179">
      <c r="B318" s="1048">
        <f t="shared" ca="1" si="911"/>
        <v>45742</v>
      </c>
      <c r="C318" s="153">
        <f t="shared" ca="1" si="901"/>
        <v>0</v>
      </c>
      <c r="D318" s="153">
        <f t="shared" ca="1" si="902"/>
        <v>0</v>
      </c>
      <c r="E318" s="153">
        <f t="shared" ca="1" si="903"/>
        <v>0</v>
      </c>
      <c r="F318" s="153">
        <f t="shared" ca="1" si="904"/>
        <v>0</v>
      </c>
      <c r="G318" s="153">
        <f t="shared" ca="1" si="905"/>
        <v>0</v>
      </c>
      <c r="H318" s="39">
        <f t="shared" ca="1" si="906"/>
        <v>0</v>
      </c>
      <c r="I318" s="39">
        <f t="shared" ca="1" si="907"/>
        <v>0</v>
      </c>
      <c r="J318" s="39">
        <f t="shared" ca="1" si="908"/>
        <v>0</v>
      </c>
      <c r="K318" s="39">
        <f t="shared" ca="1" si="909"/>
        <v>0</v>
      </c>
      <c r="L318" s="39">
        <f t="shared" ca="1" si="910"/>
        <v>0</v>
      </c>
      <c r="M318" s="39">
        <f t="shared" ca="1" si="912"/>
        <v>0</v>
      </c>
      <c r="O318" s="38"/>
      <c r="EY318" s="53"/>
      <c r="EZ318" s="38"/>
      <c r="FD318" s="153"/>
      <c r="FE318" s="214"/>
      <c r="FF318" s="53"/>
      <c r="FS318" s="550">
        <v>25</v>
      </c>
      <c r="FT318" s="58">
        <v>1</v>
      </c>
      <c r="FU318" s="38">
        <v>5</v>
      </c>
      <c r="FV318" s="38">
        <f t="shared" si="919"/>
        <v>1.001249843841072</v>
      </c>
      <c r="FW318" s="39">
        <f t="shared" si="920"/>
        <v>50.843915296209204</v>
      </c>
    </row>
    <row r="319" spans="2:179">
      <c r="B319" s="1048">
        <f t="shared" ca="1" si="911"/>
        <v>45772</v>
      </c>
      <c r="C319" s="153">
        <f t="shared" ca="1" si="901"/>
        <v>0</v>
      </c>
      <c r="D319" s="153">
        <f t="shared" ca="1" si="902"/>
        <v>0</v>
      </c>
      <c r="E319" s="153">
        <f t="shared" ca="1" si="903"/>
        <v>0</v>
      </c>
      <c r="F319" s="153">
        <f t="shared" ca="1" si="904"/>
        <v>0</v>
      </c>
      <c r="G319" s="153">
        <f t="shared" ca="1" si="905"/>
        <v>0</v>
      </c>
      <c r="H319" s="39">
        <f t="shared" ca="1" si="906"/>
        <v>0</v>
      </c>
      <c r="I319" s="39">
        <f t="shared" ca="1" si="907"/>
        <v>0</v>
      </c>
      <c r="J319" s="39">
        <f t="shared" ca="1" si="908"/>
        <v>0</v>
      </c>
      <c r="K319" s="39">
        <f t="shared" ca="1" si="909"/>
        <v>0</v>
      </c>
      <c r="L319" s="39">
        <f t="shared" ca="1" si="910"/>
        <v>0</v>
      </c>
      <c r="M319" s="39">
        <f t="shared" ca="1" si="912"/>
        <v>0</v>
      </c>
      <c r="O319" s="38"/>
      <c r="EY319" s="53"/>
      <c r="EZ319" s="38"/>
      <c r="FD319" s="153"/>
      <c r="FE319" s="214"/>
      <c r="FF319" s="53"/>
      <c r="FS319" s="550">
        <v>25</v>
      </c>
      <c r="FT319" s="58">
        <v>1</v>
      </c>
      <c r="FU319" s="38">
        <v>6</v>
      </c>
      <c r="FV319" s="38">
        <f t="shared" si="919"/>
        <v>1.0015000000000001</v>
      </c>
      <c r="FW319" s="39">
        <f t="shared" si="920"/>
        <v>50.856618337946095</v>
      </c>
    </row>
    <row r="320" spans="2:179">
      <c r="B320" s="1048">
        <f t="shared" ca="1" si="911"/>
        <v>45802</v>
      </c>
      <c r="C320" s="153">
        <f t="shared" ca="1" si="901"/>
        <v>0</v>
      </c>
      <c r="D320" s="153">
        <f t="shared" ca="1" si="902"/>
        <v>0</v>
      </c>
      <c r="E320" s="153">
        <f t="shared" ca="1" si="903"/>
        <v>0</v>
      </c>
      <c r="F320" s="153">
        <f t="shared" ca="1" si="904"/>
        <v>0</v>
      </c>
      <c r="G320" s="153">
        <f t="shared" ca="1" si="905"/>
        <v>0</v>
      </c>
      <c r="H320" s="39">
        <f t="shared" ca="1" si="906"/>
        <v>0</v>
      </c>
      <c r="I320" s="39">
        <f t="shared" ca="1" si="907"/>
        <v>0</v>
      </c>
      <c r="J320" s="39">
        <f t="shared" ca="1" si="908"/>
        <v>0</v>
      </c>
      <c r="K320" s="39">
        <f t="shared" ca="1" si="909"/>
        <v>0</v>
      </c>
      <c r="L320" s="39">
        <f t="shared" ca="1" si="910"/>
        <v>0</v>
      </c>
      <c r="M320" s="39">
        <f t="shared" ca="1" si="912"/>
        <v>0</v>
      </c>
      <c r="O320" s="38"/>
      <c r="EY320" s="53"/>
      <c r="EZ320" s="38"/>
      <c r="FD320" s="153"/>
      <c r="FE320" s="214"/>
      <c r="FF320" s="53"/>
      <c r="FS320" s="550">
        <v>25</v>
      </c>
      <c r="FT320" s="58">
        <v>2</v>
      </c>
      <c r="FU320" s="38">
        <v>1</v>
      </c>
      <c r="FV320" s="38">
        <f t="shared" si="919"/>
        <v>1.0002498438930771</v>
      </c>
      <c r="FW320" s="39">
        <f t="shared" ref="FW320:FW325" si="921">$FW$319*FV320</f>
        <v>50.869324553460388</v>
      </c>
    </row>
    <row r="321" spans="2:180">
      <c r="B321" s="1048">
        <f t="shared" ca="1" si="911"/>
        <v>45832</v>
      </c>
      <c r="C321" s="153">
        <f t="shared" ca="1" si="901"/>
        <v>0</v>
      </c>
      <c r="D321" s="153">
        <f t="shared" ca="1" si="902"/>
        <v>0</v>
      </c>
      <c r="E321" s="153">
        <f t="shared" ca="1" si="903"/>
        <v>0</v>
      </c>
      <c r="F321" s="153">
        <f t="shared" ca="1" si="904"/>
        <v>0</v>
      </c>
      <c r="G321" s="153">
        <f t="shared" ca="1" si="905"/>
        <v>0</v>
      </c>
      <c r="H321" s="39">
        <f t="shared" ca="1" si="906"/>
        <v>0</v>
      </c>
      <c r="I321" s="39">
        <f t="shared" ca="1" si="907"/>
        <v>0</v>
      </c>
      <c r="J321" s="39">
        <f t="shared" ca="1" si="908"/>
        <v>0</v>
      </c>
      <c r="K321" s="39">
        <f t="shared" ca="1" si="909"/>
        <v>0</v>
      </c>
      <c r="L321" s="39">
        <f t="shared" ca="1" si="910"/>
        <v>0</v>
      </c>
      <c r="M321" s="39">
        <f t="shared" ca="1" si="912"/>
        <v>0</v>
      </c>
      <c r="O321" s="38"/>
      <c r="EY321" s="53"/>
      <c r="EZ321" s="38"/>
      <c r="FD321" s="153"/>
      <c r="FE321" s="214"/>
      <c r="FF321" s="53"/>
      <c r="FS321" s="550">
        <v>25</v>
      </c>
      <c r="FT321" s="58">
        <v>2</v>
      </c>
      <c r="FU321" s="38">
        <v>2</v>
      </c>
      <c r="FV321" s="38">
        <f t="shared" si="919"/>
        <v>1.0004997502081252</v>
      </c>
      <c r="FW321" s="39">
        <f t="shared" si="921"/>
        <v>50.882033943545025</v>
      </c>
    </row>
    <row r="322" spans="2:180">
      <c r="B322" s="1048">
        <f t="shared" ca="1" si="911"/>
        <v>45862</v>
      </c>
      <c r="C322" s="153">
        <f t="shared" ca="1" si="901"/>
        <v>0</v>
      </c>
      <c r="D322" s="153">
        <f t="shared" ca="1" si="902"/>
        <v>0</v>
      </c>
      <c r="E322" s="153">
        <f t="shared" ca="1" si="903"/>
        <v>0</v>
      </c>
      <c r="F322" s="153">
        <f t="shared" ca="1" si="904"/>
        <v>0</v>
      </c>
      <c r="G322" s="153">
        <f t="shared" ca="1" si="905"/>
        <v>0</v>
      </c>
      <c r="H322" s="39">
        <f t="shared" ca="1" si="906"/>
        <v>0</v>
      </c>
      <c r="I322" s="39">
        <f t="shared" ca="1" si="907"/>
        <v>0</v>
      </c>
      <c r="J322" s="39">
        <f t="shared" ca="1" si="908"/>
        <v>300</v>
      </c>
      <c r="K322" s="39">
        <f t="shared" ca="1" si="909"/>
        <v>0</v>
      </c>
      <c r="L322" s="39">
        <f t="shared" ca="1" si="910"/>
        <v>0</v>
      </c>
      <c r="M322" s="39">
        <f t="shared" ca="1" si="912"/>
        <v>300</v>
      </c>
      <c r="O322" s="38"/>
      <c r="EY322" s="53"/>
      <c r="EZ322" s="38"/>
      <c r="FD322" s="153"/>
      <c r="FE322" s="214"/>
      <c r="FF322" s="53"/>
      <c r="FS322" s="550">
        <v>25</v>
      </c>
      <c r="FT322" s="58">
        <v>2</v>
      </c>
      <c r="FU322" s="38">
        <v>3</v>
      </c>
      <c r="FV322" s="38">
        <f t="shared" si="919"/>
        <v>1.0007497189607399</v>
      </c>
      <c r="FW322" s="39">
        <f t="shared" si="921"/>
        <v>50.894746508993165</v>
      </c>
    </row>
    <row r="323" spans="2:180">
      <c r="B323" s="1048">
        <f t="shared" ca="1" si="911"/>
        <v>45892</v>
      </c>
      <c r="C323" s="153">
        <f t="shared" ca="1" si="901"/>
        <v>0</v>
      </c>
      <c r="D323" s="153">
        <f t="shared" ca="1" si="902"/>
        <v>0</v>
      </c>
      <c r="E323" s="153">
        <f t="shared" ca="1" si="903"/>
        <v>0</v>
      </c>
      <c r="F323" s="153">
        <f t="shared" ca="1" si="904"/>
        <v>0</v>
      </c>
      <c r="G323" s="153">
        <f t="shared" ca="1" si="905"/>
        <v>0</v>
      </c>
      <c r="H323" s="39">
        <f t="shared" ca="1" si="906"/>
        <v>0</v>
      </c>
      <c r="I323" s="39">
        <f t="shared" ca="1" si="907"/>
        <v>0</v>
      </c>
      <c r="J323" s="39">
        <f t="shared" ca="1" si="908"/>
        <v>0</v>
      </c>
      <c r="K323" s="39">
        <f t="shared" ca="1" si="909"/>
        <v>0</v>
      </c>
      <c r="L323" s="39">
        <f t="shared" ca="1" si="910"/>
        <v>0</v>
      </c>
      <c r="M323" s="39">
        <f t="shared" ca="1" si="912"/>
        <v>0</v>
      </c>
      <c r="O323" s="38"/>
      <c r="EY323" s="53"/>
      <c r="EZ323" s="38"/>
      <c r="FD323" s="153"/>
      <c r="FE323" s="214"/>
      <c r="FF323" s="53"/>
      <c r="FS323" s="550">
        <v>25</v>
      </c>
      <c r="FT323" s="58">
        <v>2</v>
      </c>
      <c r="FU323" s="38">
        <v>4</v>
      </c>
      <c r="FV323" s="38">
        <f t="shared" si="919"/>
        <v>1.0009997501665211</v>
      </c>
      <c r="FW323" s="39">
        <f t="shared" si="921"/>
        <v>50.907462250598158</v>
      </c>
    </row>
    <row r="324" spans="2:180">
      <c r="B324" s="1048">
        <f t="shared" ca="1" si="911"/>
        <v>45922</v>
      </c>
      <c r="C324" s="153">
        <f t="shared" ca="1" si="901"/>
        <v>0</v>
      </c>
      <c r="D324" s="153">
        <f t="shared" ca="1" si="902"/>
        <v>0</v>
      </c>
      <c r="E324" s="153">
        <f t="shared" ca="1" si="903"/>
        <v>0</v>
      </c>
      <c r="F324" s="153">
        <f t="shared" ca="1" si="904"/>
        <v>0</v>
      </c>
      <c r="G324" s="153">
        <f t="shared" ca="1" si="905"/>
        <v>0</v>
      </c>
      <c r="H324" s="39">
        <f t="shared" ca="1" si="906"/>
        <v>0</v>
      </c>
      <c r="I324" s="39">
        <f t="shared" ca="1" si="907"/>
        <v>0</v>
      </c>
      <c r="J324" s="39">
        <f t="shared" ca="1" si="908"/>
        <v>0</v>
      </c>
      <c r="K324" s="39">
        <f t="shared" ca="1" si="909"/>
        <v>0</v>
      </c>
      <c r="L324" s="39">
        <f t="shared" ca="1" si="910"/>
        <v>0</v>
      </c>
      <c r="M324" s="39">
        <f t="shared" ca="1" si="912"/>
        <v>0</v>
      </c>
      <c r="O324" s="38"/>
      <c r="EY324" s="53"/>
      <c r="EZ324" s="38"/>
      <c r="FD324" s="153"/>
      <c r="FE324" s="214"/>
      <c r="FF324" s="53"/>
      <c r="FS324" s="550">
        <v>25</v>
      </c>
      <c r="FT324" s="58">
        <v>2</v>
      </c>
      <c r="FU324" s="38">
        <v>5</v>
      </c>
      <c r="FV324" s="38">
        <f t="shared" si="919"/>
        <v>1.001249843841072</v>
      </c>
      <c r="FW324" s="39">
        <f t="shared" si="921"/>
        <v>50.920181169153523</v>
      </c>
    </row>
    <row r="325" spans="2:180">
      <c r="B325" s="1048">
        <f t="shared" ca="1" si="911"/>
        <v>45952</v>
      </c>
      <c r="C325" s="153">
        <f t="shared" ca="1" si="901"/>
        <v>0</v>
      </c>
      <c r="D325" s="153">
        <f t="shared" ca="1" si="902"/>
        <v>0</v>
      </c>
      <c r="E325" s="153">
        <f t="shared" ca="1" si="903"/>
        <v>0</v>
      </c>
      <c r="F325" s="153">
        <f t="shared" ca="1" si="904"/>
        <v>0</v>
      </c>
      <c r="G325" s="153">
        <f t="shared" ca="1" si="905"/>
        <v>0</v>
      </c>
      <c r="H325" s="39">
        <f t="shared" ca="1" si="906"/>
        <v>0</v>
      </c>
      <c r="I325" s="39">
        <f t="shared" ca="1" si="907"/>
        <v>0</v>
      </c>
      <c r="J325" s="39">
        <f t="shared" ca="1" si="908"/>
        <v>0</v>
      </c>
      <c r="K325" s="39">
        <f t="shared" ca="1" si="909"/>
        <v>0</v>
      </c>
      <c r="L325" s="39">
        <f t="shared" ca="1" si="910"/>
        <v>0</v>
      </c>
      <c r="M325" s="39">
        <f t="shared" ca="1" si="912"/>
        <v>0</v>
      </c>
      <c r="O325" s="38"/>
      <c r="EY325" s="53"/>
      <c r="EZ325" s="38"/>
      <c r="FD325" s="153"/>
      <c r="FE325" s="214"/>
      <c r="FF325" s="53"/>
      <c r="FS325" s="550">
        <v>25</v>
      </c>
      <c r="FT325" s="58">
        <v>2</v>
      </c>
      <c r="FU325" s="38">
        <v>6</v>
      </c>
      <c r="FV325" s="38">
        <f t="shared" si="919"/>
        <v>1.0015000000000001</v>
      </c>
      <c r="FW325" s="39">
        <f t="shared" si="921"/>
        <v>50.932903265453014</v>
      </c>
      <c r="FX325" s="153"/>
    </row>
    <row r="326" spans="2:180">
      <c r="B326" s="1048">
        <f t="shared" ca="1" si="911"/>
        <v>45982</v>
      </c>
      <c r="C326" s="153">
        <f t="shared" ca="1" si="901"/>
        <v>0</v>
      </c>
      <c r="D326" s="153">
        <f t="shared" ca="1" si="902"/>
        <v>0</v>
      </c>
      <c r="E326" s="153">
        <f t="shared" ca="1" si="903"/>
        <v>0</v>
      </c>
      <c r="F326" s="153">
        <f t="shared" ca="1" si="904"/>
        <v>0</v>
      </c>
      <c r="G326" s="153">
        <f t="shared" ca="1" si="905"/>
        <v>0</v>
      </c>
      <c r="H326" s="39">
        <f t="shared" ca="1" si="906"/>
        <v>0</v>
      </c>
      <c r="I326" s="39">
        <f t="shared" ca="1" si="907"/>
        <v>0</v>
      </c>
      <c r="J326" s="39">
        <f t="shared" ca="1" si="908"/>
        <v>0</v>
      </c>
      <c r="K326" s="39">
        <f t="shared" ca="1" si="909"/>
        <v>0</v>
      </c>
      <c r="L326" s="39">
        <f t="shared" ca="1" si="910"/>
        <v>0</v>
      </c>
      <c r="M326" s="39">
        <f t="shared" ca="1" si="912"/>
        <v>0</v>
      </c>
      <c r="O326" s="38"/>
      <c r="EY326" s="53"/>
      <c r="EZ326" s="38"/>
      <c r="FD326" s="153"/>
      <c r="FE326" s="214"/>
      <c r="FF326" s="53"/>
    </row>
    <row r="327" spans="2:180">
      <c r="B327" s="1048">
        <f t="shared" ca="1" si="911"/>
        <v>46012</v>
      </c>
      <c r="C327" s="153">
        <f t="shared" ca="1" si="901"/>
        <v>0</v>
      </c>
      <c r="D327" s="153">
        <f t="shared" ca="1" si="902"/>
        <v>0</v>
      </c>
      <c r="E327" s="153">
        <f t="shared" ca="1" si="903"/>
        <v>0</v>
      </c>
      <c r="F327" s="153">
        <f t="shared" ca="1" si="904"/>
        <v>0</v>
      </c>
      <c r="G327" s="153">
        <f t="shared" ca="1" si="905"/>
        <v>0</v>
      </c>
      <c r="H327" s="39">
        <f t="shared" ca="1" si="906"/>
        <v>0</v>
      </c>
      <c r="I327" s="39">
        <f t="shared" ca="1" si="907"/>
        <v>0</v>
      </c>
      <c r="J327" s="39">
        <f t="shared" ca="1" si="908"/>
        <v>0</v>
      </c>
      <c r="K327" s="39">
        <f t="shared" ca="1" si="909"/>
        <v>0</v>
      </c>
      <c r="L327" s="39">
        <f t="shared" ca="1" si="910"/>
        <v>0</v>
      </c>
      <c r="M327" s="39">
        <f t="shared" ca="1" si="912"/>
        <v>0</v>
      </c>
      <c r="O327" s="38"/>
      <c r="EY327" s="53"/>
      <c r="EZ327" s="38"/>
      <c r="FD327" s="153"/>
      <c r="FE327" s="214"/>
      <c r="FF327" s="53"/>
      <c r="FS327" s="550">
        <v>26</v>
      </c>
      <c r="FT327" s="58">
        <v>1</v>
      </c>
      <c r="FU327" s="38">
        <v>1</v>
      </c>
      <c r="FV327" s="38">
        <f t="shared" ref="FV327:FV338" si="922">(1+$FY$2/2)^(FU327/6)</f>
        <v>1.0002498438930771</v>
      </c>
      <c r="FW327" s="39">
        <f t="shared" ref="FW327:FW332" si="923">$FW$325*FV327</f>
        <v>50.945628540290578</v>
      </c>
    </row>
    <row r="328" spans="2:180">
      <c r="B328" s="1048">
        <f t="shared" ca="1" si="911"/>
        <v>46042</v>
      </c>
      <c r="C328" s="153">
        <f t="shared" ca="1" si="901"/>
        <v>0</v>
      </c>
      <c r="D328" s="153">
        <f t="shared" ca="1" si="902"/>
        <v>0</v>
      </c>
      <c r="E328" s="153">
        <f t="shared" ca="1" si="903"/>
        <v>0</v>
      </c>
      <c r="F328" s="153">
        <f t="shared" ca="1" si="904"/>
        <v>0</v>
      </c>
      <c r="G328" s="153">
        <f t="shared" ca="1" si="905"/>
        <v>0</v>
      </c>
      <c r="H328" s="39">
        <f t="shared" ca="1" si="906"/>
        <v>0</v>
      </c>
      <c r="I328" s="39">
        <f t="shared" ca="1" si="907"/>
        <v>0</v>
      </c>
      <c r="J328" s="39">
        <f t="shared" ca="1" si="908"/>
        <v>300</v>
      </c>
      <c r="K328" s="39">
        <f t="shared" ca="1" si="909"/>
        <v>0</v>
      </c>
      <c r="L328" s="39">
        <f t="shared" ca="1" si="910"/>
        <v>0</v>
      </c>
      <c r="M328" s="39">
        <f t="shared" ca="1" si="912"/>
        <v>300</v>
      </c>
      <c r="O328" s="38"/>
      <c r="EY328" s="53"/>
      <c r="EZ328" s="38"/>
      <c r="FD328" s="153"/>
      <c r="FE328" s="214"/>
      <c r="FF328" s="53"/>
      <c r="FS328" s="550">
        <v>26</v>
      </c>
      <c r="FT328" s="58">
        <v>1</v>
      </c>
      <c r="FU328" s="38">
        <v>2</v>
      </c>
      <c r="FV328" s="38">
        <f t="shared" si="922"/>
        <v>1.0004997502081252</v>
      </c>
      <c r="FW328" s="39">
        <f t="shared" si="923"/>
        <v>50.958356994460345</v>
      </c>
    </row>
    <row r="329" spans="2:180">
      <c r="B329" s="1048">
        <f t="shared" ca="1" si="911"/>
        <v>46072</v>
      </c>
      <c r="C329" s="153">
        <f t="shared" ca="1" si="901"/>
        <v>0</v>
      </c>
      <c r="D329" s="153">
        <f t="shared" ca="1" si="902"/>
        <v>0</v>
      </c>
      <c r="E329" s="153">
        <f t="shared" ca="1" si="903"/>
        <v>0</v>
      </c>
      <c r="F329" s="153">
        <f t="shared" ca="1" si="904"/>
        <v>0</v>
      </c>
      <c r="G329" s="153">
        <f t="shared" ca="1" si="905"/>
        <v>0</v>
      </c>
      <c r="H329" s="39">
        <f t="shared" ca="1" si="906"/>
        <v>0</v>
      </c>
      <c r="I329" s="39">
        <f t="shared" ca="1" si="907"/>
        <v>0</v>
      </c>
      <c r="J329" s="39">
        <f t="shared" ca="1" si="908"/>
        <v>0</v>
      </c>
      <c r="K329" s="39">
        <f t="shared" ca="1" si="909"/>
        <v>0</v>
      </c>
      <c r="L329" s="39">
        <f t="shared" ca="1" si="910"/>
        <v>0</v>
      </c>
      <c r="M329" s="39">
        <f t="shared" ca="1" si="912"/>
        <v>0</v>
      </c>
      <c r="O329" s="38"/>
      <c r="EY329" s="53"/>
      <c r="EZ329" s="38"/>
      <c r="FD329" s="153"/>
      <c r="FE329" s="214"/>
      <c r="FF329" s="53"/>
      <c r="FS329" s="550">
        <v>26</v>
      </c>
      <c r="FT329" s="58">
        <v>1</v>
      </c>
      <c r="FU329" s="38">
        <v>3</v>
      </c>
      <c r="FV329" s="38">
        <f t="shared" si="922"/>
        <v>1.0007497189607399</v>
      </c>
      <c r="FW329" s="39">
        <f t="shared" si="923"/>
        <v>50.971088628756654</v>
      </c>
    </row>
    <row r="330" spans="2:180">
      <c r="B330" s="1048">
        <f t="shared" ca="1" si="911"/>
        <v>46102</v>
      </c>
      <c r="C330" s="153">
        <f t="shared" ca="1" si="901"/>
        <v>0</v>
      </c>
      <c r="D330" s="153">
        <f t="shared" ca="1" si="902"/>
        <v>0</v>
      </c>
      <c r="E330" s="153">
        <f t="shared" ca="1" si="903"/>
        <v>0</v>
      </c>
      <c r="F330" s="153">
        <f t="shared" ca="1" si="904"/>
        <v>0</v>
      </c>
      <c r="G330" s="153">
        <f t="shared" ca="1" si="905"/>
        <v>0</v>
      </c>
      <c r="H330" s="39">
        <f t="shared" ca="1" si="906"/>
        <v>0</v>
      </c>
      <c r="I330" s="39">
        <f t="shared" ca="1" si="907"/>
        <v>0</v>
      </c>
      <c r="J330" s="39">
        <f t="shared" ca="1" si="908"/>
        <v>0</v>
      </c>
      <c r="K330" s="39">
        <f t="shared" ca="1" si="909"/>
        <v>0</v>
      </c>
      <c r="L330" s="39">
        <f t="shared" ca="1" si="910"/>
        <v>0</v>
      </c>
      <c r="M330" s="39">
        <f t="shared" ca="1" si="912"/>
        <v>0</v>
      </c>
      <c r="O330" s="38"/>
      <c r="EY330" s="53"/>
      <c r="EZ330" s="38"/>
      <c r="FD330" s="153"/>
      <c r="FE330" s="214"/>
      <c r="FF330" s="53"/>
      <c r="FS330" s="550">
        <v>26</v>
      </c>
      <c r="FT330" s="58">
        <v>1</v>
      </c>
      <c r="FU330" s="38">
        <v>4</v>
      </c>
      <c r="FV330" s="38">
        <f t="shared" si="922"/>
        <v>1.0009997501665211</v>
      </c>
      <c r="FW330" s="39">
        <f t="shared" si="923"/>
        <v>50.983823443974053</v>
      </c>
    </row>
    <row r="331" spans="2:180">
      <c r="B331" s="1048">
        <f t="shared" ca="1" si="911"/>
        <v>46132</v>
      </c>
      <c r="C331" s="153">
        <f t="shared" ca="1" si="901"/>
        <v>0</v>
      </c>
      <c r="D331" s="153">
        <f t="shared" ca="1" si="902"/>
        <v>0</v>
      </c>
      <c r="E331" s="153">
        <f t="shared" ca="1" si="903"/>
        <v>0</v>
      </c>
      <c r="F331" s="153">
        <f t="shared" ca="1" si="904"/>
        <v>0</v>
      </c>
      <c r="G331" s="153">
        <f t="shared" ca="1" si="905"/>
        <v>0</v>
      </c>
      <c r="H331" s="39">
        <f t="shared" ca="1" si="906"/>
        <v>0</v>
      </c>
      <c r="I331" s="39">
        <f t="shared" ca="1" si="907"/>
        <v>0</v>
      </c>
      <c r="J331" s="39">
        <f t="shared" ca="1" si="908"/>
        <v>0</v>
      </c>
      <c r="K331" s="39">
        <f t="shared" ca="1" si="909"/>
        <v>0</v>
      </c>
      <c r="L331" s="39">
        <f t="shared" ca="1" si="910"/>
        <v>0</v>
      </c>
      <c r="M331" s="39">
        <f t="shared" ca="1" si="912"/>
        <v>0</v>
      </c>
      <c r="O331" s="38"/>
      <c r="EY331" s="53"/>
      <c r="EZ331" s="38"/>
      <c r="FD331" s="153"/>
      <c r="FE331" s="214"/>
      <c r="FF331" s="53"/>
      <c r="FS331" s="550">
        <v>26</v>
      </c>
      <c r="FT331" s="58">
        <v>1</v>
      </c>
      <c r="FU331" s="38">
        <v>5</v>
      </c>
      <c r="FV331" s="38">
        <f t="shared" si="922"/>
        <v>1.001249843841072</v>
      </c>
      <c r="FW331" s="39">
        <f t="shared" si="923"/>
        <v>50.996561440907257</v>
      </c>
    </row>
    <row r="332" spans="2:180">
      <c r="B332" s="1048">
        <f t="shared" ca="1" si="911"/>
        <v>46162</v>
      </c>
      <c r="C332" s="153">
        <f t="shared" ca="1" si="901"/>
        <v>0</v>
      </c>
      <c r="D332" s="153">
        <f t="shared" ca="1" si="902"/>
        <v>0</v>
      </c>
      <c r="E332" s="153">
        <f t="shared" ca="1" si="903"/>
        <v>0</v>
      </c>
      <c r="F332" s="153">
        <f t="shared" ca="1" si="904"/>
        <v>0</v>
      </c>
      <c r="G332" s="153">
        <f t="shared" ca="1" si="905"/>
        <v>0</v>
      </c>
      <c r="H332" s="39">
        <f t="shared" ca="1" si="906"/>
        <v>0</v>
      </c>
      <c r="I332" s="39">
        <f t="shared" ca="1" si="907"/>
        <v>0</v>
      </c>
      <c r="J332" s="39">
        <f t="shared" ca="1" si="908"/>
        <v>0</v>
      </c>
      <c r="K332" s="39">
        <f t="shared" ca="1" si="909"/>
        <v>0</v>
      </c>
      <c r="L332" s="39">
        <f t="shared" ca="1" si="910"/>
        <v>0</v>
      </c>
      <c r="M332" s="39">
        <f t="shared" ca="1" si="912"/>
        <v>0</v>
      </c>
      <c r="O332" s="38"/>
      <c r="EY332" s="53"/>
      <c r="EZ332" s="38"/>
      <c r="FD332" s="153"/>
      <c r="FE332" s="214"/>
      <c r="FF332" s="53"/>
      <c r="FS332" s="550">
        <v>26</v>
      </c>
      <c r="FT332" s="58">
        <v>1</v>
      </c>
      <c r="FU332" s="38">
        <v>6</v>
      </c>
      <c r="FV332" s="38">
        <f t="shared" si="922"/>
        <v>1.0015000000000001</v>
      </c>
      <c r="FW332" s="39">
        <f t="shared" si="923"/>
        <v>51.0093026203512</v>
      </c>
    </row>
    <row r="333" spans="2:180">
      <c r="B333" s="1048">
        <f t="shared" ca="1" si="911"/>
        <v>46192</v>
      </c>
      <c r="C333" s="153">
        <f t="shared" ca="1" si="901"/>
        <v>0</v>
      </c>
      <c r="D333" s="153">
        <f t="shared" ca="1" si="902"/>
        <v>0</v>
      </c>
      <c r="E333" s="153">
        <f t="shared" ca="1" si="903"/>
        <v>0</v>
      </c>
      <c r="F333" s="153">
        <f t="shared" ca="1" si="904"/>
        <v>0</v>
      </c>
      <c r="G333" s="153">
        <f t="shared" ca="1" si="905"/>
        <v>0</v>
      </c>
      <c r="H333" s="39">
        <f t="shared" ca="1" si="906"/>
        <v>0</v>
      </c>
      <c r="I333" s="39">
        <f t="shared" ca="1" si="907"/>
        <v>0</v>
      </c>
      <c r="J333" s="39">
        <f t="shared" ca="1" si="908"/>
        <v>0</v>
      </c>
      <c r="K333" s="39">
        <f t="shared" ca="1" si="909"/>
        <v>0</v>
      </c>
      <c r="L333" s="39">
        <f t="shared" ca="1" si="910"/>
        <v>0</v>
      </c>
      <c r="M333" s="39">
        <f t="shared" ca="1" si="912"/>
        <v>0</v>
      </c>
      <c r="O333" s="38"/>
      <c r="EY333" s="53"/>
      <c r="EZ333" s="38"/>
      <c r="FD333" s="153"/>
      <c r="FE333" s="214"/>
      <c r="FF333" s="53"/>
      <c r="FS333" s="550">
        <v>26</v>
      </c>
      <c r="FT333" s="58">
        <v>2</v>
      </c>
      <c r="FU333" s="38">
        <v>1</v>
      </c>
      <c r="FV333" s="38">
        <f t="shared" si="922"/>
        <v>1.0002498438930771</v>
      </c>
      <c r="FW333" s="39">
        <f t="shared" ref="FW333:FW338" si="924">$FW$332*FV333</f>
        <v>51.022046983101021</v>
      </c>
    </row>
    <row r="334" spans="2:180">
      <c r="B334" s="1048">
        <f t="shared" ca="1" si="911"/>
        <v>46222</v>
      </c>
      <c r="C334" s="153">
        <f t="shared" ca="1" si="901"/>
        <v>0</v>
      </c>
      <c r="D334" s="153">
        <f t="shared" ca="1" si="902"/>
        <v>0</v>
      </c>
      <c r="E334" s="153">
        <f t="shared" ca="1" si="903"/>
        <v>0</v>
      </c>
      <c r="F334" s="153">
        <f t="shared" ca="1" si="904"/>
        <v>0</v>
      </c>
      <c r="G334" s="153">
        <f t="shared" ca="1" si="905"/>
        <v>0</v>
      </c>
      <c r="H334" s="39">
        <f t="shared" ca="1" si="906"/>
        <v>0</v>
      </c>
      <c r="I334" s="39">
        <f t="shared" ca="1" si="907"/>
        <v>0</v>
      </c>
      <c r="J334" s="39">
        <f t="shared" ca="1" si="908"/>
        <v>300</v>
      </c>
      <c r="K334" s="39">
        <f t="shared" ca="1" si="909"/>
        <v>0</v>
      </c>
      <c r="L334" s="39">
        <f t="shared" ca="1" si="910"/>
        <v>0</v>
      </c>
      <c r="M334" s="39">
        <f t="shared" ca="1" si="912"/>
        <v>300</v>
      </c>
      <c r="O334" s="38"/>
      <c r="EY334" s="53"/>
      <c r="EZ334" s="38"/>
      <c r="FD334" s="153"/>
      <c r="FE334" s="214"/>
      <c r="FF334" s="53"/>
      <c r="FS334" s="550">
        <v>26</v>
      </c>
      <c r="FT334" s="58">
        <v>2</v>
      </c>
      <c r="FU334" s="38">
        <v>2</v>
      </c>
      <c r="FV334" s="38">
        <f t="shared" si="922"/>
        <v>1.0004997502081252</v>
      </c>
      <c r="FW334" s="39">
        <f t="shared" si="924"/>
        <v>51.034794529952045</v>
      </c>
    </row>
    <row r="335" spans="2:180">
      <c r="B335" s="1048">
        <f t="shared" ca="1" si="911"/>
        <v>46252</v>
      </c>
      <c r="C335" s="153">
        <f t="shared" ca="1" si="901"/>
        <v>0</v>
      </c>
      <c r="D335" s="153">
        <f t="shared" ca="1" si="902"/>
        <v>0</v>
      </c>
      <c r="E335" s="153">
        <f t="shared" ca="1" si="903"/>
        <v>0</v>
      </c>
      <c r="F335" s="153">
        <f t="shared" ca="1" si="904"/>
        <v>0</v>
      </c>
      <c r="G335" s="153">
        <f t="shared" ca="1" si="905"/>
        <v>0</v>
      </c>
      <c r="H335" s="39">
        <f t="shared" ca="1" si="906"/>
        <v>0</v>
      </c>
      <c r="I335" s="39">
        <f t="shared" ca="1" si="907"/>
        <v>0</v>
      </c>
      <c r="J335" s="39">
        <f t="shared" ca="1" si="908"/>
        <v>0</v>
      </c>
      <c r="K335" s="39">
        <f t="shared" ca="1" si="909"/>
        <v>0</v>
      </c>
      <c r="L335" s="39">
        <f t="shared" ca="1" si="910"/>
        <v>0</v>
      </c>
      <c r="M335" s="39">
        <f t="shared" ca="1" si="912"/>
        <v>0</v>
      </c>
      <c r="O335" s="38"/>
      <c r="EY335" s="53"/>
      <c r="EZ335" s="38"/>
      <c r="FD335" s="153"/>
      <c r="FE335" s="214"/>
      <c r="FF335" s="53"/>
      <c r="FS335" s="550">
        <v>26</v>
      </c>
      <c r="FT335" s="58">
        <v>2</v>
      </c>
      <c r="FU335" s="38">
        <v>3</v>
      </c>
      <c r="FV335" s="38">
        <f t="shared" si="922"/>
        <v>1.0007497189607399</v>
      </c>
      <c r="FW335" s="39">
        <f t="shared" si="924"/>
        <v>51.047545261699796</v>
      </c>
    </row>
    <row r="336" spans="2:180">
      <c r="B336" s="1048">
        <f t="shared" ca="1" si="911"/>
        <v>46282</v>
      </c>
      <c r="C336" s="153">
        <f t="shared" ca="1" si="901"/>
        <v>0</v>
      </c>
      <c r="D336" s="153">
        <f t="shared" ca="1" si="902"/>
        <v>0</v>
      </c>
      <c r="E336" s="153">
        <f t="shared" ca="1" si="903"/>
        <v>0</v>
      </c>
      <c r="F336" s="153">
        <f t="shared" ca="1" si="904"/>
        <v>0</v>
      </c>
      <c r="G336" s="153">
        <f t="shared" ca="1" si="905"/>
        <v>0</v>
      </c>
      <c r="H336" s="39">
        <f t="shared" ca="1" si="906"/>
        <v>0</v>
      </c>
      <c r="I336" s="39">
        <f t="shared" ca="1" si="907"/>
        <v>0</v>
      </c>
      <c r="J336" s="39">
        <f t="shared" ca="1" si="908"/>
        <v>0</v>
      </c>
      <c r="K336" s="39">
        <f t="shared" ca="1" si="909"/>
        <v>0</v>
      </c>
      <c r="L336" s="39">
        <f t="shared" ca="1" si="910"/>
        <v>0</v>
      </c>
      <c r="M336" s="39">
        <f t="shared" ca="1" si="912"/>
        <v>0</v>
      </c>
      <c r="O336" s="38"/>
      <c r="EZ336" s="38"/>
      <c r="FA336" s="53"/>
      <c r="FE336" s="38"/>
      <c r="FF336" s="153"/>
      <c r="FS336" s="550">
        <v>26</v>
      </c>
      <c r="FT336" s="58">
        <v>2</v>
      </c>
      <c r="FU336" s="38">
        <v>4</v>
      </c>
      <c r="FV336" s="38">
        <f t="shared" si="922"/>
        <v>1.0009997501665211</v>
      </c>
      <c r="FW336" s="39">
        <f t="shared" si="924"/>
        <v>51.060299179140024</v>
      </c>
    </row>
    <row r="337" spans="2:180">
      <c r="B337" s="1048">
        <f t="shared" ca="1" si="911"/>
        <v>46312</v>
      </c>
      <c r="C337" s="153">
        <f t="shared" ca="1" si="901"/>
        <v>0</v>
      </c>
      <c r="D337" s="153">
        <f t="shared" ca="1" si="902"/>
        <v>0</v>
      </c>
      <c r="E337" s="153">
        <f t="shared" ca="1" si="903"/>
        <v>0</v>
      </c>
      <c r="F337" s="153">
        <f t="shared" ca="1" si="904"/>
        <v>0</v>
      </c>
      <c r="G337" s="153">
        <f t="shared" ca="1" si="905"/>
        <v>0</v>
      </c>
      <c r="H337" s="39">
        <f t="shared" ca="1" si="906"/>
        <v>0</v>
      </c>
      <c r="I337" s="39">
        <f t="shared" ca="1" si="907"/>
        <v>0</v>
      </c>
      <c r="J337" s="39">
        <f t="shared" ca="1" si="908"/>
        <v>0</v>
      </c>
      <c r="K337" s="39">
        <f t="shared" ca="1" si="909"/>
        <v>0</v>
      </c>
      <c r="L337" s="39">
        <f t="shared" ca="1" si="910"/>
        <v>0</v>
      </c>
      <c r="M337" s="39">
        <f t="shared" ca="1" si="912"/>
        <v>0</v>
      </c>
      <c r="O337" s="38"/>
      <c r="EZ337" s="38"/>
      <c r="FA337" s="53"/>
      <c r="FE337" s="38"/>
      <c r="FF337" s="153"/>
      <c r="FS337" s="550">
        <v>26</v>
      </c>
      <c r="FT337" s="58">
        <v>2</v>
      </c>
      <c r="FU337" s="38">
        <v>5</v>
      </c>
      <c r="FV337" s="38">
        <f t="shared" si="922"/>
        <v>1.001249843841072</v>
      </c>
      <c r="FW337" s="39">
        <f t="shared" si="924"/>
        <v>51.073056283068624</v>
      </c>
    </row>
    <row r="338" spans="2:180">
      <c r="B338" s="1048">
        <f t="shared" ca="1" si="911"/>
        <v>46342</v>
      </c>
      <c r="C338" s="153">
        <f t="shared" ca="1" si="901"/>
        <v>0</v>
      </c>
      <c r="D338" s="153">
        <f t="shared" ca="1" si="902"/>
        <v>0</v>
      </c>
      <c r="E338" s="153">
        <f t="shared" ca="1" si="903"/>
        <v>0</v>
      </c>
      <c r="F338" s="153">
        <f t="shared" ca="1" si="904"/>
        <v>0</v>
      </c>
      <c r="G338" s="153">
        <f t="shared" ca="1" si="905"/>
        <v>0</v>
      </c>
      <c r="H338" s="39">
        <f t="shared" ca="1" si="906"/>
        <v>0</v>
      </c>
      <c r="I338" s="39">
        <f t="shared" ca="1" si="907"/>
        <v>0</v>
      </c>
      <c r="J338" s="39">
        <f t="shared" ca="1" si="908"/>
        <v>0</v>
      </c>
      <c r="K338" s="39">
        <f t="shared" ca="1" si="909"/>
        <v>0</v>
      </c>
      <c r="L338" s="39">
        <f t="shared" ca="1" si="910"/>
        <v>0</v>
      </c>
      <c r="M338" s="39">
        <f t="shared" ca="1" si="912"/>
        <v>0</v>
      </c>
      <c r="O338" s="38"/>
      <c r="EZ338" s="38"/>
      <c r="FA338" s="53"/>
      <c r="FE338" s="38"/>
      <c r="FF338" s="153"/>
      <c r="FS338" s="550">
        <v>26</v>
      </c>
      <c r="FT338" s="58">
        <v>2</v>
      </c>
      <c r="FU338" s="38">
        <v>6</v>
      </c>
      <c r="FV338" s="38">
        <f t="shared" si="922"/>
        <v>1.0015000000000001</v>
      </c>
      <c r="FW338" s="39">
        <f t="shared" si="924"/>
        <v>51.085816574281729</v>
      </c>
      <c r="FX338" s="153"/>
    </row>
    <row r="339" spans="2:180">
      <c r="B339" s="1048">
        <f t="shared" ca="1" si="911"/>
        <v>46372</v>
      </c>
      <c r="C339" s="153">
        <f t="shared" ca="1" si="901"/>
        <v>0</v>
      </c>
      <c r="D339" s="153">
        <f t="shared" ca="1" si="902"/>
        <v>0</v>
      </c>
      <c r="E339" s="153">
        <f t="shared" ca="1" si="903"/>
        <v>0</v>
      </c>
      <c r="F339" s="153">
        <f t="shared" ca="1" si="904"/>
        <v>0</v>
      </c>
      <c r="G339" s="153">
        <f t="shared" ca="1" si="905"/>
        <v>0</v>
      </c>
      <c r="H339" s="39">
        <f t="shared" ca="1" si="906"/>
        <v>0</v>
      </c>
      <c r="I339" s="39">
        <f t="shared" ca="1" si="907"/>
        <v>0</v>
      </c>
      <c r="J339" s="39">
        <f t="shared" ca="1" si="908"/>
        <v>0</v>
      </c>
      <c r="K339" s="39">
        <f t="shared" ca="1" si="909"/>
        <v>0</v>
      </c>
      <c r="L339" s="39">
        <f t="shared" ca="1" si="910"/>
        <v>0</v>
      </c>
      <c r="M339" s="39">
        <f t="shared" ca="1" si="912"/>
        <v>0</v>
      </c>
      <c r="O339" s="38"/>
      <c r="EZ339" s="38"/>
      <c r="FA339" s="53"/>
      <c r="FE339" s="38"/>
      <c r="FF339" s="153"/>
    </row>
    <row r="340" spans="2:180">
      <c r="B340" s="1048">
        <f t="shared" ca="1" si="911"/>
        <v>46402</v>
      </c>
      <c r="C340" s="153">
        <f t="shared" ca="1" si="901"/>
        <v>0</v>
      </c>
      <c r="D340" s="153">
        <f t="shared" ca="1" si="902"/>
        <v>0</v>
      </c>
      <c r="E340" s="153">
        <f t="shared" ca="1" si="903"/>
        <v>0</v>
      </c>
      <c r="F340" s="153">
        <f t="shared" ca="1" si="904"/>
        <v>0</v>
      </c>
      <c r="G340" s="153">
        <f t="shared" ca="1" si="905"/>
        <v>0</v>
      </c>
      <c r="H340" s="39">
        <f t="shared" ca="1" si="906"/>
        <v>0</v>
      </c>
      <c r="I340" s="39">
        <f t="shared" ca="1" si="907"/>
        <v>0</v>
      </c>
      <c r="J340" s="39">
        <f t="shared" ca="1" si="908"/>
        <v>200</v>
      </c>
      <c r="K340" s="39">
        <f t="shared" ca="1" si="909"/>
        <v>0</v>
      </c>
      <c r="L340" s="39">
        <f t="shared" ca="1" si="910"/>
        <v>0</v>
      </c>
      <c r="M340" s="39">
        <f t="shared" ca="1" si="912"/>
        <v>200</v>
      </c>
      <c r="O340" s="38"/>
      <c r="EZ340" s="38"/>
      <c r="FA340" s="53"/>
      <c r="FE340" s="38"/>
      <c r="FF340" s="153"/>
      <c r="FS340" s="550">
        <v>27</v>
      </c>
      <c r="FT340" s="58">
        <v>1</v>
      </c>
      <c r="FU340" s="38">
        <v>1</v>
      </c>
      <c r="FV340" s="38">
        <f t="shared" ref="FV340:FV351" si="925">(1+$FY$2/2)^(FU340/6)</f>
        <v>1.0002498438930771</v>
      </c>
      <c r="FW340" s="39">
        <f t="shared" ref="FW340:FW345" si="926">$FW$338*FV340</f>
        <v>51.098580053575674</v>
      </c>
    </row>
    <row r="341" spans="2:180">
      <c r="B341" s="1048">
        <f t="shared" ca="1" si="911"/>
        <v>46432</v>
      </c>
      <c r="C341" s="153">
        <f t="shared" ca="1" si="901"/>
        <v>0</v>
      </c>
      <c r="D341" s="153">
        <f t="shared" ca="1" si="902"/>
        <v>0</v>
      </c>
      <c r="E341" s="153">
        <f t="shared" ca="1" si="903"/>
        <v>0</v>
      </c>
      <c r="F341" s="153">
        <f t="shared" ca="1" si="904"/>
        <v>0</v>
      </c>
      <c r="G341" s="153">
        <f t="shared" ca="1" si="905"/>
        <v>0</v>
      </c>
      <c r="H341" s="39">
        <f t="shared" ca="1" si="906"/>
        <v>0</v>
      </c>
      <c r="I341" s="39">
        <f t="shared" ca="1" si="907"/>
        <v>0</v>
      </c>
      <c r="J341" s="39">
        <f t="shared" ca="1" si="908"/>
        <v>0</v>
      </c>
      <c r="K341" s="39">
        <f t="shared" ca="1" si="909"/>
        <v>0</v>
      </c>
      <c r="L341" s="39">
        <f t="shared" ca="1" si="910"/>
        <v>0</v>
      </c>
      <c r="M341" s="39">
        <f t="shared" ca="1" si="912"/>
        <v>0</v>
      </c>
      <c r="O341" s="38"/>
      <c r="EZ341" s="38"/>
      <c r="FA341" s="53"/>
      <c r="FE341" s="38"/>
      <c r="FF341" s="153"/>
      <c r="FS341" s="550">
        <v>27</v>
      </c>
      <c r="FT341" s="58">
        <v>1</v>
      </c>
      <c r="FU341" s="38">
        <v>2</v>
      </c>
      <c r="FV341" s="38">
        <f t="shared" si="925"/>
        <v>1.0004997502081252</v>
      </c>
      <c r="FW341" s="39">
        <f t="shared" si="926"/>
        <v>51.111346721746969</v>
      </c>
    </row>
    <row r="342" spans="2:180">
      <c r="B342" s="1048">
        <f t="shared" ca="1" si="911"/>
        <v>46462</v>
      </c>
      <c r="C342" s="153">
        <f t="shared" ca="1" si="901"/>
        <v>0</v>
      </c>
      <c r="D342" s="153">
        <f t="shared" ca="1" si="902"/>
        <v>0</v>
      </c>
      <c r="E342" s="153">
        <f t="shared" ca="1" si="903"/>
        <v>0</v>
      </c>
      <c r="F342" s="153">
        <f t="shared" ca="1" si="904"/>
        <v>0</v>
      </c>
      <c r="G342" s="153">
        <f t="shared" ca="1" si="905"/>
        <v>0</v>
      </c>
      <c r="H342" s="39">
        <f t="shared" ca="1" si="906"/>
        <v>0</v>
      </c>
      <c r="I342" s="39">
        <f t="shared" ca="1" si="907"/>
        <v>0</v>
      </c>
      <c r="J342" s="39">
        <f t="shared" ca="1" si="908"/>
        <v>0</v>
      </c>
      <c r="K342" s="39">
        <f t="shared" ca="1" si="909"/>
        <v>0</v>
      </c>
      <c r="L342" s="39">
        <f t="shared" ca="1" si="910"/>
        <v>0</v>
      </c>
      <c r="M342" s="39">
        <f t="shared" ca="1" si="912"/>
        <v>0</v>
      </c>
      <c r="O342" s="38"/>
      <c r="EZ342" s="38"/>
      <c r="FA342" s="53"/>
      <c r="FE342" s="38"/>
      <c r="FF342" s="153"/>
      <c r="FS342" s="550">
        <v>27</v>
      </c>
      <c r="FT342" s="58">
        <v>1</v>
      </c>
      <c r="FU342" s="38">
        <v>3</v>
      </c>
      <c r="FV342" s="38">
        <f t="shared" si="925"/>
        <v>1.0007497189607399</v>
      </c>
      <c r="FW342" s="39">
        <f t="shared" si="926"/>
        <v>51.124116579592354</v>
      </c>
    </row>
    <row r="343" spans="2:180">
      <c r="B343" s="1048">
        <f t="shared" ca="1" si="911"/>
        <v>46492</v>
      </c>
      <c r="C343" s="153">
        <f t="shared" ca="1" si="901"/>
        <v>0</v>
      </c>
      <c r="D343" s="153">
        <f t="shared" ca="1" si="902"/>
        <v>0</v>
      </c>
      <c r="E343" s="153">
        <f t="shared" ca="1" si="903"/>
        <v>0</v>
      </c>
      <c r="F343" s="153">
        <f t="shared" ca="1" si="904"/>
        <v>0</v>
      </c>
      <c r="G343" s="153">
        <f t="shared" ca="1" si="905"/>
        <v>0</v>
      </c>
      <c r="H343" s="39">
        <f t="shared" ca="1" si="906"/>
        <v>0</v>
      </c>
      <c r="I343" s="39">
        <f t="shared" ca="1" si="907"/>
        <v>0</v>
      </c>
      <c r="J343" s="39">
        <f t="shared" ca="1" si="908"/>
        <v>0</v>
      </c>
      <c r="K343" s="39">
        <f t="shared" ca="1" si="909"/>
        <v>0</v>
      </c>
      <c r="L343" s="39">
        <f t="shared" ca="1" si="910"/>
        <v>0</v>
      </c>
      <c r="M343" s="39">
        <f t="shared" ca="1" si="912"/>
        <v>0</v>
      </c>
      <c r="O343" s="38"/>
      <c r="EZ343" s="38"/>
      <c r="FA343" s="53"/>
      <c r="FE343" s="38"/>
      <c r="FF343" s="153"/>
      <c r="FS343" s="550">
        <v>27</v>
      </c>
      <c r="FT343" s="58">
        <v>1</v>
      </c>
      <c r="FU343" s="38">
        <v>4</v>
      </c>
      <c r="FV343" s="38">
        <f t="shared" si="925"/>
        <v>1.0009997501665211</v>
      </c>
      <c r="FW343" s="39">
        <f t="shared" si="926"/>
        <v>51.136889627908737</v>
      </c>
    </row>
    <row r="344" spans="2:180">
      <c r="B344" s="1048">
        <f t="shared" ca="1" si="911"/>
        <v>46522</v>
      </c>
      <c r="C344" s="153">
        <f t="shared" ca="1" si="901"/>
        <v>0</v>
      </c>
      <c r="D344" s="153">
        <f t="shared" ca="1" si="902"/>
        <v>0</v>
      </c>
      <c r="E344" s="153">
        <f t="shared" ca="1" si="903"/>
        <v>0</v>
      </c>
      <c r="F344" s="153">
        <f t="shared" ca="1" si="904"/>
        <v>0</v>
      </c>
      <c r="G344" s="153">
        <f t="shared" ca="1" si="905"/>
        <v>0</v>
      </c>
      <c r="H344" s="39">
        <f t="shared" ca="1" si="906"/>
        <v>0</v>
      </c>
      <c r="I344" s="39">
        <f t="shared" ca="1" si="907"/>
        <v>0</v>
      </c>
      <c r="J344" s="39">
        <f t="shared" ca="1" si="908"/>
        <v>0</v>
      </c>
      <c r="K344" s="39">
        <f t="shared" ca="1" si="909"/>
        <v>0</v>
      </c>
      <c r="L344" s="39">
        <f t="shared" ca="1" si="910"/>
        <v>0</v>
      </c>
      <c r="M344" s="39">
        <f t="shared" ca="1" si="912"/>
        <v>0</v>
      </c>
      <c r="O344" s="38"/>
      <c r="EZ344" s="38"/>
      <c r="FA344" s="53"/>
      <c r="FE344" s="38"/>
      <c r="FF344" s="153"/>
      <c r="FS344" s="550">
        <v>27</v>
      </c>
      <c r="FT344" s="58">
        <v>1</v>
      </c>
      <c r="FU344" s="38">
        <v>5</v>
      </c>
      <c r="FV344" s="38">
        <f t="shared" si="925"/>
        <v>1.001249843841072</v>
      </c>
      <c r="FW344" s="39">
        <f t="shared" si="926"/>
        <v>51.149665867493226</v>
      </c>
    </row>
    <row r="345" spans="2:180">
      <c r="B345" s="1048">
        <f t="shared" ca="1" si="911"/>
        <v>46552</v>
      </c>
      <c r="C345" s="153">
        <f t="shared" ca="1" si="901"/>
        <v>0</v>
      </c>
      <c r="D345" s="153">
        <f t="shared" ca="1" si="902"/>
        <v>0</v>
      </c>
      <c r="E345" s="153">
        <f t="shared" ca="1" si="903"/>
        <v>0</v>
      </c>
      <c r="F345" s="153">
        <f t="shared" ca="1" si="904"/>
        <v>0</v>
      </c>
      <c r="G345" s="153">
        <f t="shared" ca="1" si="905"/>
        <v>0</v>
      </c>
      <c r="H345" s="39">
        <f t="shared" ca="1" si="906"/>
        <v>0</v>
      </c>
      <c r="I345" s="39">
        <f t="shared" ca="1" si="907"/>
        <v>0</v>
      </c>
      <c r="J345" s="39">
        <f t="shared" ca="1" si="908"/>
        <v>0</v>
      </c>
      <c r="K345" s="39">
        <f t="shared" ca="1" si="909"/>
        <v>0</v>
      </c>
      <c r="L345" s="39">
        <f t="shared" ca="1" si="910"/>
        <v>0</v>
      </c>
      <c r="M345" s="39">
        <f t="shared" ca="1" si="912"/>
        <v>0</v>
      </c>
      <c r="O345" s="38"/>
      <c r="EZ345" s="38"/>
      <c r="FA345" s="53"/>
      <c r="FE345" s="38"/>
      <c r="FF345" s="153"/>
      <c r="FS345" s="550">
        <v>27</v>
      </c>
      <c r="FT345" s="58">
        <v>1</v>
      </c>
      <c r="FU345" s="38">
        <v>6</v>
      </c>
      <c r="FV345" s="38">
        <f t="shared" si="925"/>
        <v>1.0015000000000001</v>
      </c>
      <c r="FW345" s="39">
        <f t="shared" si="926"/>
        <v>51.162445299143158</v>
      </c>
    </row>
    <row r="346" spans="2:180">
      <c r="B346" s="1048">
        <f t="shared" ca="1" si="911"/>
        <v>46582</v>
      </c>
      <c r="C346" s="153">
        <f t="shared" ca="1" si="901"/>
        <v>0</v>
      </c>
      <c r="D346" s="153">
        <f t="shared" ca="1" si="902"/>
        <v>0</v>
      </c>
      <c r="E346" s="153">
        <f t="shared" ca="1" si="903"/>
        <v>0</v>
      </c>
      <c r="F346" s="153">
        <f t="shared" ca="1" si="904"/>
        <v>0</v>
      </c>
      <c r="G346" s="153">
        <f t="shared" ca="1" si="905"/>
        <v>0</v>
      </c>
      <c r="H346" s="39">
        <f t="shared" ca="1" si="906"/>
        <v>0</v>
      </c>
      <c r="I346" s="39">
        <f t="shared" ca="1" si="907"/>
        <v>0</v>
      </c>
      <c r="J346" s="39">
        <f t="shared" ca="1" si="908"/>
        <v>0</v>
      </c>
      <c r="K346" s="39">
        <f t="shared" ca="1" si="909"/>
        <v>0</v>
      </c>
      <c r="L346" s="39">
        <f t="shared" ca="1" si="910"/>
        <v>0</v>
      </c>
      <c r="M346" s="39">
        <f t="shared" ca="1" si="912"/>
        <v>0</v>
      </c>
      <c r="O346" s="38"/>
      <c r="EZ346" s="38"/>
      <c r="FA346" s="53"/>
      <c r="FE346" s="38"/>
      <c r="FF346" s="153"/>
      <c r="FS346" s="550">
        <v>27</v>
      </c>
      <c r="FT346" s="58">
        <v>2</v>
      </c>
      <c r="FU346" s="38">
        <v>1</v>
      </c>
      <c r="FV346" s="38">
        <f t="shared" si="925"/>
        <v>1.0002498438930771</v>
      </c>
      <c r="FW346" s="39">
        <f t="shared" ref="FW346:FW351" si="927">$FW$345*FV346</f>
        <v>51.175227923656045</v>
      </c>
    </row>
    <row r="347" spans="2:180">
      <c r="B347" s="1048">
        <f t="shared" ca="1" si="911"/>
        <v>46612</v>
      </c>
      <c r="C347" s="153">
        <f t="shared" ref="C347:C410" ca="1" si="928">SUMIFS(P:P,U:U,"&gt;="&amp;DATE(YEAR(B347),MONTH(B347),DAY(B347)),U:U,"&lt;"&amp;DATE(YEAR(B348),MONTH(B348),DAY(B348)))</f>
        <v>0</v>
      </c>
      <c r="D347" s="153">
        <f t="shared" ref="D347:D410" ca="1" si="929">SUMIFS(Y:Y,AD:AD,"&gt;="&amp;DATE(YEAR(B347),MONTH(B347),DAY(B347)),AD:AD,"&lt;"&amp;DATE(YEAR(B348),MONTH(B348),DAY(B348)))</f>
        <v>0</v>
      </c>
      <c r="E347" s="153">
        <f t="shared" ref="E347:E410" ca="1" si="930">SUMIFS(AI:AI,AN:AN,"&gt;="&amp;DATE(YEAR(B347),MONTH(B347),DAY(B347)),AN:AN,"&lt;"&amp;DATE(YEAR(B348),MONTH(B348),DAY(B348)))</f>
        <v>0</v>
      </c>
      <c r="F347" s="153">
        <f t="shared" ref="F347:F410" ca="1" si="931">SUMIFS(AR:AR,AW:AW,"&gt;="&amp;DATE(YEAR(B347),MONTH(B347),DAY(B347)),AW:AW,"&lt;"&amp;DATE(YEAR(B348),MONTH(B348),DAY(B348)))</f>
        <v>0</v>
      </c>
      <c r="G347" s="153">
        <f t="shared" ref="G347:G410" ca="1" si="932">SUMIFS(BC:BC,BF:BF,"&gt;="&amp;DATE(YEAR(B347),MONTH(B347),DAY(B347)),BF:BF,"&lt;"&amp;DATE(YEAR(B348),MONTH(B348),DAY(B348)))</f>
        <v>0</v>
      </c>
      <c r="H347" s="39">
        <f t="shared" ref="H347:H410" ca="1" si="933">SUMIFS(BW:BW,BZ:BZ,"&gt;="&amp;DATE(YEAR(B347),MONTH(B347),DY(B347)),BZ:BZ,"&lt;"&amp;DATE(YEAR(B348),MONTH(B348),DAY(B348)))</f>
        <v>0</v>
      </c>
      <c r="I347" s="39">
        <f t="shared" ref="I347:I410" ca="1" si="934">SUMIFS(CO:CO,CR:CR,"&gt;="&amp;DATE(YEAR(B347),MONTH(B347),DAY(B347)),CR:CR,"&lt;"&amp;DATE(YEAR(B348),MONTH(B348),DAY(B348)))</f>
        <v>0</v>
      </c>
      <c r="J347" s="39">
        <f t="shared" ref="J347:J410" ca="1" si="935">SUMIFS(DG:DG,DJ:DJ,"&gt;="&amp;DATE(YEAR(B347),MONTH(B347),DAY(B347)),DJ:DJ,"&lt;"&amp;DATE(YEAR(B348),MONTH(B348),DAY(B348)))</f>
        <v>0</v>
      </c>
      <c r="K347" s="39">
        <f t="shared" ref="K347:K410" ca="1" si="936">SUMIFS(EK:EK,EG:EG,"&gt;="&amp;DATE(YEAR(B347),MONTH(B347),DAY(B347)),EG:EG,"&lt;"&amp;DATE(YEAR(B348),MONTH(B348),DAY(B348)))</f>
        <v>0</v>
      </c>
      <c r="L347" s="39">
        <f t="shared" ref="L347:L410" ca="1" si="937">SUMIFS(FB:FB,EY:EY,"&gt;="&amp;DATE(YEAR(B347),MONTH(B347),DAY(B347)),EY:EY,"&lt;"&amp;DATE(YEAR(B348),MONTH(B348),DAY(B348)))</f>
        <v>0</v>
      </c>
      <c r="M347" s="39">
        <f t="shared" ca="1" si="912"/>
        <v>0</v>
      </c>
      <c r="O347" s="38"/>
      <c r="EZ347" s="38"/>
      <c r="FA347" s="53"/>
      <c r="FE347" s="38"/>
      <c r="FF347" s="153"/>
      <c r="FS347" s="550">
        <v>27</v>
      </c>
      <c r="FT347" s="58">
        <v>2</v>
      </c>
      <c r="FU347" s="38">
        <v>2</v>
      </c>
      <c r="FV347" s="38">
        <f t="shared" si="925"/>
        <v>1.0004997502081252</v>
      </c>
      <c r="FW347" s="39">
        <f t="shared" si="927"/>
        <v>51.1880137418296</v>
      </c>
    </row>
    <row r="348" spans="2:180">
      <c r="B348" s="1048">
        <f t="shared" ref="B348:B411" ca="1" si="938">B347+30</f>
        <v>46642</v>
      </c>
      <c r="C348" s="153">
        <f t="shared" ca="1" si="928"/>
        <v>0</v>
      </c>
      <c r="D348" s="153">
        <f t="shared" ca="1" si="929"/>
        <v>0</v>
      </c>
      <c r="E348" s="153">
        <f t="shared" ca="1" si="930"/>
        <v>0</v>
      </c>
      <c r="F348" s="153">
        <f t="shared" ca="1" si="931"/>
        <v>0</v>
      </c>
      <c r="G348" s="153">
        <f t="shared" ca="1" si="932"/>
        <v>0</v>
      </c>
      <c r="H348" s="39">
        <f t="shared" ca="1" si="933"/>
        <v>0</v>
      </c>
      <c r="I348" s="39">
        <f t="shared" ca="1" si="934"/>
        <v>0</v>
      </c>
      <c r="J348" s="39">
        <f t="shared" ca="1" si="935"/>
        <v>0</v>
      </c>
      <c r="K348" s="39">
        <f t="shared" ca="1" si="936"/>
        <v>0</v>
      </c>
      <c r="L348" s="39">
        <f t="shared" ca="1" si="937"/>
        <v>0</v>
      </c>
      <c r="M348" s="39">
        <f t="shared" ca="1" si="912"/>
        <v>0</v>
      </c>
      <c r="O348" s="38"/>
      <c r="EZ348" s="38"/>
      <c r="FA348" s="53"/>
      <c r="FE348" s="38"/>
      <c r="FF348" s="153"/>
      <c r="FS348" s="550">
        <v>27</v>
      </c>
      <c r="FT348" s="58">
        <v>2</v>
      </c>
      <c r="FU348" s="38">
        <v>3</v>
      </c>
      <c r="FV348" s="38">
        <f t="shared" si="925"/>
        <v>1.0007497189607399</v>
      </c>
      <c r="FW348" s="39">
        <f t="shared" si="927"/>
        <v>51.200802754461748</v>
      </c>
    </row>
    <row r="349" spans="2:180">
      <c r="B349" s="1048">
        <f t="shared" ca="1" si="938"/>
        <v>46672</v>
      </c>
      <c r="C349" s="153">
        <f t="shared" ca="1" si="928"/>
        <v>0</v>
      </c>
      <c r="D349" s="153">
        <f t="shared" ca="1" si="929"/>
        <v>0</v>
      </c>
      <c r="E349" s="153">
        <f t="shared" ca="1" si="930"/>
        <v>0</v>
      </c>
      <c r="F349" s="153">
        <f t="shared" ca="1" si="931"/>
        <v>0</v>
      </c>
      <c r="G349" s="153">
        <f t="shared" ca="1" si="932"/>
        <v>0</v>
      </c>
      <c r="H349" s="39">
        <f t="shared" ca="1" si="933"/>
        <v>0</v>
      </c>
      <c r="I349" s="39">
        <f t="shared" ca="1" si="934"/>
        <v>0</v>
      </c>
      <c r="J349" s="39">
        <f t="shared" ca="1" si="935"/>
        <v>0</v>
      </c>
      <c r="K349" s="39">
        <f t="shared" ca="1" si="936"/>
        <v>0</v>
      </c>
      <c r="L349" s="39">
        <f t="shared" ca="1" si="937"/>
        <v>0</v>
      </c>
      <c r="M349" s="39">
        <f t="shared" ref="M349:M412" ca="1" si="939">SUM(C349:L349)</f>
        <v>0</v>
      </c>
      <c r="O349" s="38"/>
      <c r="EZ349" s="38"/>
      <c r="FA349" s="53"/>
      <c r="FE349" s="38"/>
      <c r="FF349" s="153"/>
      <c r="FS349" s="550">
        <v>27</v>
      </c>
      <c r="FT349" s="58">
        <v>2</v>
      </c>
      <c r="FU349" s="38">
        <v>4</v>
      </c>
      <c r="FV349" s="38">
        <f t="shared" si="925"/>
        <v>1.0009997501665211</v>
      </c>
      <c r="FW349" s="39">
        <f t="shared" si="927"/>
        <v>51.213594962350605</v>
      </c>
    </row>
    <row r="350" spans="2:180">
      <c r="B350" s="1048">
        <f t="shared" ca="1" si="938"/>
        <v>46702</v>
      </c>
      <c r="C350" s="153">
        <f t="shared" ca="1" si="928"/>
        <v>0</v>
      </c>
      <c r="D350" s="153">
        <f t="shared" ca="1" si="929"/>
        <v>0</v>
      </c>
      <c r="E350" s="153">
        <f t="shared" ca="1" si="930"/>
        <v>0</v>
      </c>
      <c r="F350" s="153">
        <f t="shared" ca="1" si="931"/>
        <v>0</v>
      </c>
      <c r="G350" s="153">
        <f t="shared" ca="1" si="932"/>
        <v>0</v>
      </c>
      <c r="H350" s="39">
        <f t="shared" ca="1" si="933"/>
        <v>0</v>
      </c>
      <c r="I350" s="39">
        <f t="shared" ca="1" si="934"/>
        <v>0</v>
      </c>
      <c r="J350" s="39">
        <f t="shared" ca="1" si="935"/>
        <v>0</v>
      </c>
      <c r="K350" s="39">
        <f t="shared" ca="1" si="936"/>
        <v>0</v>
      </c>
      <c r="L350" s="39">
        <f t="shared" ca="1" si="937"/>
        <v>0</v>
      </c>
      <c r="M350" s="39">
        <f t="shared" ca="1" si="939"/>
        <v>0</v>
      </c>
      <c r="O350" s="38"/>
      <c r="EZ350" s="38"/>
      <c r="FA350" s="53"/>
      <c r="FE350" s="38"/>
      <c r="FF350" s="153"/>
      <c r="FS350" s="550">
        <v>27</v>
      </c>
      <c r="FT350" s="58">
        <v>2</v>
      </c>
      <c r="FU350" s="38">
        <v>5</v>
      </c>
      <c r="FV350" s="38">
        <f t="shared" si="925"/>
        <v>1.001249843841072</v>
      </c>
      <c r="FW350" s="39">
        <f t="shared" si="927"/>
        <v>51.226390366294474</v>
      </c>
    </row>
    <row r="351" spans="2:180">
      <c r="B351" s="1048">
        <f t="shared" ca="1" si="938"/>
        <v>46732</v>
      </c>
      <c r="C351" s="153">
        <f t="shared" ca="1" si="928"/>
        <v>0</v>
      </c>
      <c r="D351" s="153">
        <f t="shared" ca="1" si="929"/>
        <v>0</v>
      </c>
      <c r="E351" s="153">
        <f t="shared" ca="1" si="930"/>
        <v>0</v>
      </c>
      <c r="F351" s="153">
        <f t="shared" ca="1" si="931"/>
        <v>0</v>
      </c>
      <c r="G351" s="153">
        <f t="shared" ca="1" si="932"/>
        <v>0</v>
      </c>
      <c r="H351" s="39">
        <f t="shared" ca="1" si="933"/>
        <v>0</v>
      </c>
      <c r="I351" s="39">
        <f t="shared" ca="1" si="934"/>
        <v>0</v>
      </c>
      <c r="J351" s="39">
        <f t="shared" ca="1" si="935"/>
        <v>0</v>
      </c>
      <c r="K351" s="39">
        <f t="shared" ca="1" si="936"/>
        <v>0</v>
      </c>
      <c r="L351" s="39">
        <f t="shared" ca="1" si="937"/>
        <v>0</v>
      </c>
      <c r="M351" s="39">
        <f t="shared" ca="1" si="939"/>
        <v>0</v>
      </c>
      <c r="O351" s="38"/>
      <c r="EZ351" s="38"/>
      <c r="FA351" s="53"/>
      <c r="FE351" s="38"/>
      <c r="FF351" s="153"/>
      <c r="FS351" s="550">
        <v>27</v>
      </c>
      <c r="FT351" s="58">
        <v>2</v>
      </c>
      <c r="FU351" s="38">
        <v>6</v>
      </c>
      <c r="FV351" s="38">
        <f t="shared" si="925"/>
        <v>1.0015000000000001</v>
      </c>
      <c r="FW351" s="39">
        <f t="shared" si="927"/>
        <v>51.239188967091877</v>
      </c>
    </row>
    <row r="352" spans="2:180">
      <c r="B352" s="1048">
        <f t="shared" ca="1" si="938"/>
        <v>46762</v>
      </c>
      <c r="C352" s="153">
        <f t="shared" ca="1" si="928"/>
        <v>0</v>
      </c>
      <c r="D352" s="153">
        <f t="shared" ca="1" si="929"/>
        <v>0</v>
      </c>
      <c r="E352" s="153">
        <f t="shared" ca="1" si="930"/>
        <v>0</v>
      </c>
      <c r="F352" s="153">
        <f t="shared" ca="1" si="931"/>
        <v>0</v>
      </c>
      <c r="G352" s="153">
        <f t="shared" ca="1" si="932"/>
        <v>0</v>
      </c>
      <c r="H352" s="39">
        <f t="shared" ca="1" si="933"/>
        <v>0</v>
      </c>
      <c r="I352" s="39">
        <f t="shared" ca="1" si="934"/>
        <v>0</v>
      </c>
      <c r="J352" s="39">
        <f t="shared" ca="1" si="935"/>
        <v>0</v>
      </c>
      <c r="K352" s="39">
        <f t="shared" ca="1" si="936"/>
        <v>0</v>
      </c>
      <c r="L352" s="39">
        <f t="shared" ca="1" si="937"/>
        <v>0</v>
      </c>
      <c r="M352" s="39">
        <f t="shared" ca="1" si="939"/>
        <v>0</v>
      </c>
      <c r="O352" s="38"/>
      <c r="EZ352" s="38"/>
      <c r="FA352" s="53"/>
      <c r="FE352" s="38"/>
      <c r="FF352" s="153"/>
    </row>
    <row r="353" spans="2:179">
      <c r="B353" s="1048">
        <f t="shared" ca="1" si="938"/>
        <v>46792</v>
      </c>
      <c r="C353" s="153">
        <f t="shared" ca="1" si="928"/>
        <v>0</v>
      </c>
      <c r="D353" s="153">
        <f t="shared" ca="1" si="929"/>
        <v>0</v>
      </c>
      <c r="E353" s="153">
        <f t="shared" ca="1" si="930"/>
        <v>0</v>
      </c>
      <c r="F353" s="153">
        <f t="shared" ca="1" si="931"/>
        <v>0</v>
      </c>
      <c r="G353" s="153">
        <f t="shared" ca="1" si="932"/>
        <v>0</v>
      </c>
      <c r="H353" s="39">
        <f t="shared" ca="1" si="933"/>
        <v>0</v>
      </c>
      <c r="I353" s="39">
        <f t="shared" ca="1" si="934"/>
        <v>0</v>
      </c>
      <c r="J353" s="39">
        <f t="shared" ca="1" si="935"/>
        <v>0</v>
      </c>
      <c r="K353" s="39">
        <f t="shared" ca="1" si="936"/>
        <v>0</v>
      </c>
      <c r="L353" s="39">
        <f t="shared" ca="1" si="937"/>
        <v>0</v>
      </c>
      <c r="M353" s="39">
        <f t="shared" ca="1" si="939"/>
        <v>0</v>
      </c>
      <c r="O353" s="38"/>
      <c r="EZ353" s="38"/>
      <c r="FA353" s="53"/>
      <c r="FE353" s="38"/>
      <c r="FF353" s="153"/>
      <c r="FS353" s="550">
        <v>28</v>
      </c>
      <c r="FT353" s="58">
        <v>1</v>
      </c>
      <c r="FU353" s="38">
        <v>1</v>
      </c>
      <c r="FV353" s="38">
        <f t="shared" ref="FV353:FV364" si="940">(1+$FY$2/2)^(FU353/6)</f>
        <v>1.0002498438930771</v>
      </c>
      <c r="FW353" s="39">
        <f t="shared" ref="FW353:FW358" si="941">$FW$351*FV353</f>
        <v>51.251990765541528</v>
      </c>
    </row>
    <row r="354" spans="2:179">
      <c r="B354" s="1048">
        <f t="shared" ca="1" si="938"/>
        <v>46822</v>
      </c>
      <c r="C354" s="153">
        <f t="shared" ca="1" si="928"/>
        <v>0</v>
      </c>
      <c r="D354" s="153">
        <f t="shared" ca="1" si="929"/>
        <v>0</v>
      </c>
      <c r="E354" s="153">
        <f t="shared" ca="1" si="930"/>
        <v>0</v>
      </c>
      <c r="F354" s="153">
        <f t="shared" ca="1" si="931"/>
        <v>0</v>
      </c>
      <c r="G354" s="153">
        <f t="shared" ca="1" si="932"/>
        <v>0</v>
      </c>
      <c r="H354" s="39">
        <f t="shared" ca="1" si="933"/>
        <v>0</v>
      </c>
      <c r="I354" s="39">
        <f t="shared" ca="1" si="934"/>
        <v>0</v>
      </c>
      <c r="J354" s="39">
        <f t="shared" ca="1" si="935"/>
        <v>0</v>
      </c>
      <c r="K354" s="39">
        <f t="shared" ca="1" si="936"/>
        <v>0</v>
      </c>
      <c r="L354" s="39">
        <f t="shared" ca="1" si="937"/>
        <v>0</v>
      </c>
      <c r="M354" s="39">
        <f t="shared" ca="1" si="939"/>
        <v>0</v>
      </c>
      <c r="O354" s="38"/>
      <c r="EZ354" s="38"/>
      <c r="FA354" s="53"/>
      <c r="FE354" s="38"/>
      <c r="FF354" s="153"/>
      <c r="FS354" s="550">
        <v>28</v>
      </c>
      <c r="FT354" s="58">
        <v>1</v>
      </c>
      <c r="FU354" s="38">
        <v>2</v>
      </c>
      <c r="FV354" s="38">
        <f t="shared" si="940"/>
        <v>1.0004997502081252</v>
      </c>
      <c r="FW354" s="39">
        <f t="shared" si="941"/>
        <v>51.264795762442347</v>
      </c>
    </row>
    <row r="355" spans="2:179">
      <c r="B355" s="1048">
        <f t="shared" ca="1" si="938"/>
        <v>46852</v>
      </c>
      <c r="C355" s="153">
        <f t="shared" ca="1" si="928"/>
        <v>0</v>
      </c>
      <c r="D355" s="153">
        <f t="shared" ca="1" si="929"/>
        <v>0</v>
      </c>
      <c r="E355" s="153">
        <f t="shared" ca="1" si="930"/>
        <v>0</v>
      </c>
      <c r="F355" s="153">
        <f t="shared" ca="1" si="931"/>
        <v>0</v>
      </c>
      <c r="G355" s="153">
        <f t="shared" ca="1" si="932"/>
        <v>0</v>
      </c>
      <c r="H355" s="39">
        <f t="shared" ca="1" si="933"/>
        <v>0</v>
      </c>
      <c r="I355" s="39">
        <f t="shared" ca="1" si="934"/>
        <v>0</v>
      </c>
      <c r="J355" s="39">
        <f t="shared" ca="1" si="935"/>
        <v>0</v>
      </c>
      <c r="K355" s="39">
        <f t="shared" ca="1" si="936"/>
        <v>0</v>
      </c>
      <c r="L355" s="39">
        <f t="shared" ca="1" si="937"/>
        <v>0</v>
      </c>
      <c r="M355" s="39">
        <f t="shared" ca="1" si="939"/>
        <v>0</v>
      </c>
      <c r="O355" s="38"/>
      <c r="EZ355" s="38"/>
      <c r="FA355" s="53"/>
      <c r="FE355" s="38"/>
      <c r="FF355" s="153"/>
      <c r="FS355" s="550">
        <v>28</v>
      </c>
      <c r="FT355" s="58">
        <v>1</v>
      </c>
      <c r="FU355" s="38">
        <v>3</v>
      </c>
      <c r="FV355" s="38">
        <f t="shared" si="940"/>
        <v>1.0007497189607399</v>
      </c>
      <c r="FW355" s="39">
        <f t="shared" si="941"/>
        <v>51.277603958593446</v>
      </c>
    </row>
    <row r="356" spans="2:179">
      <c r="B356" s="1048">
        <f t="shared" ca="1" si="938"/>
        <v>46882</v>
      </c>
      <c r="C356" s="153">
        <f t="shared" ca="1" si="928"/>
        <v>0</v>
      </c>
      <c r="D356" s="153">
        <f t="shared" ca="1" si="929"/>
        <v>0</v>
      </c>
      <c r="E356" s="153">
        <f t="shared" ca="1" si="930"/>
        <v>0</v>
      </c>
      <c r="F356" s="153">
        <f t="shared" ca="1" si="931"/>
        <v>0</v>
      </c>
      <c r="G356" s="153">
        <f t="shared" ca="1" si="932"/>
        <v>0</v>
      </c>
      <c r="H356" s="39">
        <f t="shared" ca="1" si="933"/>
        <v>0</v>
      </c>
      <c r="I356" s="39">
        <f t="shared" ca="1" si="934"/>
        <v>0</v>
      </c>
      <c r="J356" s="39">
        <f t="shared" ca="1" si="935"/>
        <v>0</v>
      </c>
      <c r="K356" s="39">
        <f t="shared" ca="1" si="936"/>
        <v>0</v>
      </c>
      <c r="L356" s="39">
        <f t="shared" ca="1" si="937"/>
        <v>0</v>
      </c>
      <c r="M356" s="39">
        <f t="shared" ca="1" si="939"/>
        <v>0</v>
      </c>
      <c r="O356" s="38"/>
      <c r="EZ356" s="38"/>
      <c r="FA356" s="53"/>
      <c r="FE356" s="38"/>
      <c r="FF356" s="153"/>
      <c r="FS356" s="550">
        <v>28</v>
      </c>
      <c r="FT356" s="58">
        <v>1</v>
      </c>
      <c r="FU356" s="38">
        <v>4</v>
      </c>
      <c r="FV356" s="38">
        <f t="shared" si="940"/>
        <v>1.0009997501665211</v>
      </c>
      <c r="FW356" s="39">
        <f t="shared" si="941"/>
        <v>51.290415354794135</v>
      </c>
    </row>
    <row r="357" spans="2:179">
      <c r="B357" s="1048">
        <f t="shared" ca="1" si="938"/>
        <v>46912</v>
      </c>
      <c r="C357" s="153">
        <f t="shared" ca="1" si="928"/>
        <v>0</v>
      </c>
      <c r="D357" s="153">
        <f t="shared" ca="1" si="929"/>
        <v>0</v>
      </c>
      <c r="E357" s="153">
        <f t="shared" ca="1" si="930"/>
        <v>0</v>
      </c>
      <c r="F357" s="153">
        <f t="shared" ca="1" si="931"/>
        <v>0</v>
      </c>
      <c r="G357" s="153">
        <f t="shared" ca="1" si="932"/>
        <v>0</v>
      </c>
      <c r="H357" s="39">
        <f t="shared" ca="1" si="933"/>
        <v>0</v>
      </c>
      <c r="I357" s="39">
        <f t="shared" ca="1" si="934"/>
        <v>0</v>
      </c>
      <c r="J357" s="39">
        <f t="shared" ca="1" si="935"/>
        <v>0</v>
      </c>
      <c r="K357" s="39">
        <f t="shared" ca="1" si="936"/>
        <v>0</v>
      </c>
      <c r="L357" s="39">
        <f t="shared" ca="1" si="937"/>
        <v>0</v>
      </c>
      <c r="M357" s="39">
        <f t="shared" ca="1" si="939"/>
        <v>0</v>
      </c>
      <c r="O357" s="38"/>
      <c r="EZ357" s="38"/>
      <c r="FA357" s="53"/>
      <c r="FE357" s="38"/>
      <c r="FF357" s="153"/>
      <c r="FS357" s="550">
        <v>28</v>
      </c>
      <c r="FT357" s="58">
        <v>1</v>
      </c>
      <c r="FU357" s="38">
        <v>5</v>
      </c>
      <c r="FV357" s="38">
        <f t="shared" si="940"/>
        <v>1.001249843841072</v>
      </c>
      <c r="FW357" s="39">
        <f t="shared" si="941"/>
        <v>51.303229951843917</v>
      </c>
    </row>
    <row r="358" spans="2:179">
      <c r="B358" s="1048">
        <f t="shared" ca="1" si="938"/>
        <v>46942</v>
      </c>
      <c r="C358" s="153">
        <f t="shared" ca="1" si="928"/>
        <v>0</v>
      </c>
      <c r="D358" s="153">
        <f t="shared" ca="1" si="929"/>
        <v>0</v>
      </c>
      <c r="E358" s="153">
        <f t="shared" ca="1" si="930"/>
        <v>0</v>
      </c>
      <c r="F358" s="153">
        <f t="shared" ca="1" si="931"/>
        <v>0</v>
      </c>
      <c r="G358" s="153">
        <f t="shared" ca="1" si="932"/>
        <v>0</v>
      </c>
      <c r="H358" s="39">
        <f t="shared" ca="1" si="933"/>
        <v>0</v>
      </c>
      <c r="I358" s="39">
        <f t="shared" ca="1" si="934"/>
        <v>0</v>
      </c>
      <c r="J358" s="39">
        <f t="shared" ca="1" si="935"/>
        <v>0</v>
      </c>
      <c r="K358" s="39">
        <f t="shared" ca="1" si="936"/>
        <v>0</v>
      </c>
      <c r="L358" s="39">
        <f t="shared" ca="1" si="937"/>
        <v>0</v>
      </c>
      <c r="M358" s="39">
        <f t="shared" ca="1" si="939"/>
        <v>0</v>
      </c>
      <c r="O358" s="38"/>
      <c r="EZ358" s="38"/>
      <c r="FA358" s="53"/>
      <c r="FE358" s="38"/>
      <c r="FF358" s="153"/>
      <c r="FS358" s="550">
        <v>28</v>
      </c>
      <c r="FT358" s="58">
        <v>1</v>
      </c>
      <c r="FU358" s="38">
        <v>6</v>
      </c>
      <c r="FV358" s="38">
        <f t="shared" si="940"/>
        <v>1.0015000000000001</v>
      </c>
      <c r="FW358" s="39">
        <f t="shared" si="941"/>
        <v>51.316047750542516</v>
      </c>
    </row>
    <row r="359" spans="2:179">
      <c r="B359" s="1048">
        <f t="shared" ca="1" si="938"/>
        <v>46972</v>
      </c>
      <c r="C359" s="153">
        <f t="shared" ca="1" si="928"/>
        <v>0</v>
      </c>
      <c r="D359" s="153">
        <f t="shared" ca="1" si="929"/>
        <v>0</v>
      </c>
      <c r="E359" s="153">
        <f t="shared" ca="1" si="930"/>
        <v>0</v>
      </c>
      <c r="F359" s="153">
        <f t="shared" ca="1" si="931"/>
        <v>0</v>
      </c>
      <c r="G359" s="153">
        <f t="shared" ca="1" si="932"/>
        <v>0</v>
      </c>
      <c r="H359" s="39">
        <f t="shared" ca="1" si="933"/>
        <v>0</v>
      </c>
      <c r="I359" s="39">
        <f t="shared" ca="1" si="934"/>
        <v>0</v>
      </c>
      <c r="J359" s="39">
        <f t="shared" ca="1" si="935"/>
        <v>0</v>
      </c>
      <c r="K359" s="39">
        <f t="shared" ca="1" si="936"/>
        <v>0</v>
      </c>
      <c r="L359" s="39">
        <f t="shared" ca="1" si="937"/>
        <v>0</v>
      </c>
      <c r="M359" s="39">
        <f t="shared" ca="1" si="939"/>
        <v>0</v>
      </c>
      <c r="O359" s="38"/>
      <c r="EZ359" s="38"/>
      <c r="FA359" s="53"/>
      <c r="FE359" s="38"/>
      <c r="FF359" s="153"/>
      <c r="FS359" s="550">
        <v>28</v>
      </c>
      <c r="FT359" s="58">
        <v>2</v>
      </c>
      <c r="FU359" s="38">
        <v>1</v>
      </c>
      <c r="FV359" s="38">
        <f t="shared" si="940"/>
        <v>1.0002498438930771</v>
      </c>
      <c r="FW359" s="39">
        <f t="shared" ref="FW359:FW364" si="942">$FW$358*FV359</f>
        <v>51.328868751689846</v>
      </c>
    </row>
    <row r="360" spans="2:179">
      <c r="B360" s="1048">
        <f t="shared" ca="1" si="938"/>
        <v>47002</v>
      </c>
      <c r="C360" s="153">
        <f t="shared" ca="1" si="928"/>
        <v>0</v>
      </c>
      <c r="D360" s="153">
        <f t="shared" ca="1" si="929"/>
        <v>0</v>
      </c>
      <c r="E360" s="153">
        <f t="shared" ca="1" si="930"/>
        <v>0</v>
      </c>
      <c r="F360" s="153">
        <f t="shared" ca="1" si="931"/>
        <v>0</v>
      </c>
      <c r="G360" s="153">
        <f t="shared" ca="1" si="932"/>
        <v>0</v>
      </c>
      <c r="H360" s="39">
        <f t="shared" ca="1" si="933"/>
        <v>0</v>
      </c>
      <c r="I360" s="39">
        <f t="shared" ca="1" si="934"/>
        <v>0</v>
      </c>
      <c r="J360" s="39">
        <f t="shared" ca="1" si="935"/>
        <v>0</v>
      </c>
      <c r="K360" s="39">
        <f t="shared" ca="1" si="936"/>
        <v>0</v>
      </c>
      <c r="L360" s="39">
        <f t="shared" ca="1" si="937"/>
        <v>0</v>
      </c>
      <c r="M360" s="39">
        <f t="shared" ca="1" si="939"/>
        <v>0</v>
      </c>
      <c r="O360" s="38"/>
      <c r="EZ360" s="38"/>
      <c r="FA360" s="53"/>
      <c r="FE360" s="38"/>
      <c r="FF360" s="153"/>
      <c r="FS360" s="550">
        <v>28</v>
      </c>
      <c r="FT360" s="58">
        <v>2</v>
      </c>
      <c r="FU360" s="38">
        <v>2</v>
      </c>
      <c r="FV360" s="38">
        <f t="shared" si="940"/>
        <v>1.0004997502081252</v>
      </c>
      <c r="FW360" s="39">
        <f t="shared" si="942"/>
        <v>51.341692956086014</v>
      </c>
    </row>
    <row r="361" spans="2:179">
      <c r="B361" s="1048">
        <f t="shared" ca="1" si="938"/>
        <v>47032</v>
      </c>
      <c r="C361" s="153">
        <f t="shared" ca="1" si="928"/>
        <v>0</v>
      </c>
      <c r="D361" s="153">
        <f t="shared" ca="1" si="929"/>
        <v>0</v>
      </c>
      <c r="E361" s="153">
        <f t="shared" ca="1" si="930"/>
        <v>0</v>
      </c>
      <c r="F361" s="153">
        <f t="shared" ca="1" si="931"/>
        <v>0</v>
      </c>
      <c r="G361" s="153">
        <f t="shared" ca="1" si="932"/>
        <v>0</v>
      </c>
      <c r="H361" s="39">
        <f t="shared" ca="1" si="933"/>
        <v>0</v>
      </c>
      <c r="I361" s="39">
        <f t="shared" ca="1" si="934"/>
        <v>0</v>
      </c>
      <c r="J361" s="39">
        <f t="shared" ca="1" si="935"/>
        <v>0</v>
      </c>
      <c r="K361" s="39">
        <f t="shared" ca="1" si="936"/>
        <v>0</v>
      </c>
      <c r="L361" s="39">
        <f t="shared" ca="1" si="937"/>
        <v>0</v>
      </c>
      <c r="M361" s="39">
        <f t="shared" ca="1" si="939"/>
        <v>0</v>
      </c>
      <c r="O361" s="38"/>
      <c r="EZ361" s="38"/>
      <c r="FA361" s="53"/>
      <c r="FE361" s="38"/>
      <c r="FF361" s="153"/>
      <c r="FS361" s="550">
        <v>28</v>
      </c>
      <c r="FT361" s="58">
        <v>2</v>
      </c>
      <c r="FU361" s="38">
        <v>3</v>
      </c>
      <c r="FV361" s="38">
        <f t="shared" si="940"/>
        <v>1.0007497189607399</v>
      </c>
      <c r="FW361" s="39">
        <f t="shared" si="942"/>
        <v>51.354520364531332</v>
      </c>
    </row>
    <row r="362" spans="2:179">
      <c r="B362" s="1048">
        <f t="shared" ca="1" si="938"/>
        <v>47062</v>
      </c>
      <c r="C362" s="153">
        <f t="shared" ca="1" si="928"/>
        <v>0</v>
      </c>
      <c r="D362" s="153">
        <f t="shared" ca="1" si="929"/>
        <v>0</v>
      </c>
      <c r="E362" s="153">
        <f t="shared" ca="1" si="930"/>
        <v>0</v>
      </c>
      <c r="F362" s="153">
        <f t="shared" ca="1" si="931"/>
        <v>0</v>
      </c>
      <c r="G362" s="153">
        <f t="shared" ca="1" si="932"/>
        <v>0</v>
      </c>
      <c r="H362" s="39">
        <f t="shared" ca="1" si="933"/>
        <v>0</v>
      </c>
      <c r="I362" s="39">
        <f t="shared" ca="1" si="934"/>
        <v>0</v>
      </c>
      <c r="J362" s="39">
        <f t="shared" ca="1" si="935"/>
        <v>0</v>
      </c>
      <c r="K362" s="39">
        <f t="shared" ca="1" si="936"/>
        <v>0</v>
      </c>
      <c r="L362" s="39">
        <f t="shared" ca="1" si="937"/>
        <v>0</v>
      </c>
      <c r="M362" s="39">
        <f t="shared" ca="1" si="939"/>
        <v>0</v>
      </c>
      <c r="O362" s="38"/>
      <c r="EZ362" s="38"/>
      <c r="FA362" s="53"/>
      <c r="FE362" s="38"/>
      <c r="FF362" s="153"/>
      <c r="FS362" s="550">
        <v>28</v>
      </c>
      <c r="FT362" s="58">
        <v>2</v>
      </c>
      <c r="FU362" s="38">
        <v>4</v>
      </c>
      <c r="FV362" s="38">
        <f t="shared" si="940"/>
        <v>1.0009997501665211</v>
      </c>
      <c r="FW362" s="39">
        <f t="shared" si="942"/>
        <v>51.367350977826327</v>
      </c>
    </row>
    <row r="363" spans="2:179">
      <c r="B363" s="1048">
        <f t="shared" ca="1" si="938"/>
        <v>47092</v>
      </c>
      <c r="C363" s="153">
        <f t="shared" ca="1" si="928"/>
        <v>0</v>
      </c>
      <c r="D363" s="153">
        <f t="shared" ca="1" si="929"/>
        <v>0</v>
      </c>
      <c r="E363" s="153">
        <f t="shared" ca="1" si="930"/>
        <v>0</v>
      </c>
      <c r="F363" s="153">
        <f t="shared" ca="1" si="931"/>
        <v>0</v>
      </c>
      <c r="G363" s="153">
        <f t="shared" ca="1" si="932"/>
        <v>0</v>
      </c>
      <c r="H363" s="39">
        <f t="shared" ca="1" si="933"/>
        <v>0</v>
      </c>
      <c r="I363" s="39">
        <f t="shared" ca="1" si="934"/>
        <v>0</v>
      </c>
      <c r="J363" s="39">
        <f t="shared" ca="1" si="935"/>
        <v>0</v>
      </c>
      <c r="K363" s="39">
        <f t="shared" ca="1" si="936"/>
        <v>0</v>
      </c>
      <c r="L363" s="39">
        <f t="shared" ca="1" si="937"/>
        <v>0</v>
      </c>
      <c r="M363" s="39">
        <f t="shared" ca="1" si="939"/>
        <v>0</v>
      </c>
      <c r="O363" s="38"/>
      <c r="EZ363" s="38"/>
      <c r="FA363" s="53"/>
      <c r="FE363" s="38"/>
      <c r="FF363" s="153"/>
      <c r="FS363" s="550">
        <v>28</v>
      </c>
      <c r="FT363" s="58">
        <v>2</v>
      </c>
      <c r="FU363" s="38">
        <v>5</v>
      </c>
      <c r="FV363" s="38">
        <f t="shared" si="940"/>
        <v>1.001249843841072</v>
      </c>
      <c r="FW363" s="39">
        <f t="shared" si="942"/>
        <v>51.380184796771687</v>
      </c>
    </row>
    <row r="364" spans="2:179">
      <c r="B364" s="1048">
        <f t="shared" ca="1" si="938"/>
        <v>47122</v>
      </c>
      <c r="C364" s="153">
        <f t="shared" ca="1" si="928"/>
        <v>0</v>
      </c>
      <c r="D364" s="153">
        <f t="shared" ca="1" si="929"/>
        <v>0</v>
      </c>
      <c r="E364" s="153">
        <f t="shared" ca="1" si="930"/>
        <v>0</v>
      </c>
      <c r="F364" s="153">
        <f t="shared" ca="1" si="931"/>
        <v>0</v>
      </c>
      <c r="G364" s="153">
        <f t="shared" ca="1" si="932"/>
        <v>0</v>
      </c>
      <c r="H364" s="39">
        <f t="shared" ca="1" si="933"/>
        <v>0</v>
      </c>
      <c r="I364" s="39">
        <f t="shared" ca="1" si="934"/>
        <v>0</v>
      </c>
      <c r="J364" s="39">
        <f t="shared" ca="1" si="935"/>
        <v>0</v>
      </c>
      <c r="K364" s="39">
        <f t="shared" ca="1" si="936"/>
        <v>0</v>
      </c>
      <c r="L364" s="39">
        <f t="shared" ca="1" si="937"/>
        <v>0</v>
      </c>
      <c r="M364" s="39">
        <f t="shared" ca="1" si="939"/>
        <v>0</v>
      </c>
      <c r="O364" s="38"/>
      <c r="EZ364" s="38"/>
      <c r="FA364" s="53"/>
      <c r="FE364" s="38"/>
      <c r="FF364" s="153"/>
      <c r="FS364" s="550">
        <v>28</v>
      </c>
      <c r="FT364" s="58">
        <v>2</v>
      </c>
      <c r="FU364" s="38">
        <v>6</v>
      </c>
      <c r="FV364" s="38">
        <f t="shared" si="940"/>
        <v>1.0015000000000001</v>
      </c>
      <c r="FW364" s="39">
        <f t="shared" si="942"/>
        <v>51.393021822168336</v>
      </c>
    </row>
    <row r="365" spans="2:179">
      <c r="B365" s="1048">
        <f t="shared" ca="1" si="938"/>
        <v>47152</v>
      </c>
      <c r="C365" s="153">
        <f t="shared" ca="1" si="928"/>
        <v>0</v>
      </c>
      <c r="D365" s="153">
        <f t="shared" ca="1" si="929"/>
        <v>0</v>
      </c>
      <c r="E365" s="153">
        <f t="shared" ca="1" si="930"/>
        <v>0</v>
      </c>
      <c r="F365" s="153">
        <f t="shared" ca="1" si="931"/>
        <v>0</v>
      </c>
      <c r="G365" s="153">
        <f t="shared" ca="1" si="932"/>
        <v>0</v>
      </c>
      <c r="H365" s="39">
        <f t="shared" ca="1" si="933"/>
        <v>0</v>
      </c>
      <c r="I365" s="39">
        <f t="shared" ca="1" si="934"/>
        <v>0</v>
      </c>
      <c r="J365" s="39">
        <f t="shared" ca="1" si="935"/>
        <v>0</v>
      </c>
      <c r="K365" s="39">
        <f t="shared" ca="1" si="936"/>
        <v>0</v>
      </c>
      <c r="L365" s="39">
        <f t="shared" ca="1" si="937"/>
        <v>0</v>
      </c>
      <c r="M365" s="39">
        <f t="shared" ca="1" si="939"/>
        <v>0</v>
      </c>
      <c r="O365" s="38"/>
      <c r="EZ365" s="38"/>
      <c r="FA365" s="53"/>
      <c r="FE365" s="38"/>
      <c r="FF365" s="153"/>
    </row>
    <row r="366" spans="2:179">
      <c r="B366" s="1048">
        <f t="shared" ca="1" si="938"/>
        <v>47182</v>
      </c>
      <c r="C366" s="153">
        <f t="shared" ca="1" si="928"/>
        <v>0</v>
      </c>
      <c r="D366" s="153">
        <f t="shared" ca="1" si="929"/>
        <v>0</v>
      </c>
      <c r="E366" s="153">
        <f t="shared" ca="1" si="930"/>
        <v>0</v>
      </c>
      <c r="F366" s="153">
        <f t="shared" ca="1" si="931"/>
        <v>0</v>
      </c>
      <c r="G366" s="153">
        <f t="shared" ca="1" si="932"/>
        <v>0</v>
      </c>
      <c r="H366" s="39">
        <f t="shared" ca="1" si="933"/>
        <v>0</v>
      </c>
      <c r="I366" s="39">
        <f t="shared" ca="1" si="934"/>
        <v>0</v>
      </c>
      <c r="J366" s="39">
        <f t="shared" ca="1" si="935"/>
        <v>0</v>
      </c>
      <c r="K366" s="39">
        <f t="shared" ca="1" si="936"/>
        <v>0</v>
      </c>
      <c r="L366" s="39">
        <f t="shared" ca="1" si="937"/>
        <v>0</v>
      </c>
      <c r="M366" s="39">
        <f t="shared" ca="1" si="939"/>
        <v>0</v>
      </c>
      <c r="O366" s="38"/>
      <c r="EZ366" s="38"/>
      <c r="FA366" s="53"/>
      <c r="FE366" s="38"/>
      <c r="FF366" s="153"/>
      <c r="FS366" s="550">
        <v>29</v>
      </c>
      <c r="FT366" s="58">
        <v>1</v>
      </c>
      <c r="FU366" s="38">
        <v>1</v>
      </c>
      <c r="FV366" s="38">
        <f t="shared" ref="FV366:FV377" si="943">(1+$FY$2/2)^(FU366/6)</f>
        <v>1.0002498438930771</v>
      </c>
      <c r="FW366" s="39">
        <f t="shared" ref="FW366:FW371" si="944">$FW$364*FV366</f>
        <v>51.405862054817383</v>
      </c>
    </row>
    <row r="367" spans="2:179">
      <c r="B367" s="1048">
        <f t="shared" ca="1" si="938"/>
        <v>47212</v>
      </c>
      <c r="C367" s="153">
        <f t="shared" ca="1" si="928"/>
        <v>0</v>
      </c>
      <c r="D367" s="153">
        <f t="shared" ca="1" si="929"/>
        <v>0</v>
      </c>
      <c r="E367" s="153">
        <f t="shared" ca="1" si="930"/>
        <v>0</v>
      </c>
      <c r="F367" s="153">
        <f t="shared" ca="1" si="931"/>
        <v>0</v>
      </c>
      <c r="G367" s="153">
        <f t="shared" ca="1" si="932"/>
        <v>0</v>
      </c>
      <c r="H367" s="39">
        <f t="shared" ca="1" si="933"/>
        <v>0</v>
      </c>
      <c r="I367" s="39">
        <f t="shared" ca="1" si="934"/>
        <v>0</v>
      </c>
      <c r="J367" s="39">
        <f t="shared" ca="1" si="935"/>
        <v>0</v>
      </c>
      <c r="K367" s="39">
        <f t="shared" ca="1" si="936"/>
        <v>0</v>
      </c>
      <c r="L367" s="39">
        <f t="shared" ca="1" si="937"/>
        <v>0</v>
      </c>
      <c r="M367" s="39">
        <f t="shared" ca="1" si="939"/>
        <v>0</v>
      </c>
      <c r="O367" s="38"/>
      <c r="EZ367" s="38"/>
      <c r="FA367" s="53"/>
      <c r="FE367" s="38"/>
      <c r="FF367" s="153"/>
      <c r="FS367" s="550">
        <v>29</v>
      </c>
      <c r="FT367" s="58">
        <v>1</v>
      </c>
      <c r="FU367" s="38">
        <v>2</v>
      </c>
      <c r="FV367" s="38">
        <f t="shared" si="943"/>
        <v>1.0004997502081252</v>
      </c>
      <c r="FW367" s="39">
        <f t="shared" si="944"/>
        <v>51.41870549552015</v>
      </c>
    </row>
    <row r="368" spans="2:179">
      <c r="B368" s="1048">
        <f t="shared" ca="1" si="938"/>
        <v>47242</v>
      </c>
      <c r="C368" s="153">
        <f t="shared" ca="1" si="928"/>
        <v>0</v>
      </c>
      <c r="D368" s="153">
        <f t="shared" ca="1" si="929"/>
        <v>0</v>
      </c>
      <c r="E368" s="153">
        <f t="shared" ca="1" si="930"/>
        <v>0</v>
      </c>
      <c r="F368" s="153">
        <f t="shared" ca="1" si="931"/>
        <v>0</v>
      </c>
      <c r="G368" s="153">
        <f t="shared" ca="1" si="932"/>
        <v>0</v>
      </c>
      <c r="H368" s="39">
        <f t="shared" ca="1" si="933"/>
        <v>0</v>
      </c>
      <c r="I368" s="39">
        <f t="shared" ca="1" si="934"/>
        <v>0</v>
      </c>
      <c r="J368" s="39">
        <f t="shared" ca="1" si="935"/>
        <v>0</v>
      </c>
      <c r="K368" s="39">
        <f t="shared" ca="1" si="936"/>
        <v>0</v>
      </c>
      <c r="L368" s="39">
        <f t="shared" ca="1" si="937"/>
        <v>0</v>
      </c>
      <c r="M368" s="39">
        <f t="shared" ca="1" si="939"/>
        <v>0</v>
      </c>
      <c r="O368" s="38"/>
      <c r="EZ368" s="38"/>
      <c r="FA368" s="53"/>
      <c r="FE368" s="38"/>
      <c r="FF368" s="153"/>
      <c r="FS368" s="550">
        <v>29</v>
      </c>
      <c r="FT368" s="58">
        <v>1</v>
      </c>
      <c r="FU368" s="38">
        <v>3</v>
      </c>
      <c r="FV368" s="38">
        <f t="shared" si="943"/>
        <v>1.0007497189607399</v>
      </c>
      <c r="FW368" s="39">
        <f t="shared" si="944"/>
        <v>51.431552145078136</v>
      </c>
    </row>
    <row r="369" spans="2:179">
      <c r="B369" s="1048">
        <f t="shared" ca="1" si="938"/>
        <v>47272</v>
      </c>
      <c r="C369" s="153">
        <f t="shared" ca="1" si="928"/>
        <v>0</v>
      </c>
      <c r="D369" s="153">
        <f t="shared" ca="1" si="929"/>
        <v>0</v>
      </c>
      <c r="E369" s="153">
        <f t="shared" ca="1" si="930"/>
        <v>0</v>
      </c>
      <c r="F369" s="153">
        <f t="shared" ca="1" si="931"/>
        <v>0</v>
      </c>
      <c r="G369" s="153">
        <f t="shared" ca="1" si="932"/>
        <v>0</v>
      </c>
      <c r="H369" s="39">
        <f t="shared" ca="1" si="933"/>
        <v>0</v>
      </c>
      <c r="I369" s="39">
        <f t="shared" ca="1" si="934"/>
        <v>0</v>
      </c>
      <c r="J369" s="39">
        <f t="shared" ca="1" si="935"/>
        <v>0</v>
      </c>
      <c r="K369" s="39">
        <f t="shared" ca="1" si="936"/>
        <v>0</v>
      </c>
      <c r="L369" s="39">
        <f t="shared" ca="1" si="937"/>
        <v>0</v>
      </c>
      <c r="M369" s="39">
        <f t="shared" ca="1" si="939"/>
        <v>0</v>
      </c>
      <c r="O369" s="38"/>
      <c r="EZ369" s="38"/>
      <c r="FA369" s="53"/>
      <c r="FE369" s="38"/>
      <c r="FF369" s="153"/>
      <c r="FS369" s="550">
        <v>29</v>
      </c>
      <c r="FT369" s="58">
        <v>1</v>
      </c>
      <c r="FU369" s="38">
        <v>4</v>
      </c>
      <c r="FV369" s="38">
        <f t="shared" si="943"/>
        <v>1.0009997501665211</v>
      </c>
      <c r="FW369" s="39">
        <f t="shared" si="944"/>
        <v>51.444402004293075</v>
      </c>
    </row>
    <row r="370" spans="2:179">
      <c r="B370" s="1048">
        <f t="shared" ca="1" si="938"/>
        <v>47302</v>
      </c>
      <c r="C370" s="153">
        <f t="shared" ca="1" si="928"/>
        <v>0</v>
      </c>
      <c r="D370" s="153">
        <f t="shared" ca="1" si="929"/>
        <v>0</v>
      </c>
      <c r="E370" s="153">
        <f t="shared" ca="1" si="930"/>
        <v>0</v>
      </c>
      <c r="F370" s="153">
        <f t="shared" ca="1" si="931"/>
        <v>0</v>
      </c>
      <c r="G370" s="153">
        <f t="shared" ca="1" si="932"/>
        <v>0</v>
      </c>
      <c r="H370" s="39">
        <f t="shared" ca="1" si="933"/>
        <v>0</v>
      </c>
      <c r="I370" s="39">
        <f t="shared" ca="1" si="934"/>
        <v>0</v>
      </c>
      <c r="J370" s="39">
        <f t="shared" ca="1" si="935"/>
        <v>0</v>
      </c>
      <c r="K370" s="39">
        <f t="shared" ca="1" si="936"/>
        <v>0</v>
      </c>
      <c r="L370" s="39">
        <f t="shared" ca="1" si="937"/>
        <v>0</v>
      </c>
      <c r="M370" s="39">
        <f t="shared" ca="1" si="939"/>
        <v>0</v>
      </c>
      <c r="O370" s="38"/>
      <c r="EZ370" s="38"/>
      <c r="FA370" s="53"/>
      <c r="FE370" s="38"/>
      <c r="FF370" s="153"/>
      <c r="FS370" s="550">
        <v>29</v>
      </c>
      <c r="FT370" s="58">
        <v>1</v>
      </c>
      <c r="FU370" s="38">
        <v>5</v>
      </c>
      <c r="FV370" s="38">
        <f t="shared" si="943"/>
        <v>1.001249843841072</v>
      </c>
      <c r="FW370" s="39">
        <f t="shared" si="944"/>
        <v>51.457255073966849</v>
      </c>
    </row>
    <row r="371" spans="2:179">
      <c r="B371" s="1048">
        <f t="shared" ca="1" si="938"/>
        <v>47332</v>
      </c>
      <c r="C371" s="153">
        <f t="shared" ca="1" si="928"/>
        <v>0</v>
      </c>
      <c r="D371" s="153">
        <f t="shared" ca="1" si="929"/>
        <v>0</v>
      </c>
      <c r="E371" s="153">
        <f t="shared" ca="1" si="930"/>
        <v>0</v>
      </c>
      <c r="F371" s="153">
        <f t="shared" ca="1" si="931"/>
        <v>0</v>
      </c>
      <c r="G371" s="153">
        <f t="shared" ca="1" si="932"/>
        <v>0</v>
      </c>
      <c r="H371" s="39">
        <f t="shared" ca="1" si="933"/>
        <v>0</v>
      </c>
      <c r="I371" s="39">
        <f t="shared" ca="1" si="934"/>
        <v>0</v>
      </c>
      <c r="J371" s="39">
        <f t="shared" ca="1" si="935"/>
        <v>0</v>
      </c>
      <c r="K371" s="39">
        <f t="shared" ca="1" si="936"/>
        <v>0</v>
      </c>
      <c r="L371" s="39">
        <f t="shared" ca="1" si="937"/>
        <v>0</v>
      </c>
      <c r="M371" s="39">
        <f t="shared" ca="1" si="939"/>
        <v>0</v>
      </c>
      <c r="O371" s="38"/>
      <c r="EZ371" s="38"/>
      <c r="FA371" s="53"/>
      <c r="FE371" s="38"/>
      <c r="FF371" s="153"/>
      <c r="FS371" s="550">
        <v>29</v>
      </c>
      <c r="FT371" s="58">
        <v>1</v>
      </c>
      <c r="FU371" s="38">
        <v>6</v>
      </c>
      <c r="FV371" s="38">
        <f t="shared" si="943"/>
        <v>1.0015000000000001</v>
      </c>
      <c r="FW371" s="39">
        <f t="shared" si="944"/>
        <v>51.47011135490159</v>
      </c>
    </row>
    <row r="372" spans="2:179">
      <c r="B372" s="1048">
        <f t="shared" ca="1" si="938"/>
        <v>47362</v>
      </c>
      <c r="C372" s="153">
        <f t="shared" ca="1" si="928"/>
        <v>0</v>
      </c>
      <c r="D372" s="153">
        <f t="shared" ca="1" si="929"/>
        <v>0</v>
      </c>
      <c r="E372" s="153">
        <f t="shared" ca="1" si="930"/>
        <v>0</v>
      </c>
      <c r="F372" s="153">
        <f t="shared" ca="1" si="931"/>
        <v>0</v>
      </c>
      <c r="G372" s="153">
        <f t="shared" ca="1" si="932"/>
        <v>0</v>
      </c>
      <c r="H372" s="39">
        <f t="shared" ca="1" si="933"/>
        <v>0</v>
      </c>
      <c r="I372" s="39">
        <f t="shared" ca="1" si="934"/>
        <v>0</v>
      </c>
      <c r="J372" s="39">
        <f t="shared" ca="1" si="935"/>
        <v>0</v>
      </c>
      <c r="K372" s="39">
        <f t="shared" ca="1" si="936"/>
        <v>0</v>
      </c>
      <c r="L372" s="39">
        <f t="shared" ca="1" si="937"/>
        <v>0</v>
      </c>
      <c r="M372" s="39">
        <f t="shared" ca="1" si="939"/>
        <v>0</v>
      </c>
      <c r="O372" s="38"/>
      <c r="EZ372" s="38"/>
      <c r="FA372" s="53"/>
      <c r="FE372" s="38"/>
      <c r="FF372" s="153"/>
      <c r="FS372" s="550">
        <v>29</v>
      </c>
      <c r="FT372" s="58">
        <v>2</v>
      </c>
      <c r="FU372" s="38">
        <v>1</v>
      </c>
      <c r="FV372" s="38">
        <f t="shared" si="943"/>
        <v>1.0002498438930771</v>
      </c>
      <c r="FW372" s="39">
        <f t="shared" ref="FW372:FW377" si="945">$FW$371*FV372</f>
        <v>51.482970847899615</v>
      </c>
    </row>
    <row r="373" spans="2:179">
      <c r="B373" s="1048">
        <f t="shared" ca="1" si="938"/>
        <v>47392</v>
      </c>
      <c r="C373" s="153">
        <f t="shared" ca="1" si="928"/>
        <v>0</v>
      </c>
      <c r="D373" s="153">
        <f t="shared" ca="1" si="929"/>
        <v>0</v>
      </c>
      <c r="E373" s="153">
        <f t="shared" ca="1" si="930"/>
        <v>0</v>
      </c>
      <c r="F373" s="153">
        <f t="shared" ca="1" si="931"/>
        <v>0</v>
      </c>
      <c r="G373" s="153">
        <f t="shared" ca="1" si="932"/>
        <v>0</v>
      </c>
      <c r="H373" s="39">
        <f t="shared" ca="1" si="933"/>
        <v>0</v>
      </c>
      <c r="I373" s="39">
        <f t="shared" ca="1" si="934"/>
        <v>0</v>
      </c>
      <c r="J373" s="39">
        <f t="shared" ca="1" si="935"/>
        <v>0</v>
      </c>
      <c r="K373" s="39">
        <f t="shared" ca="1" si="936"/>
        <v>0</v>
      </c>
      <c r="L373" s="39">
        <f t="shared" ca="1" si="937"/>
        <v>0</v>
      </c>
      <c r="M373" s="39">
        <f t="shared" ca="1" si="939"/>
        <v>0</v>
      </c>
      <c r="O373" s="38"/>
      <c r="EZ373" s="38"/>
      <c r="FA373" s="53"/>
      <c r="FE373" s="38"/>
      <c r="FF373" s="153"/>
      <c r="FS373" s="550">
        <v>29</v>
      </c>
      <c r="FT373" s="58">
        <v>2</v>
      </c>
      <c r="FU373" s="38">
        <v>2</v>
      </c>
      <c r="FV373" s="38">
        <f t="shared" si="943"/>
        <v>1.0004997502081252</v>
      </c>
      <c r="FW373" s="39">
        <f t="shared" si="945"/>
        <v>51.495833553763433</v>
      </c>
    </row>
    <row r="374" spans="2:179">
      <c r="B374" s="1048">
        <f t="shared" ca="1" si="938"/>
        <v>47422</v>
      </c>
      <c r="C374" s="153">
        <f t="shared" ca="1" si="928"/>
        <v>0</v>
      </c>
      <c r="D374" s="153">
        <f t="shared" ca="1" si="929"/>
        <v>0</v>
      </c>
      <c r="E374" s="153">
        <f t="shared" ca="1" si="930"/>
        <v>0</v>
      </c>
      <c r="F374" s="153">
        <f t="shared" ca="1" si="931"/>
        <v>0</v>
      </c>
      <c r="G374" s="153">
        <f t="shared" ca="1" si="932"/>
        <v>0</v>
      </c>
      <c r="H374" s="39">
        <f t="shared" ca="1" si="933"/>
        <v>0</v>
      </c>
      <c r="I374" s="39">
        <f t="shared" ca="1" si="934"/>
        <v>0</v>
      </c>
      <c r="J374" s="39">
        <f t="shared" ca="1" si="935"/>
        <v>0</v>
      </c>
      <c r="K374" s="39">
        <f t="shared" ca="1" si="936"/>
        <v>0</v>
      </c>
      <c r="L374" s="39">
        <f t="shared" ca="1" si="937"/>
        <v>0</v>
      </c>
      <c r="M374" s="39">
        <f t="shared" ca="1" si="939"/>
        <v>0</v>
      </c>
      <c r="O374" s="38"/>
      <c r="EZ374" s="38"/>
      <c r="FA374" s="53"/>
      <c r="FE374" s="38"/>
      <c r="FF374" s="153"/>
      <c r="FS374" s="550">
        <v>29</v>
      </c>
      <c r="FT374" s="58">
        <v>2</v>
      </c>
      <c r="FU374" s="38">
        <v>3</v>
      </c>
      <c r="FV374" s="38">
        <f t="shared" si="943"/>
        <v>1.0007497189607399</v>
      </c>
      <c r="FW374" s="39">
        <f t="shared" si="945"/>
        <v>51.508699473295756</v>
      </c>
    </row>
    <row r="375" spans="2:179">
      <c r="B375" s="1048">
        <f t="shared" ca="1" si="938"/>
        <v>47452</v>
      </c>
      <c r="C375" s="153">
        <f t="shared" ca="1" si="928"/>
        <v>0</v>
      </c>
      <c r="D375" s="153">
        <f t="shared" ca="1" si="929"/>
        <v>0</v>
      </c>
      <c r="E375" s="153">
        <f t="shared" ca="1" si="930"/>
        <v>0</v>
      </c>
      <c r="F375" s="153">
        <f t="shared" ca="1" si="931"/>
        <v>0</v>
      </c>
      <c r="G375" s="153">
        <f t="shared" ca="1" si="932"/>
        <v>0</v>
      </c>
      <c r="H375" s="39">
        <f t="shared" ca="1" si="933"/>
        <v>0</v>
      </c>
      <c r="I375" s="39">
        <f t="shared" ca="1" si="934"/>
        <v>0</v>
      </c>
      <c r="J375" s="39">
        <f t="shared" ca="1" si="935"/>
        <v>0</v>
      </c>
      <c r="K375" s="39">
        <f t="shared" ca="1" si="936"/>
        <v>0</v>
      </c>
      <c r="L375" s="39">
        <f t="shared" ca="1" si="937"/>
        <v>0</v>
      </c>
      <c r="M375" s="39">
        <f t="shared" ca="1" si="939"/>
        <v>0</v>
      </c>
      <c r="O375" s="38"/>
      <c r="EZ375" s="38"/>
      <c r="FA375" s="53"/>
      <c r="FE375" s="38"/>
      <c r="FF375" s="153"/>
      <c r="FS375" s="550">
        <v>29</v>
      </c>
      <c r="FT375" s="58">
        <v>2</v>
      </c>
      <c r="FU375" s="38">
        <v>4</v>
      </c>
      <c r="FV375" s="38">
        <f t="shared" si="943"/>
        <v>1.0009997501665211</v>
      </c>
      <c r="FW375" s="39">
        <f t="shared" si="945"/>
        <v>51.521568607299514</v>
      </c>
    </row>
    <row r="376" spans="2:179">
      <c r="B376" s="1048">
        <f t="shared" ca="1" si="938"/>
        <v>47482</v>
      </c>
      <c r="C376" s="153">
        <f t="shared" ca="1" si="928"/>
        <v>0</v>
      </c>
      <c r="D376" s="153">
        <f t="shared" ca="1" si="929"/>
        <v>0</v>
      </c>
      <c r="E376" s="153">
        <f t="shared" ca="1" si="930"/>
        <v>0</v>
      </c>
      <c r="F376" s="153">
        <f t="shared" ca="1" si="931"/>
        <v>0</v>
      </c>
      <c r="G376" s="153">
        <f t="shared" ca="1" si="932"/>
        <v>0</v>
      </c>
      <c r="H376" s="39">
        <f t="shared" ca="1" si="933"/>
        <v>0</v>
      </c>
      <c r="I376" s="39">
        <f t="shared" ca="1" si="934"/>
        <v>0</v>
      </c>
      <c r="J376" s="39">
        <f t="shared" ca="1" si="935"/>
        <v>0</v>
      </c>
      <c r="K376" s="39">
        <f t="shared" ca="1" si="936"/>
        <v>0</v>
      </c>
      <c r="L376" s="39">
        <f t="shared" ca="1" si="937"/>
        <v>0</v>
      </c>
      <c r="M376" s="39">
        <f t="shared" ca="1" si="939"/>
        <v>0</v>
      </c>
      <c r="O376" s="38"/>
      <c r="EZ376" s="38"/>
      <c r="FA376" s="53"/>
      <c r="FE376" s="38"/>
      <c r="FF376" s="153"/>
      <c r="FS376" s="550">
        <v>29</v>
      </c>
      <c r="FT376" s="58">
        <v>2</v>
      </c>
      <c r="FU376" s="38">
        <v>5</v>
      </c>
      <c r="FV376" s="38">
        <f t="shared" si="943"/>
        <v>1.001249843841072</v>
      </c>
      <c r="FW376" s="39">
        <f t="shared" si="945"/>
        <v>51.534440956577804</v>
      </c>
    </row>
    <row r="377" spans="2:179">
      <c r="B377" s="1048">
        <f t="shared" ca="1" si="938"/>
        <v>47512</v>
      </c>
      <c r="C377" s="153">
        <f t="shared" ca="1" si="928"/>
        <v>0</v>
      </c>
      <c r="D377" s="153">
        <f t="shared" ca="1" si="929"/>
        <v>0</v>
      </c>
      <c r="E377" s="153">
        <f t="shared" ca="1" si="930"/>
        <v>0</v>
      </c>
      <c r="F377" s="153">
        <f t="shared" ca="1" si="931"/>
        <v>0</v>
      </c>
      <c r="G377" s="153">
        <f t="shared" ca="1" si="932"/>
        <v>0</v>
      </c>
      <c r="H377" s="39">
        <f t="shared" ca="1" si="933"/>
        <v>0</v>
      </c>
      <c r="I377" s="39">
        <f t="shared" ca="1" si="934"/>
        <v>0</v>
      </c>
      <c r="J377" s="39">
        <f t="shared" ca="1" si="935"/>
        <v>0</v>
      </c>
      <c r="K377" s="39">
        <f t="shared" ca="1" si="936"/>
        <v>0</v>
      </c>
      <c r="L377" s="39">
        <f t="shared" ca="1" si="937"/>
        <v>0</v>
      </c>
      <c r="M377" s="39">
        <f t="shared" ca="1" si="939"/>
        <v>0</v>
      </c>
      <c r="O377" s="38"/>
      <c r="EZ377" s="38"/>
      <c r="FA377" s="53"/>
      <c r="FE377" s="38"/>
      <c r="FF377" s="153"/>
      <c r="FS377" s="550">
        <v>29</v>
      </c>
      <c r="FT377" s="58">
        <v>2</v>
      </c>
      <c r="FU377" s="38">
        <v>6</v>
      </c>
      <c r="FV377" s="38">
        <f t="shared" si="943"/>
        <v>1.0015000000000001</v>
      </c>
      <c r="FW377" s="39">
        <f t="shared" si="945"/>
        <v>51.547316521933944</v>
      </c>
    </row>
    <row r="378" spans="2:179">
      <c r="B378" s="1048">
        <f t="shared" ca="1" si="938"/>
        <v>47542</v>
      </c>
      <c r="C378" s="153">
        <f t="shared" ca="1" si="928"/>
        <v>0</v>
      </c>
      <c r="D378" s="153">
        <f t="shared" ca="1" si="929"/>
        <v>0</v>
      </c>
      <c r="E378" s="153">
        <f t="shared" ca="1" si="930"/>
        <v>0</v>
      </c>
      <c r="F378" s="153">
        <f t="shared" ca="1" si="931"/>
        <v>0</v>
      </c>
      <c r="G378" s="153">
        <f t="shared" ca="1" si="932"/>
        <v>0</v>
      </c>
      <c r="H378" s="39">
        <f t="shared" ca="1" si="933"/>
        <v>0</v>
      </c>
      <c r="I378" s="39">
        <f t="shared" ca="1" si="934"/>
        <v>0</v>
      </c>
      <c r="J378" s="39">
        <f t="shared" ca="1" si="935"/>
        <v>0</v>
      </c>
      <c r="K378" s="39">
        <f t="shared" ca="1" si="936"/>
        <v>0</v>
      </c>
      <c r="L378" s="39">
        <f t="shared" ca="1" si="937"/>
        <v>0</v>
      </c>
      <c r="M378" s="39">
        <f t="shared" ca="1" si="939"/>
        <v>0</v>
      </c>
      <c r="O378" s="38"/>
      <c r="EZ378" s="38"/>
      <c r="FA378" s="53"/>
      <c r="FE378" s="38"/>
      <c r="FF378" s="153"/>
    </row>
    <row r="379" spans="2:179">
      <c r="B379" s="1048">
        <f t="shared" ca="1" si="938"/>
        <v>47572</v>
      </c>
      <c r="C379" s="153">
        <f t="shared" ca="1" si="928"/>
        <v>0</v>
      </c>
      <c r="D379" s="153">
        <f t="shared" ca="1" si="929"/>
        <v>0</v>
      </c>
      <c r="E379" s="153">
        <f t="shared" ca="1" si="930"/>
        <v>0</v>
      </c>
      <c r="F379" s="153">
        <f t="shared" ca="1" si="931"/>
        <v>0</v>
      </c>
      <c r="G379" s="153">
        <f t="shared" ca="1" si="932"/>
        <v>0</v>
      </c>
      <c r="H379" s="39">
        <f t="shared" ca="1" si="933"/>
        <v>0</v>
      </c>
      <c r="I379" s="39">
        <f t="shared" ca="1" si="934"/>
        <v>0</v>
      </c>
      <c r="J379" s="39">
        <f t="shared" ca="1" si="935"/>
        <v>0</v>
      </c>
      <c r="K379" s="39">
        <f t="shared" ca="1" si="936"/>
        <v>0</v>
      </c>
      <c r="L379" s="39">
        <f t="shared" ca="1" si="937"/>
        <v>0</v>
      </c>
      <c r="M379" s="39">
        <f t="shared" ca="1" si="939"/>
        <v>0</v>
      </c>
      <c r="O379" s="38"/>
      <c r="EZ379" s="38"/>
      <c r="FA379" s="53"/>
      <c r="FE379" s="38"/>
      <c r="FF379" s="153"/>
      <c r="FS379" s="550">
        <v>30</v>
      </c>
      <c r="FT379" s="58">
        <v>1</v>
      </c>
      <c r="FU379" s="38">
        <v>1</v>
      </c>
      <c r="FV379" s="38">
        <f t="shared" ref="FV379:FV390" si="946">(1+$FY$2/2)^(FU379/6)</f>
        <v>1.0002498438930771</v>
      </c>
      <c r="FW379" s="39">
        <f t="shared" ref="FW379:FW384" si="947">$FW$377*FV379</f>
        <v>51.560195304171465</v>
      </c>
    </row>
    <row r="380" spans="2:179">
      <c r="B380" s="1048">
        <f t="shared" ca="1" si="938"/>
        <v>47602</v>
      </c>
      <c r="C380" s="153">
        <f t="shared" ca="1" si="928"/>
        <v>0</v>
      </c>
      <c r="D380" s="153">
        <f t="shared" ca="1" si="929"/>
        <v>0</v>
      </c>
      <c r="E380" s="153">
        <f t="shared" ca="1" si="930"/>
        <v>0</v>
      </c>
      <c r="F380" s="153">
        <f t="shared" ca="1" si="931"/>
        <v>0</v>
      </c>
      <c r="G380" s="153">
        <f t="shared" ca="1" si="932"/>
        <v>0</v>
      </c>
      <c r="H380" s="39">
        <f t="shared" ca="1" si="933"/>
        <v>0</v>
      </c>
      <c r="I380" s="39">
        <f t="shared" ca="1" si="934"/>
        <v>0</v>
      </c>
      <c r="J380" s="39">
        <f t="shared" ca="1" si="935"/>
        <v>0</v>
      </c>
      <c r="K380" s="39">
        <f t="shared" ca="1" si="936"/>
        <v>0</v>
      </c>
      <c r="L380" s="39">
        <f t="shared" ca="1" si="937"/>
        <v>0</v>
      </c>
      <c r="M380" s="39">
        <f t="shared" ca="1" si="939"/>
        <v>0</v>
      </c>
      <c r="O380" s="38"/>
      <c r="EZ380" s="38"/>
      <c r="FA380" s="53"/>
      <c r="FE380" s="38"/>
      <c r="FF380" s="153"/>
      <c r="FS380" s="550">
        <v>30</v>
      </c>
      <c r="FT380" s="58">
        <v>1</v>
      </c>
      <c r="FU380" s="38">
        <v>2</v>
      </c>
      <c r="FV380" s="38">
        <f t="shared" si="946"/>
        <v>1.0004997502081252</v>
      </c>
      <c r="FW380" s="39">
        <f t="shared" si="947"/>
        <v>51.573077304094078</v>
      </c>
    </row>
    <row r="381" spans="2:179">
      <c r="B381" s="1048">
        <f t="shared" ca="1" si="938"/>
        <v>47632</v>
      </c>
      <c r="C381" s="153">
        <f t="shared" ca="1" si="928"/>
        <v>0</v>
      </c>
      <c r="D381" s="153">
        <f t="shared" ca="1" si="929"/>
        <v>0</v>
      </c>
      <c r="E381" s="153">
        <f t="shared" ca="1" si="930"/>
        <v>0</v>
      </c>
      <c r="F381" s="153">
        <f t="shared" ca="1" si="931"/>
        <v>0</v>
      </c>
      <c r="G381" s="153">
        <f t="shared" ca="1" si="932"/>
        <v>0</v>
      </c>
      <c r="H381" s="39">
        <f t="shared" ca="1" si="933"/>
        <v>0</v>
      </c>
      <c r="I381" s="39">
        <f t="shared" ca="1" si="934"/>
        <v>0</v>
      </c>
      <c r="J381" s="39">
        <f t="shared" ca="1" si="935"/>
        <v>0</v>
      </c>
      <c r="K381" s="39">
        <f t="shared" ca="1" si="936"/>
        <v>0</v>
      </c>
      <c r="L381" s="39">
        <f t="shared" ca="1" si="937"/>
        <v>0</v>
      </c>
      <c r="M381" s="39">
        <f t="shared" ca="1" si="939"/>
        <v>0</v>
      </c>
      <c r="O381" s="38"/>
      <c r="EZ381" s="38"/>
      <c r="FA381" s="53"/>
      <c r="FE381" s="38"/>
      <c r="FF381" s="153"/>
      <c r="FS381" s="550">
        <v>30</v>
      </c>
      <c r="FT381" s="58">
        <v>1</v>
      </c>
      <c r="FU381" s="38">
        <v>3</v>
      </c>
      <c r="FV381" s="38">
        <f t="shared" si="946"/>
        <v>1.0007497189607399</v>
      </c>
      <c r="FW381" s="39">
        <f t="shared" si="947"/>
        <v>51.585962522505703</v>
      </c>
    </row>
    <row r="382" spans="2:179">
      <c r="B382" s="1048">
        <f t="shared" ca="1" si="938"/>
        <v>47662</v>
      </c>
      <c r="C382" s="153">
        <f t="shared" ca="1" si="928"/>
        <v>0</v>
      </c>
      <c r="D382" s="153">
        <f t="shared" ca="1" si="929"/>
        <v>0</v>
      </c>
      <c r="E382" s="153">
        <f t="shared" ca="1" si="930"/>
        <v>0</v>
      </c>
      <c r="F382" s="153">
        <f t="shared" ca="1" si="931"/>
        <v>0</v>
      </c>
      <c r="G382" s="153">
        <f t="shared" ca="1" si="932"/>
        <v>0</v>
      </c>
      <c r="H382" s="39">
        <f t="shared" ca="1" si="933"/>
        <v>0</v>
      </c>
      <c r="I382" s="39">
        <f t="shared" ca="1" si="934"/>
        <v>0</v>
      </c>
      <c r="J382" s="39">
        <f t="shared" ca="1" si="935"/>
        <v>0</v>
      </c>
      <c r="K382" s="39">
        <f t="shared" ca="1" si="936"/>
        <v>0</v>
      </c>
      <c r="L382" s="39">
        <f t="shared" ca="1" si="937"/>
        <v>0</v>
      </c>
      <c r="M382" s="39">
        <f t="shared" ca="1" si="939"/>
        <v>0</v>
      </c>
      <c r="O382" s="38"/>
      <c r="EZ382" s="38"/>
      <c r="FA382" s="53"/>
      <c r="FE382" s="38"/>
      <c r="FF382" s="153"/>
      <c r="FS382" s="550">
        <v>30</v>
      </c>
      <c r="FT382" s="58">
        <v>1</v>
      </c>
      <c r="FU382" s="38">
        <v>4</v>
      </c>
      <c r="FV382" s="38">
        <f t="shared" si="946"/>
        <v>1.0009997501665211</v>
      </c>
      <c r="FW382" s="39">
        <f t="shared" si="947"/>
        <v>51.598850960210463</v>
      </c>
    </row>
    <row r="383" spans="2:179">
      <c r="B383" s="1048">
        <f t="shared" ca="1" si="938"/>
        <v>47692</v>
      </c>
      <c r="C383" s="153">
        <f t="shared" ca="1" si="928"/>
        <v>0</v>
      </c>
      <c r="D383" s="153">
        <f t="shared" ca="1" si="929"/>
        <v>0</v>
      </c>
      <c r="E383" s="153">
        <f t="shared" ca="1" si="930"/>
        <v>0</v>
      </c>
      <c r="F383" s="153">
        <f t="shared" ca="1" si="931"/>
        <v>0</v>
      </c>
      <c r="G383" s="153">
        <f t="shared" ca="1" si="932"/>
        <v>0</v>
      </c>
      <c r="H383" s="39">
        <f t="shared" ca="1" si="933"/>
        <v>0</v>
      </c>
      <c r="I383" s="39">
        <f t="shared" ca="1" si="934"/>
        <v>0</v>
      </c>
      <c r="J383" s="39">
        <f t="shared" ca="1" si="935"/>
        <v>0</v>
      </c>
      <c r="K383" s="39">
        <f t="shared" ca="1" si="936"/>
        <v>0</v>
      </c>
      <c r="L383" s="39">
        <f t="shared" ca="1" si="937"/>
        <v>0</v>
      </c>
      <c r="M383" s="39">
        <f t="shared" ca="1" si="939"/>
        <v>0</v>
      </c>
      <c r="O383" s="38"/>
      <c r="EZ383" s="38"/>
      <c r="FA383" s="53"/>
      <c r="FE383" s="38"/>
      <c r="FF383" s="153"/>
      <c r="FS383" s="550">
        <v>30</v>
      </c>
      <c r="FT383" s="58">
        <v>1</v>
      </c>
      <c r="FU383" s="38">
        <v>5</v>
      </c>
      <c r="FV383" s="38">
        <f t="shared" si="946"/>
        <v>1.001249843841072</v>
      </c>
      <c r="FW383" s="39">
        <f t="shared" si="947"/>
        <v>51.61174261801267</v>
      </c>
    </row>
    <row r="384" spans="2:179">
      <c r="B384" s="1048">
        <f t="shared" ca="1" si="938"/>
        <v>47722</v>
      </c>
      <c r="C384" s="153">
        <f t="shared" ca="1" si="928"/>
        <v>0</v>
      </c>
      <c r="D384" s="153">
        <f t="shared" ca="1" si="929"/>
        <v>0</v>
      </c>
      <c r="E384" s="153">
        <f t="shared" ca="1" si="930"/>
        <v>0</v>
      </c>
      <c r="F384" s="153">
        <f t="shared" ca="1" si="931"/>
        <v>0</v>
      </c>
      <c r="G384" s="153">
        <f t="shared" ca="1" si="932"/>
        <v>0</v>
      </c>
      <c r="H384" s="39">
        <f t="shared" ca="1" si="933"/>
        <v>0</v>
      </c>
      <c r="I384" s="39">
        <f t="shared" ca="1" si="934"/>
        <v>0</v>
      </c>
      <c r="J384" s="39">
        <f t="shared" ca="1" si="935"/>
        <v>0</v>
      </c>
      <c r="K384" s="39">
        <f t="shared" ca="1" si="936"/>
        <v>0</v>
      </c>
      <c r="L384" s="39">
        <f t="shared" ca="1" si="937"/>
        <v>0</v>
      </c>
      <c r="M384" s="39">
        <f t="shared" ca="1" si="939"/>
        <v>0</v>
      </c>
      <c r="O384" s="38"/>
      <c r="EZ384" s="38"/>
      <c r="FA384" s="53"/>
      <c r="FE384" s="38"/>
      <c r="FF384" s="153"/>
      <c r="FS384" s="550">
        <v>30</v>
      </c>
      <c r="FT384" s="58">
        <v>1</v>
      </c>
      <c r="FU384" s="38">
        <v>6</v>
      </c>
      <c r="FV384" s="38">
        <f t="shared" si="946"/>
        <v>1.0015000000000001</v>
      </c>
      <c r="FW384" s="39">
        <f t="shared" si="947"/>
        <v>51.624637496716851</v>
      </c>
    </row>
    <row r="385" spans="2:179">
      <c r="B385" s="1048">
        <f t="shared" ca="1" si="938"/>
        <v>47752</v>
      </c>
      <c r="C385" s="153">
        <f t="shared" ca="1" si="928"/>
        <v>0</v>
      </c>
      <c r="D385" s="153">
        <f t="shared" ca="1" si="929"/>
        <v>0</v>
      </c>
      <c r="E385" s="153">
        <f t="shared" ca="1" si="930"/>
        <v>0</v>
      </c>
      <c r="F385" s="153">
        <f t="shared" ca="1" si="931"/>
        <v>0</v>
      </c>
      <c r="G385" s="153">
        <f t="shared" ca="1" si="932"/>
        <v>0</v>
      </c>
      <c r="H385" s="39">
        <f t="shared" ca="1" si="933"/>
        <v>0</v>
      </c>
      <c r="I385" s="39">
        <f t="shared" ca="1" si="934"/>
        <v>0</v>
      </c>
      <c r="J385" s="39">
        <f t="shared" ca="1" si="935"/>
        <v>0</v>
      </c>
      <c r="K385" s="39">
        <f t="shared" ca="1" si="936"/>
        <v>0</v>
      </c>
      <c r="L385" s="39">
        <f t="shared" ca="1" si="937"/>
        <v>0</v>
      </c>
      <c r="M385" s="39">
        <f t="shared" ca="1" si="939"/>
        <v>0</v>
      </c>
      <c r="O385" s="38"/>
      <c r="EZ385" s="38"/>
      <c r="FA385" s="53"/>
      <c r="FE385" s="38"/>
      <c r="FF385" s="153"/>
      <c r="FS385" s="550">
        <v>30</v>
      </c>
      <c r="FT385" s="58">
        <v>2</v>
      </c>
      <c r="FU385" s="38">
        <v>1</v>
      </c>
      <c r="FV385" s="38">
        <f t="shared" si="946"/>
        <v>1.0002498438930771</v>
      </c>
      <c r="FW385" s="39">
        <f t="shared" ref="FW385:FW390" si="948">$FW$384*FV385</f>
        <v>51.637535597127723</v>
      </c>
    </row>
    <row r="386" spans="2:179">
      <c r="B386" s="1048">
        <f t="shared" ca="1" si="938"/>
        <v>47782</v>
      </c>
      <c r="C386" s="153">
        <f t="shared" ca="1" si="928"/>
        <v>0</v>
      </c>
      <c r="D386" s="153">
        <f t="shared" ca="1" si="929"/>
        <v>0</v>
      </c>
      <c r="E386" s="153">
        <f t="shared" ca="1" si="930"/>
        <v>0</v>
      </c>
      <c r="F386" s="153">
        <f t="shared" ca="1" si="931"/>
        <v>0</v>
      </c>
      <c r="G386" s="153">
        <f t="shared" ca="1" si="932"/>
        <v>0</v>
      </c>
      <c r="H386" s="39">
        <f t="shared" ca="1" si="933"/>
        <v>0</v>
      </c>
      <c r="I386" s="39">
        <f t="shared" ca="1" si="934"/>
        <v>0</v>
      </c>
      <c r="J386" s="39">
        <f t="shared" ca="1" si="935"/>
        <v>0</v>
      </c>
      <c r="K386" s="39">
        <f t="shared" ca="1" si="936"/>
        <v>0</v>
      </c>
      <c r="L386" s="39">
        <f t="shared" ca="1" si="937"/>
        <v>0</v>
      </c>
      <c r="M386" s="39">
        <f t="shared" ca="1" si="939"/>
        <v>0</v>
      </c>
      <c r="O386" s="38"/>
      <c r="EZ386" s="38"/>
      <c r="FA386" s="53"/>
      <c r="FC386" s="73"/>
      <c r="FD386" s="73"/>
      <c r="FE386" s="40"/>
      <c r="FF386" s="153"/>
      <c r="FS386" s="550">
        <v>30</v>
      </c>
      <c r="FT386" s="58">
        <v>2</v>
      </c>
      <c r="FU386" s="38">
        <v>2</v>
      </c>
      <c r="FV386" s="38">
        <f t="shared" si="946"/>
        <v>1.0004997502081252</v>
      </c>
      <c r="FW386" s="39">
        <f t="shared" si="948"/>
        <v>51.650436920050225</v>
      </c>
    </row>
    <row r="387" spans="2:179">
      <c r="B387" s="1048">
        <f t="shared" ca="1" si="938"/>
        <v>47812</v>
      </c>
      <c r="C387" s="153">
        <f t="shared" ca="1" si="928"/>
        <v>0</v>
      </c>
      <c r="D387" s="153">
        <f t="shared" ca="1" si="929"/>
        <v>0</v>
      </c>
      <c r="E387" s="153">
        <f t="shared" ca="1" si="930"/>
        <v>0</v>
      </c>
      <c r="F387" s="153">
        <f t="shared" ca="1" si="931"/>
        <v>0</v>
      </c>
      <c r="G387" s="153">
        <f t="shared" ca="1" si="932"/>
        <v>0</v>
      </c>
      <c r="H387" s="39">
        <f t="shared" ca="1" si="933"/>
        <v>0</v>
      </c>
      <c r="I387" s="39">
        <f t="shared" ca="1" si="934"/>
        <v>0</v>
      </c>
      <c r="J387" s="39">
        <f t="shared" ca="1" si="935"/>
        <v>0</v>
      </c>
      <c r="K387" s="39">
        <f t="shared" ca="1" si="936"/>
        <v>0</v>
      </c>
      <c r="L387" s="39">
        <f t="shared" ca="1" si="937"/>
        <v>0</v>
      </c>
      <c r="M387" s="39">
        <f t="shared" ca="1" si="939"/>
        <v>0</v>
      </c>
      <c r="O387" s="38"/>
      <c r="EZ387" s="38"/>
      <c r="FA387" s="53"/>
      <c r="FC387" s="73"/>
      <c r="FD387" s="73"/>
      <c r="FE387" s="40"/>
      <c r="FF387" s="153"/>
      <c r="FS387" s="550">
        <v>30</v>
      </c>
      <c r="FT387" s="58">
        <v>2</v>
      </c>
      <c r="FU387" s="38">
        <v>3</v>
      </c>
      <c r="FV387" s="38">
        <f t="shared" si="946"/>
        <v>1.0007497189607399</v>
      </c>
      <c r="FW387" s="39">
        <f t="shared" si="948"/>
        <v>51.663341466289467</v>
      </c>
    </row>
    <row r="388" spans="2:179">
      <c r="B388" s="1048">
        <f t="shared" ca="1" si="938"/>
        <v>47842</v>
      </c>
      <c r="C388" s="153">
        <f t="shared" ca="1" si="928"/>
        <v>0</v>
      </c>
      <c r="D388" s="153">
        <f t="shared" ca="1" si="929"/>
        <v>0</v>
      </c>
      <c r="E388" s="153">
        <f t="shared" ca="1" si="930"/>
        <v>0</v>
      </c>
      <c r="F388" s="153">
        <f t="shared" ca="1" si="931"/>
        <v>0</v>
      </c>
      <c r="G388" s="153">
        <f t="shared" ca="1" si="932"/>
        <v>0</v>
      </c>
      <c r="H388" s="39">
        <f t="shared" ca="1" si="933"/>
        <v>0</v>
      </c>
      <c r="I388" s="39">
        <f t="shared" ca="1" si="934"/>
        <v>0</v>
      </c>
      <c r="J388" s="39">
        <f t="shared" ca="1" si="935"/>
        <v>0</v>
      </c>
      <c r="K388" s="39">
        <f t="shared" ca="1" si="936"/>
        <v>0</v>
      </c>
      <c r="L388" s="39">
        <f t="shared" ca="1" si="937"/>
        <v>0</v>
      </c>
      <c r="M388" s="39">
        <f t="shared" ca="1" si="939"/>
        <v>0</v>
      </c>
      <c r="O388" s="38"/>
      <c r="FS388" s="550">
        <v>30</v>
      </c>
      <c r="FT388" s="58">
        <v>2</v>
      </c>
      <c r="FU388" s="38">
        <v>4</v>
      </c>
      <c r="FV388" s="38">
        <f t="shared" si="946"/>
        <v>1.0009997501665211</v>
      </c>
      <c r="FW388" s="39">
        <f t="shared" si="948"/>
        <v>51.676249236650783</v>
      </c>
    </row>
    <row r="389" spans="2:179">
      <c r="B389" s="1048">
        <f t="shared" ca="1" si="938"/>
        <v>47872</v>
      </c>
      <c r="C389" s="153">
        <f t="shared" ca="1" si="928"/>
        <v>0</v>
      </c>
      <c r="D389" s="153">
        <f t="shared" ca="1" si="929"/>
        <v>0</v>
      </c>
      <c r="E389" s="153">
        <f t="shared" ca="1" si="930"/>
        <v>0</v>
      </c>
      <c r="F389" s="153">
        <f t="shared" ca="1" si="931"/>
        <v>0</v>
      </c>
      <c r="G389" s="153">
        <f t="shared" ca="1" si="932"/>
        <v>0</v>
      </c>
      <c r="H389" s="39">
        <f t="shared" ca="1" si="933"/>
        <v>0</v>
      </c>
      <c r="I389" s="39">
        <f t="shared" ca="1" si="934"/>
        <v>0</v>
      </c>
      <c r="J389" s="39">
        <f t="shared" ca="1" si="935"/>
        <v>0</v>
      </c>
      <c r="K389" s="39">
        <f t="shared" ca="1" si="936"/>
        <v>0</v>
      </c>
      <c r="L389" s="39">
        <f t="shared" ca="1" si="937"/>
        <v>0</v>
      </c>
      <c r="M389" s="39">
        <f t="shared" ca="1" si="939"/>
        <v>0</v>
      </c>
      <c r="O389" s="38"/>
      <c r="FS389" s="550">
        <v>30</v>
      </c>
      <c r="FT389" s="58">
        <v>2</v>
      </c>
      <c r="FU389" s="38">
        <v>5</v>
      </c>
      <c r="FV389" s="38">
        <f t="shared" si="946"/>
        <v>1.001249843841072</v>
      </c>
      <c r="FW389" s="39">
        <f t="shared" si="948"/>
        <v>51.689160231939695</v>
      </c>
    </row>
    <row r="390" spans="2:179">
      <c r="B390" s="1048">
        <f t="shared" ca="1" si="938"/>
        <v>47902</v>
      </c>
      <c r="C390" s="153">
        <f t="shared" ca="1" si="928"/>
        <v>0</v>
      </c>
      <c r="D390" s="153">
        <f t="shared" ca="1" si="929"/>
        <v>0</v>
      </c>
      <c r="E390" s="153">
        <f t="shared" ca="1" si="930"/>
        <v>0</v>
      </c>
      <c r="F390" s="153">
        <f t="shared" ca="1" si="931"/>
        <v>0</v>
      </c>
      <c r="G390" s="153">
        <f t="shared" ca="1" si="932"/>
        <v>0</v>
      </c>
      <c r="H390" s="39">
        <f t="shared" ca="1" si="933"/>
        <v>0</v>
      </c>
      <c r="I390" s="39">
        <f t="shared" ca="1" si="934"/>
        <v>0</v>
      </c>
      <c r="J390" s="39">
        <f t="shared" ca="1" si="935"/>
        <v>0</v>
      </c>
      <c r="K390" s="39">
        <f t="shared" ca="1" si="936"/>
        <v>0</v>
      </c>
      <c r="L390" s="39">
        <f t="shared" ca="1" si="937"/>
        <v>0</v>
      </c>
      <c r="M390" s="39">
        <f t="shared" ca="1" si="939"/>
        <v>0</v>
      </c>
      <c r="O390" s="38"/>
      <c r="FS390" s="550">
        <v>30</v>
      </c>
      <c r="FT390" s="58">
        <v>2</v>
      </c>
      <c r="FU390" s="38">
        <v>6</v>
      </c>
      <c r="FV390" s="38">
        <f t="shared" si="946"/>
        <v>1.0015000000000001</v>
      </c>
      <c r="FW390" s="39">
        <f t="shared" si="948"/>
        <v>51.702074452961931</v>
      </c>
    </row>
    <row r="391" spans="2:179">
      <c r="B391" s="1048">
        <f t="shared" ca="1" si="938"/>
        <v>47932</v>
      </c>
      <c r="C391" s="153">
        <f t="shared" ca="1" si="928"/>
        <v>0</v>
      </c>
      <c r="D391" s="153">
        <f t="shared" ca="1" si="929"/>
        <v>0</v>
      </c>
      <c r="E391" s="153">
        <f t="shared" ca="1" si="930"/>
        <v>0</v>
      </c>
      <c r="F391" s="153">
        <f t="shared" ca="1" si="931"/>
        <v>0</v>
      </c>
      <c r="G391" s="153">
        <f t="shared" ca="1" si="932"/>
        <v>0</v>
      </c>
      <c r="H391" s="39">
        <f t="shared" ca="1" si="933"/>
        <v>0</v>
      </c>
      <c r="I391" s="39">
        <f t="shared" ca="1" si="934"/>
        <v>0</v>
      </c>
      <c r="J391" s="39">
        <f t="shared" ca="1" si="935"/>
        <v>0</v>
      </c>
      <c r="K391" s="39">
        <f t="shared" ca="1" si="936"/>
        <v>0</v>
      </c>
      <c r="L391" s="39">
        <f t="shared" ca="1" si="937"/>
        <v>0</v>
      </c>
      <c r="M391" s="39">
        <f t="shared" ca="1" si="939"/>
        <v>0</v>
      </c>
      <c r="O391" s="38"/>
    </row>
    <row r="392" spans="2:179">
      <c r="B392" s="1048">
        <f t="shared" ca="1" si="938"/>
        <v>47962</v>
      </c>
      <c r="C392" s="153">
        <f t="shared" ca="1" si="928"/>
        <v>0</v>
      </c>
      <c r="D392" s="153">
        <f t="shared" ca="1" si="929"/>
        <v>0</v>
      </c>
      <c r="E392" s="153">
        <f t="shared" ca="1" si="930"/>
        <v>0</v>
      </c>
      <c r="F392" s="153">
        <f t="shared" ca="1" si="931"/>
        <v>0</v>
      </c>
      <c r="G392" s="153">
        <f t="shared" ca="1" si="932"/>
        <v>0</v>
      </c>
      <c r="H392" s="39">
        <f t="shared" ca="1" si="933"/>
        <v>0</v>
      </c>
      <c r="I392" s="39">
        <f t="shared" ca="1" si="934"/>
        <v>0</v>
      </c>
      <c r="J392" s="39">
        <f t="shared" ca="1" si="935"/>
        <v>0</v>
      </c>
      <c r="K392" s="39">
        <f t="shared" ca="1" si="936"/>
        <v>0</v>
      </c>
      <c r="L392" s="39">
        <f t="shared" ca="1" si="937"/>
        <v>0</v>
      </c>
      <c r="M392" s="39">
        <f t="shared" ca="1" si="939"/>
        <v>0</v>
      </c>
      <c r="O392" s="38"/>
    </row>
    <row r="393" spans="2:179">
      <c r="B393" s="1048">
        <f t="shared" ca="1" si="938"/>
        <v>47992</v>
      </c>
      <c r="C393" s="153">
        <f t="shared" ca="1" si="928"/>
        <v>0</v>
      </c>
      <c r="D393" s="153">
        <f t="shared" ca="1" si="929"/>
        <v>0</v>
      </c>
      <c r="E393" s="153">
        <f t="shared" ca="1" si="930"/>
        <v>0</v>
      </c>
      <c r="F393" s="153">
        <f t="shared" ca="1" si="931"/>
        <v>0</v>
      </c>
      <c r="G393" s="153">
        <f t="shared" ca="1" si="932"/>
        <v>0</v>
      </c>
      <c r="H393" s="39">
        <f t="shared" ca="1" si="933"/>
        <v>0</v>
      </c>
      <c r="I393" s="39">
        <f t="shared" ca="1" si="934"/>
        <v>0</v>
      </c>
      <c r="J393" s="39">
        <f t="shared" ca="1" si="935"/>
        <v>0</v>
      </c>
      <c r="K393" s="39">
        <f t="shared" ca="1" si="936"/>
        <v>0</v>
      </c>
      <c r="L393" s="39">
        <f t="shared" ca="1" si="937"/>
        <v>0</v>
      </c>
      <c r="M393" s="39">
        <f t="shared" ca="1" si="939"/>
        <v>0</v>
      </c>
      <c r="O393" s="38"/>
    </row>
    <row r="394" spans="2:179">
      <c r="B394" s="1048">
        <f t="shared" ca="1" si="938"/>
        <v>48022</v>
      </c>
      <c r="C394" s="153">
        <f t="shared" ca="1" si="928"/>
        <v>0</v>
      </c>
      <c r="D394" s="153">
        <f t="shared" ca="1" si="929"/>
        <v>0</v>
      </c>
      <c r="E394" s="153">
        <f t="shared" ca="1" si="930"/>
        <v>0</v>
      </c>
      <c r="F394" s="153">
        <f t="shared" ca="1" si="931"/>
        <v>0</v>
      </c>
      <c r="G394" s="153">
        <f t="shared" ca="1" si="932"/>
        <v>0</v>
      </c>
      <c r="H394" s="39">
        <f t="shared" ca="1" si="933"/>
        <v>0</v>
      </c>
      <c r="I394" s="39">
        <f t="shared" ca="1" si="934"/>
        <v>0</v>
      </c>
      <c r="J394" s="39">
        <f t="shared" ca="1" si="935"/>
        <v>0</v>
      </c>
      <c r="K394" s="39">
        <f t="shared" ca="1" si="936"/>
        <v>0</v>
      </c>
      <c r="L394" s="39">
        <f t="shared" ca="1" si="937"/>
        <v>0</v>
      </c>
      <c r="M394" s="39">
        <f t="shared" ca="1" si="939"/>
        <v>0</v>
      </c>
      <c r="O394" s="38"/>
    </row>
    <row r="395" spans="2:179">
      <c r="B395" s="1048">
        <f t="shared" ca="1" si="938"/>
        <v>48052</v>
      </c>
      <c r="C395" s="153">
        <f t="shared" ca="1" si="928"/>
        <v>0</v>
      </c>
      <c r="D395" s="153">
        <f t="shared" ca="1" si="929"/>
        <v>0</v>
      </c>
      <c r="E395" s="153">
        <f t="shared" ca="1" si="930"/>
        <v>0</v>
      </c>
      <c r="F395" s="153">
        <f t="shared" ca="1" si="931"/>
        <v>0</v>
      </c>
      <c r="G395" s="153">
        <f t="shared" ca="1" si="932"/>
        <v>0</v>
      </c>
      <c r="H395" s="39">
        <f t="shared" ca="1" si="933"/>
        <v>0</v>
      </c>
      <c r="I395" s="39">
        <f t="shared" ca="1" si="934"/>
        <v>0</v>
      </c>
      <c r="J395" s="39">
        <f t="shared" ca="1" si="935"/>
        <v>0</v>
      </c>
      <c r="K395" s="39">
        <f t="shared" ca="1" si="936"/>
        <v>0</v>
      </c>
      <c r="L395" s="39">
        <f t="shared" ca="1" si="937"/>
        <v>0</v>
      </c>
      <c r="M395" s="39">
        <f t="shared" ca="1" si="939"/>
        <v>0</v>
      </c>
      <c r="O395" s="38"/>
    </row>
    <row r="396" spans="2:179">
      <c r="B396" s="1048">
        <f t="shared" ca="1" si="938"/>
        <v>48082</v>
      </c>
      <c r="C396" s="153">
        <f t="shared" ca="1" si="928"/>
        <v>0</v>
      </c>
      <c r="D396" s="153">
        <f t="shared" ca="1" si="929"/>
        <v>0</v>
      </c>
      <c r="E396" s="153">
        <f t="shared" ca="1" si="930"/>
        <v>0</v>
      </c>
      <c r="F396" s="153">
        <f t="shared" ca="1" si="931"/>
        <v>0</v>
      </c>
      <c r="G396" s="153">
        <f t="shared" ca="1" si="932"/>
        <v>0</v>
      </c>
      <c r="H396" s="39">
        <f t="shared" ca="1" si="933"/>
        <v>0</v>
      </c>
      <c r="I396" s="39">
        <f t="shared" ca="1" si="934"/>
        <v>0</v>
      </c>
      <c r="J396" s="39">
        <f t="shared" ca="1" si="935"/>
        <v>0</v>
      </c>
      <c r="K396" s="39">
        <f t="shared" ca="1" si="936"/>
        <v>0</v>
      </c>
      <c r="L396" s="39">
        <f t="shared" ca="1" si="937"/>
        <v>0</v>
      </c>
      <c r="M396" s="39">
        <f t="shared" ca="1" si="939"/>
        <v>0</v>
      </c>
      <c r="O396" s="38"/>
    </row>
    <row r="397" spans="2:179">
      <c r="B397" s="1048">
        <f t="shared" ca="1" si="938"/>
        <v>48112</v>
      </c>
      <c r="C397" s="153">
        <f t="shared" ca="1" si="928"/>
        <v>0</v>
      </c>
      <c r="D397" s="153">
        <f t="shared" ca="1" si="929"/>
        <v>0</v>
      </c>
      <c r="E397" s="153">
        <f t="shared" ca="1" si="930"/>
        <v>0</v>
      </c>
      <c r="F397" s="153">
        <f t="shared" ca="1" si="931"/>
        <v>0</v>
      </c>
      <c r="G397" s="153">
        <f t="shared" ca="1" si="932"/>
        <v>0</v>
      </c>
      <c r="H397" s="39">
        <f t="shared" ca="1" si="933"/>
        <v>0</v>
      </c>
      <c r="I397" s="39">
        <f t="shared" ca="1" si="934"/>
        <v>0</v>
      </c>
      <c r="J397" s="39">
        <f t="shared" ca="1" si="935"/>
        <v>0</v>
      </c>
      <c r="K397" s="39">
        <f t="shared" ca="1" si="936"/>
        <v>0</v>
      </c>
      <c r="L397" s="39">
        <f t="shared" ca="1" si="937"/>
        <v>0</v>
      </c>
      <c r="M397" s="39">
        <f t="shared" ca="1" si="939"/>
        <v>0</v>
      </c>
      <c r="O397" s="38"/>
    </row>
    <row r="398" spans="2:179">
      <c r="B398" s="1048">
        <f t="shared" ca="1" si="938"/>
        <v>48142</v>
      </c>
      <c r="C398" s="153">
        <f t="shared" ca="1" si="928"/>
        <v>0</v>
      </c>
      <c r="D398" s="153">
        <f t="shared" ca="1" si="929"/>
        <v>0</v>
      </c>
      <c r="E398" s="153">
        <f t="shared" ca="1" si="930"/>
        <v>0</v>
      </c>
      <c r="F398" s="153">
        <f t="shared" ca="1" si="931"/>
        <v>0</v>
      </c>
      <c r="G398" s="153">
        <f t="shared" ca="1" si="932"/>
        <v>0</v>
      </c>
      <c r="H398" s="39">
        <f t="shared" ca="1" si="933"/>
        <v>0</v>
      </c>
      <c r="I398" s="39">
        <f t="shared" ca="1" si="934"/>
        <v>0</v>
      </c>
      <c r="J398" s="39">
        <f t="shared" ca="1" si="935"/>
        <v>0</v>
      </c>
      <c r="K398" s="39">
        <f t="shared" ca="1" si="936"/>
        <v>0</v>
      </c>
      <c r="L398" s="39">
        <f t="shared" ca="1" si="937"/>
        <v>0</v>
      </c>
      <c r="M398" s="39">
        <f t="shared" ca="1" si="939"/>
        <v>0</v>
      </c>
      <c r="O398" s="38"/>
    </row>
    <row r="399" spans="2:179">
      <c r="B399" s="1048">
        <f t="shared" ca="1" si="938"/>
        <v>48172</v>
      </c>
      <c r="C399" s="153">
        <f t="shared" ca="1" si="928"/>
        <v>0</v>
      </c>
      <c r="D399" s="153">
        <f t="shared" ca="1" si="929"/>
        <v>0</v>
      </c>
      <c r="E399" s="153">
        <f t="shared" ca="1" si="930"/>
        <v>0</v>
      </c>
      <c r="F399" s="153">
        <f t="shared" ca="1" si="931"/>
        <v>0</v>
      </c>
      <c r="G399" s="153">
        <f t="shared" ca="1" si="932"/>
        <v>0</v>
      </c>
      <c r="H399" s="39">
        <f t="shared" ca="1" si="933"/>
        <v>0</v>
      </c>
      <c r="I399" s="39">
        <f t="shared" ca="1" si="934"/>
        <v>0</v>
      </c>
      <c r="J399" s="39">
        <f t="shared" ca="1" si="935"/>
        <v>0</v>
      </c>
      <c r="K399" s="39">
        <f t="shared" ca="1" si="936"/>
        <v>0</v>
      </c>
      <c r="L399" s="39">
        <f t="shared" ca="1" si="937"/>
        <v>0</v>
      </c>
      <c r="M399" s="39">
        <f t="shared" ca="1" si="939"/>
        <v>0</v>
      </c>
      <c r="O399" s="38"/>
    </row>
    <row r="400" spans="2:179">
      <c r="B400" s="1048">
        <f t="shared" ca="1" si="938"/>
        <v>48202</v>
      </c>
      <c r="C400" s="153">
        <f t="shared" ca="1" si="928"/>
        <v>0</v>
      </c>
      <c r="D400" s="153">
        <f t="shared" ca="1" si="929"/>
        <v>0</v>
      </c>
      <c r="E400" s="153">
        <f t="shared" ca="1" si="930"/>
        <v>0</v>
      </c>
      <c r="F400" s="153">
        <f t="shared" ca="1" si="931"/>
        <v>0</v>
      </c>
      <c r="G400" s="153">
        <f t="shared" ca="1" si="932"/>
        <v>0</v>
      </c>
      <c r="H400" s="39">
        <f t="shared" ca="1" si="933"/>
        <v>0</v>
      </c>
      <c r="I400" s="39">
        <f t="shared" ca="1" si="934"/>
        <v>0</v>
      </c>
      <c r="J400" s="39">
        <f t="shared" ca="1" si="935"/>
        <v>0</v>
      </c>
      <c r="K400" s="39">
        <f t="shared" ca="1" si="936"/>
        <v>0</v>
      </c>
      <c r="L400" s="39">
        <f t="shared" ca="1" si="937"/>
        <v>0</v>
      </c>
      <c r="M400" s="39">
        <f t="shared" ca="1" si="939"/>
        <v>0</v>
      </c>
      <c r="O400" s="38"/>
    </row>
    <row r="401" spans="2:15">
      <c r="B401" s="1048">
        <f t="shared" ca="1" si="938"/>
        <v>48232</v>
      </c>
      <c r="C401" s="153">
        <f t="shared" ca="1" si="928"/>
        <v>0</v>
      </c>
      <c r="D401" s="153">
        <f t="shared" ca="1" si="929"/>
        <v>0</v>
      </c>
      <c r="E401" s="153">
        <f t="shared" ca="1" si="930"/>
        <v>0</v>
      </c>
      <c r="F401" s="153">
        <f t="shared" ca="1" si="931"/>
        <v>0</v>
      </c>
      <c r="G401" s="153">
        <f t="shared" ca="1" si="932"/>
        <v>0</v>
      </c>
      <c r="H401" s="39">
        <f t="shared" ca="1" si="933"/>
        <v>0</v>
      </c>
      <c r="I401" s="39">
        <f t="shared" ca="1" si="934"/>
        <v>0</v>
      </c>
      <c r="J401" s="39">
        <f t="shared" ca="1" si="935"/>
        <v>0</v>
      </c>
      <c r="K401" s="39">
        <f t="shared" ca="1" si="936"/>
        <v>0</v>
      </c>
      <c r="L401" s="39">
        <f t="shared" ca="1" si="937"/>
        <v>0</v>
      </c>
      <c r="M401" s="39">
        <f t="shared" ca="1" si="939"/>
        <v>0</v>
      </c>
      <c r="O401" s="38"/>
    </row>
    <row r="402" spans="2:15">
      <c r="B402" s="1048">
        <f t="shared" ca="1" si="938"/>
        <v>48262</v>
      </c>
      <c r="C402" s="153">
        <f t="shared" ca="1" si="928"/>
        <v>0</v>
      </c>
      <c r="D402" s="153">
        <f t="shared" ca="1" si="929"/>
        <v>0</v>
      </c>
      <c r="E402" s="153">
        <f t="shared" ca="1" si="930"/>
        <v>0</v>
      </c>
      <c r="F402" s="153">
        <f t="shared" ca="1" si="931"/>
        <v>0</v>
      </c>
      <c r="G402" s="153">
        <f t="shared" ca="1" si="932"/>
        <v>0</v>
      </c>
      <c r="H402" s="39">
        <f t="shared" ca="1" si="933"/>
        <v>0</v>
      </c>
      <c r="I402" s="39">
        <f t="shared" ca="1" si="934"/>
        <v>0</v>
      </c>
      <c r="J402" s="39">
        <f t="shared" ca="1" si="935"/>
        <v>0</v>
      </c>
      <c r="K402" s="39">
        <f t="shared" ca="1" si="936"/>
        <v>0</v>
      </c>
      <c r="L402" s="39">
        <f t="shared" ca="1" si="937"/>
        <v>0</v>
      </c>
      <c r="M402" s="39">
        <f t="shared" ca="1" si="939"/>
        <v>0</v>
      </c>
      <c r="O402" s="38"/>
    </row>
    <row r="403" spans="2:15">
      <c r="B403" s="1048">
        <f t="shared" ca="1" si="938"/>
        <v>48292</v>
      </c>
      <c r="C403" s="153">
        <f t="shared" ca="1" si="928"/>
        <v>0</v>
      </c>
      <c r="D403" s="153">
        <f t="shared" ca="1" si="929"/>
        <v>0</v>
      </c>
      <c r="E403" s="153">
        <f t="shared" ca="1" si="930"/>
        <v>0</v>
      </c>
      <c r="F403" s="153">
        <f t="shared" ca="1" si="931"/>
        <v>0</v>
      </c>
      <c r="G403" s="153">
        <f t="shared" ca="1" si="932"/>
        <v>0</v>
      </c>
      <c r="H403" s="39">
        <f t="shared" ca="1" si="933"/>
        <v>0</v>
      </c>
      <c r="I403" s="39">
        <f t="shared" ca="1" si="934"/>
        <v>0</v>
      </c>
      <c r="J403" s="39">
        <f t="shared" ca="1" si="935"/>
        <v>0</v>
      </c>
      <c r="K403" s="39">
        <f t="shared" ca="1" si="936"/>
        <v>0</v>
      </c>
      <c r="L403" s="39">
        <f t="shared" ca="1" si="937"/>
        <v>0</v>
      </c>
      <c r="M403" s="39">
        <f t="shared" ca="1" si="939"/>
        <v>0</v>
      </c>
      <c r="O403" s="38"/>
    </row>
    <row r="404" spans="2:15">
      <c r="B404" s="1048">
        <f t="shared" ca="1" si="938"/>
        <v>48322</v>
      </c>
      <c r="C404" s="153">
        <f t="shared" ca="1" si="928"/>
        <v>0</v>
      </c>
      <c r="D404" s="153">
        <f t="shared" ca="1" si="929"/>
        <v>0</v>
      </c>
      <c r="E404" s="153">
        <f t="shared" ca="1" si="930"/>
        <v>0</v>
      </c>
      <c r="F404" s="153">
        <f t="shared" ca="1" si="931"/>
        <v>0</v>
      </c>
      <c r="G404" s="153">
        <f t="shared" ca="1" si="932"/>
        <v>0</v>
      </c>
      <c r="H404" s="39">
        <f t="shared" ca="1" si="933"/>
        <v>0</v>
      </c>
      <c r="I404" s="39">
        <f t="shared" ca="1" si="934"/>
        <v>0</v>
      </c>
      <c r="J404" s="39">
        <f t="shared" ca="1" si="935"/>
        <v>0</v>
      </c>
      <c r="K404" s="39">
        <f t="shared" ca="1" si="936"/>
        <v>0</v>
      </c>
      <c r="L404" s="39">
        <f t="shared" ca="1" si="937"/>
        <v>0</v>
      </c>
      <c r="M404" s="39">
        <f t="shared" ca="1" si="939"/>
        <v>0</v>
      </c>
      <c r="O404" s="38"/>
    </row>
    <row r="405" spans="2:15">
      <c r="B405" s="1048">
        <f t="shared" ca="1" si="938"/>
        <v>48352</v>
      </c>
      <c r="C405" s="153">
        <f t="shared" ca="1" si="928"/>
        <v>0</v>
      </c>
      <c r="D405" s="153">
        <f t="shared" ca="1" si="929"/>
        <v>0</v>
      </c>
      <c r="E405" s="153">
        <f t="shared" ca="1" si="930"/>
        <v>0</v>
      </c>
      <c r="F405" s="153">
        <f t="shared" ca="1" si="931"/>
        <v>0</v>
      </c>
      <c r="G405" s="153">
        <f t="shared" ca="1" si="932"/>
        <v>0</v>
      </c>
      <c r="H405" s="39">
        <f t="shared" ca="1" si="933"/>
        <v>0</v>
      </c>
      <c r="I405" s="39">
        <f t="shared" ca="1" si="934"/>
        <v>0</v>
      </c>
      <c r="J405" s="39">
        <f t="shared" ca="1" si="935"/>
        <v>0</v>
      </c>
      <c r="K405" s="39">
        <f t="shared" ca="1" si="936"/>
        <v>0</v>
      </c>
      <c r="L405" s="39">
        <f t="shared" ca="1" si="937"/>
        <v>0</v>
      </c>
      <c r="M405" s="39">
        <f t="shared" ca="1" si="939"/>
        <v>0</v>
      </c>
      <c r="O405" s="38"/>
    </row>
    <row r="406" spans="2:15">
      <c r="B406" s="1048">
        <f t="shared" ca="1" si="938"/>
        <v>48382</v>
      </c>
      <c r="C406" s="153">
        <f t="shared" ca="1" si="928"/>
        <v>0</v>
      </c>
      <c r="D406" s="153">
        <f t="shared" ca="1" si="929"/>
        <v>0</v>
      </c>
      <c r="E406" s="153">
        <f t="shared" ca="1" si="930"/>
        <v>0</v>
      </c>
      <c r="F406" s="153">
        <f t="shared" ca="1" si="931"/>
        <v>0</v>
      </c>
      <c r="G406" s="153">
        <f t="shared" ca="1" si="932"/>
        <v>0</v>
      </c>
      <c r="H406" s="39">
        <f t="shared" ca="1" si="933"/>
        <v>0</v>
      </c>
      <c r="I406" s="39">
        <f t="shared" ca="1" si="934"/>
        <v>0</v>
      </c>
      <c r="J406" s="39">
        <f t="shared" ca="1" si="935"/>
        <v>0</v>
      </c>
      <c r="K406" s="39">
        <f t="shared" ca="1" si="936"/>
        <v>0</v>
      </c>
      <c r="L406" s="39">
        <f t="shared" ca="1" si="937"/>
        <v>0</v>
      </c>
      <c r="M406" s="39">
        <f t="shared" ca="1" si="939"/>
        <v>0</v>
      </c>
      <c r="O406" s="38"/>
    </row>
    <row r="407" spans="2:15">
      <c r="B407" s="1048">
        <f t="shared" ca="1" si="938"/>
        <v>48412</v>
      </c>
      <c r="C407" s="153">
        <f t="shared" ca="1" si="928"/>
        <v>0</v>
      </c>
      <c r="D407" s="153">
        <f t="shared" ca="1" si="929"/>
        <v>0</v>
      </c>
      <c r="E407" s="153">
        <f t="shared" ca="1" si="930"/>
        <v>0</v>
      </c>
      <c r="F407" s="153">
        <f t="shared" ca="1" si="931"/>
        <v>0</v>
      </c>
      <c r="G407" s="153">
        <f t="shared" ca="1" si="932"/>
        <v>0</v>
      </c>
      <c r="H407" s="39">
        <f t="shared" ca="1" si="933"/>
        <v>0</v>
      </c>
      <c r="I407" s="39">
        <f t="shared" ca="1" si="934"/>
        <v>0</v>
      </c>
      <c r="J407" s="39">
        <f t="shared" ca="1" si="935"/>
        <v>0</v>
      </c>
      <c r="K407" s="39">
        <f t="shared" ca="1" si="936"/>
        <v>0</v>
      </c>
      <c r="L407" s="39">
        <f t="shared" ca="1" si="937"/>
        <v>0</v>
      </c>
      <c r="M407" s="39">
        <f t="shared" ca="1" si="939"/>
        <v>0</v>
      </c>
      <c r="O407" s="38"/>
    </row>
    <row r="408" spans="2:15">
      <c r="B408" s="1048">
        <f t="shared" ca="1" si="938"/>
        <v>48442</v>
      </c>
      <c r="C408" s="153">
        <f t="shared" ca="1" si="928"/>
        <v>0</v>
      </c>
      <c r="D408" s="153">
        <f t="shared" ca="1" si="929"/>
        <v>0</v>
      </c>
      <c r="E408" s="153">
        <f t="shared" ca="1" si="930"/>
        <v>0</v>
      </c>
      <c r="F408" s="153">
        <f t="shared" ca="1" si="931"/>
        <v>0</v>
      </c>
      <c r="G408" s="153">
        <f t="shared" ca="1" si="932"/>
        <v>0</v>
      </c>
      <c r="H408" s="39">
        <f t="shared" ca="1" si="933"/>
        <v>0</v>
      </c>
      <c r="I408" s="39">
        <f t="shared" ca="1" si="934"/>
        <v>0</v>
      </c>
      <c r="J408" s="39">
        <f t="shared" ca="1" si="935"/>
        <v>0</v>
      </c>
      <c r="K408" s="39">
        <f t="shared" ca="1" si="936"/>
        <v>0</v>
      </c>
      <c r="L408" s="39">
        <f t="shared" ca="1" si="937"/>
        <v>0</v>
      </c>
      <c r="M408" s="39">
        <f t="shared" ca="1" si="939"/>
        <v>0</v>
      </c>
      <c r="O408" s="38"/>
    </row>
    <row r="409" spans="2:15">
      <c r="B409" s="1048">
        <f t="shared" ca="1" si="938"/>
        <v>48472</v>
      </c>
      <c r="C409" s="153">
        <f t="shared" ca="1" si="928"/>
        <v>0</v>
      </c>
      <c r="D409" s="153">
        <f t="shared" ca="1" si="929"/>
        <v>0</v>
      </c>
      <c r="E409" s="153">
        <f t="shared" ca="1" si="930"/>
        <v>0</v>
      </c>
      <c r="F409" s="153">
        <f t="shared" ca="1" si="931"/>
        <v>0</v>
      </c>
      <c r="G409" s="153">
        <f t="shared" ca="1" si="932"/>
        <v>0</v>
      </c>
      <c r="H409" s="39">
        <f t="shared" ca="1" si="933"/>
        <v>0</v>
      </c>
      <c r="I409" s="39">
        <f t="shared" ca="1" si="934"/>
        <v>0</v>
      </c>
      <c r="J409" s="39">
        <f t="shared" ca="1" si="935"/>
        <v>0</v>
      </c>
      <c r="K409" s="39">
        <f t="shared" ca="1" si="936"/>
        <v>0</v>
      </c>
      <c r="L409" s="39">
        <f t="shared" ca="1" si="937"/>
        <v>0</v>
      </c>
      <c r="M409" s="39">
        <f t="shared" ca="1" si="939"/>
        <v>0</v>
      </c>
      <c r="O409" s="38"/>
    </row>
    <row r="410" spans="2:15">
      <c r="B410" s="1048">
        <f t="shared" ca="1" si="938"/>
        <v>48502</v>
      </c>
      <c r="C410" s="153">
        <f t="shared" ca="1" si="928"/>
        <v>0</v>
      </c>
      <c r="D410" s="153">
        <f t="shared" ca="1" si="929"/>
        <v>0</v>
      </c>
      <c r="E410" s="153">
        <f t="shared" ca="1" si="930"/>
        <v>0</v>
      </c>
      <c r="F410" s="153">
        <f t="shared" ca="1" si="931"/>
        <v>0</v>
      </c>
      <c r="G410" s="153">
        <f t="shared" ca="1" si="932"/>
        <v>0</v>
      </c>
      <c r="H410" s="39">
        <f t="shared" ca="1" si="933"/>
        <v>0</v>
      </c>
      <c r="I410" s="39">
        <f t="shared" ca="1" si="934"/>
        <v>0</v>
      </c>
      <c r="J410" s="39">
        <f t="shared" ca="1" si="935"/>
        <v>0</v>
      </c>
      <c r="K410" s="39">
        <f t="shared" ca="1" si="936"/>
        <v>0</v>
      </c>
      <c r="L410" s="39">
        <f t="shared" ca="1" si="937"/>
        <v>0</v>
      </c>
      <c r="M410" s="39">
        <f t="shared" ca="1" si="939"/>
        <v>0</v>
      </c>
      <c r="O410" s="38"/>
    </row>
    <row r="411" spans="2:15">
      <c r="B411" s="1048">
        <f t="shared" ca="1" si="938"/>
        <v>48532</v>
      </c>
      <c r="C411" s="153">
        <f t="shared" ref="C411:C474" ca="1" si="949">SUMIFS(P:P,U:U,"&gt;="&amp;DATE(YEAR(B411),MONTH(B411),DAY(B411)),U:U,"&lt;"&amp;DATE(YEAR(B412),MONTH(B412),DAY(B412)))</f>
        <v>0</v>
      </c>
      <c r="D411" s="153">
        <f t="shared" ref="D411:D474" ca="1" si="950">SUMIFS(Y:Y,AD:AD,"&gt;="&amp;DATE(YEAR(B411),MONTH(B411),DAY(B411)),AD:AD,"&lt;"&amp;DATE(YEAR(B412),MONTH(B412),DAY(B412)))</f>
        <v>0</v>
      </c>
      <c r="E411" s="153">
        <f t="shared" ref="E411:E474" ca="1" si="951">SUMIFS(AI:AI,AN:AN,"&gt;="&amp;DATE(YEAR(B411),MONTH(B411),DAY(B411)),AN:AN,"&lt;"&amp;DATE(YEAR(B412),MONTH(B412),DAY(B412)))</f>
        <v>0</v>
      </c>
      <c r="F411" s="153">
        <f t="shared" ref="F411:F474" ca="1" si="952">SUMIFS(AR:AR,AW:AW,"&gt;="&amp;DATE(YEAR(B411),MONTH(B411),DAY(B411)),AW:AW,"&lt;"&amp;DATE(YEAR(B412),MONTH(B412),DAY(B412)))</f>
        <v>0</v>
      </c>
      <c r="G411" s="153">
        <f t="shared" ref="G411:G474" ca="1" si="953">SUMIFS(BC:BC,BF:BF,"&gt;="&amp;DATE(YEAR(B411),MONTH(B411),DAY(B411)),BF:BF,"&lt;"&amp;DATE(YEAR(B412),MONTH(B412),DAY(B412)))</f>
        <v>0</v>
      </c>
      <c r="H411" s="39">
        <f t="shared" ref="H411:H474" ca="1" si="954">SUMIFS(BW:BW,BZ:BZ,"&gt;="&amp;DATE(YEAR(B411),MONTH(B411),DY(B411)),BZ:BZ,"&lt;"&amp;DATE(YEAR(B412),MONTH(B412),DAY(B412)))</f>
        <v>0</v>
      </c>
      <c r="I411" s="39">
        <f t="shared" ref="I411:I474" ca="1" si="955">SUMIFS(CO:CO,CR:CR,"&gt;="&amp;DATE(YEAR(B411),MONTH(B411),DAY(B411)),CR:CR,"&lt;"&amp;DATE(YEAR(B412),MONTH(B412),DAY(B412)))</f>
        <v>0</v>
      </c>
      <c r="J411" s="39">
        <f t="shared" ref="J411:J474" ca="1" si="956">SUMIFS(DG:DG,DJ:DJ,"&gt;="&amp;DATE(YEAR(B411),MONTH(B411),DAY(B411)),DJ:DJ,"&lt;"&amp;DATE(YEAR(B412),MONTH(B412),DAY(B412)))</f>
        <v>0</v>
      </c>
      <c r="K411" s="39">
        <f t="shared" ref="K411:K474" ca="1" si="957">SUMIFS(EK:EK,EG:EG,"&gt;="&amp;DATE(YEAR(B411),MONTH(B411),DAY(B411)),EG:EG,"&lt;"&amp;DATE(YEAR(B412),MONTH(B412),DAY(B412)))</f>
        <v>0</v>
      </c>
      <c r="L411" s="39">
        <f t="shared" ref="L411:L474" ca="1" si="958">SUMIFS(FB:FB,EY:EY,"&gt;="&amp;DATE(YEAR(B411),MONTH(B411),DAY(B411)),EY:EY,"&lt;"&amp;DATE(YEAR(B412),MONTH(B412),DAY(B412)))</f>
        <v>0</v>
      </c>
      <c r="M411" s="39">
        <f t="shared" ca="1" si="939"/>
        <v>0</v>
      </c>
      <c r="O411" s="38"/>
    </row>
    <row r="412" spans="2:15">
      <c r="B412" s="1048">
        <f t="shared" ref="B412:B475" ca="1" si="959">B411+30</f>
        <v>48562</v>
      </c>
      <c r="C412" s="153">
        <f t="shared" ca="1" si="949"/>
        <v>0</v>
      </c>
      <c r="D412" s="153">
        <f t="shared" ca="1" si="950"/>
        <v>0</v>
      </c>
      <c r="E412" s="153">
        <f t="shared" ca="1" si="951"/>
        <v>0</v>
      </c>
      <c r="F412" s="153">
        <f t="shared" ca="1" si="952"/>
        <v>0</v>
      </c>
      <c r="G412" s="153">
        <f t="shared" ca="1" si="953"/>
        <v>0</v>
      </c>
      <c r="H412" s="39">
        <f t="shared" ca="1" si="954"/>
        <v>0</v>
      </c>
      <c r="I412" s="39">
        <f t="shared" ca="1" si="955"/>
        <v>0</v>
      </c>
      <c r="J412" s="39">
        <f t="shared" ca="1" si="956"/>
        <v>0</v>
      </c>
      <c r="K412" s="39">
        <f t="shared" ca="1" si="957"/>
        <v>0</v>
      </c>
      <c r="L412" s="39">
        <f t="shared" ca="1" si="958"/>
        <v>0</v>
      </c>
      <c r="M412" s="39">
        <f t="shared" ca="1" si="939"/>
        <v>0</v>
      </c>
      <c r="O412" s="38"/>
    </row>
    <row r="413" spans="2:15">
      <c r="B413" s="1048">
        <f t="shared" ca="1" si="959"/>
        <v>48592</v>
      </c>
      <c r="C413" s="153">
        <f t="shared" ca="1" si="949"/>
        <v>0</v>
      </c>
      <c r="D413" s="153">
        <f t="shared" ca="1" si="950"/>
        <v>0</v>
      </c>
      <c r="E413" s="153">
        <f t="shared" ca="1" si="951"/>
        <v>0</v>
      </c>
      <c r="F413" s="153">
        <f t="shared" ca="1" si="952"/>
        <v>0</v>
      </c>
      <c r="G413" s="153">
        <f t="shared" ca="1" si="953"/>
        <v>0</v>
      </c>
      <c r="H413" s="39">
        <f t="shared" ca="1" si="954"/>
        <v>0</v>
      </c>
      <c r="I413" s="39">
        <f t="shared" ca="1" si="955"/>
        <v>0</v>
      </c>
      <c r="J413" s="39">
        <f t="shared" ca="1" si="956"/>
        <v>0</v>
      </c>
      <c r="K413" s="39">
        <f t="shared" ca="1" si="957"/>
        <v>0</v>
      </c>
      <c r="L413" s="39">
        <f t="shared" ca="1" si="958"/>
        <v>0</v>
      </c>
      <c r="M413" s="39">
        <f t="shared" ref="M413:M476" ca="1" si="960">SUM(C413:L413)</f>
        <v>0</v>
      </c>
      <c r="O413" s="38"/>
    </row>
    <row r="414" spans="2:15">
      <c r="B414" s="1048">
        <f t="shared" ca="1" si="959"/>
        <v>48622</v>
      </c>
      <c r="C414" s="153">
        <f t="shared" ca="1" si="949"/>
        <v>0</v>
      </c>
      <c r="D414" s="153">
        <f t="shared" ca="1" si="950"/>
        <v>0</v>
      </c>
      <c r="E414" s="153">
        <f t="shared" ca="1" si="951"/>
        <v>0</v>
      </c>
      <c r="F414" s="153">
        <f t="shared" ca="1" si="952"/>
        <v>0</v>
      </c>
      <c r="G414" s="153">
        <f t="shared" ca="1" si="953"/>
        <v>0</v>
      </c>
      <c r="H414" s="39">
        <f t="shared" ca="1" si="954"/>
        <v>0</v>
      </c>
      <c r="I414" s="39">
        <f t="shared" ca="1" si="955"/>
        <v>0</v>
      </c>
      <c r="J414" s="39">
        <f t="shared" ca="1" si="956"/>
        <v>0</v>
      </c>
      <c r="K414" s="39">
        <f t="shared" ca="1" si="957"/>
        <v>0</v>
      </c>
      <c r="L414" s="39">
        <f t="shared" ca="1" si="958"/>
        <v>0</v>
      </c>
      <c r="M414" s="39">
        <f t="shared" ca="1" si="960"/>
        <v>0</v>
      </c>
      <c r="O414" s="38"/>
    </row>
    <row r="415" spans="2:15">
      <c r="B415" s="1048">
        <f t="shared" ca="1" si="959"/>
        <v>48652</v>
      </c>
      <c r="C415" s="153">
        <f t="shared" ca="1" si="949"/>
        <v>0</v>
      </c>
      <c r="D415" s="153">
        <f t="shared" ca="1" si="950"/>
        <v>0</v>
      </c>
      <c r="E415" s="153">
        <f t="shared" ca="1" si="951"/>
        <v>0</v>
      </c>
      <c r="F415" s="153">
        <f t="shared" ca="1" si="952"/>
        <v>0</v>
      </c>
      <c r="G415" s="153">
        <f t="shared" ca="1" si="953"/>
        <v>0</v>
      </c>
      <c r="H415" s="39">
        <f t="shared" ca="1" si="954"/>
        <v>0</v>
      </c>
      <c r="I415" s="39">
        <f t="shared" ca="1" si="955"/>
        <v>0</v>
      </c>
      <c r="J415" s="39">
        <f t="shared" ca="1" si="956"/>
        <v>0</v>
      </c>
      <c r="K415" s="39">
        <f t="shared" ca="1" si="957"/>
        <v>0</v>
      </c>
      <c r="L415" s="39">
        <f t="shared" ca="1" si="958"/>
        <v>0</v>
      </c>
      <c r="M415" s="39">
        <f t="shared" ca="1" si="960"/>
        <v>0</v>
      </c>
      <c r="O415" s="38"/>
    </row>
    <row r="416" spans="2:15">
      <c r="B416" s="1048">
        <f t="shared" ca="1" si="959"/>
        <v>48682</v>
      </c>
      <c r="C416" s="153">
        <f t="shared" ca="1" si="949"/>
        <v>0</v>
      </c>
      <c r="D416" s="153">
        <f t="shared" ca="1" si="950"/>
        <v>0</v>
      </c>
      <c r="E416" s="153">
        <f t="shared" ca="1" si="951"/>
        <v>0</v>
      </c>
      <c r="F416" s="153">
        <f t="shared" ca="1" si="952"/>
        <v>0</v>
      </c>
      <c r="G416" s="153">
        <f t="shared" ca="1" si="953"/>
        <v>0</v>
      </c>
      <c r="H416" s="39">
        <f t="shared" ca="1" si="954"/>
        <v>0</v>
      </c>
      <c r="I416" s="39">
        <f t="shared" ca="1" si="955"/>
        <v>0</v>
      </c>
      <c r="J416" s="39">
        <f t="shared" ca="1" si="956"/>
        <v>0</v>
      </c>
      <c r="K416" s="39">
        <f t="shared" ca="1" si="957"/>
        <v>0</v>
      </c>
      <c r="L416" s="39">
        <f t="shared" ca="1" si="958"/>
        <v>0</v>
      </c>
      <c r="M416" s="39">
        <f t="shared" ca="1" si="960"/>
        <v>0</v>
      </c>
      <c r="O416" s="38"/>
    </row>
    <row r="417" spans="2:15">
      <c r="B417" s="1048">
        <f t="shared" ca="1" si="959"/>
        <v>48712</v>
      </c>
      <c r="C417" s="153">
        <f t="shared" ca="1" si="949"/>
        <v>0</v>
      </c>
      <c r="D417" s="153">
        <f t="shared" ca="1" si="950"/>
        <v>0</v>
      </c>
      <c r="E417" s="153">
        <f t="shared" ca="1" si="951"/>
        <v>0</v>
      </c>
      <c r="F417" s="153">
        <f t="shared" ca="1" si="952"/>
        <v>0</v>
      </c>
      <c r="G417" s="153">
        <f t="shared" ca="1" si="953"/>
        <v>0</v>
      </c>
      <c r="H417" s="39">
        <f t="shared" ca="1" si="954"/>
        <v>0</v>
      </c>
      <c r="I417" s="39">
        <f t="shared" ca="1" si="955"/>
        <v>0</v>
      </c>
      <c r="J417" s="39">
        <f t="shared" ca="1" si="956"/>
        <v>0</v>
      </c>
      <c r="K417" s="39">
        <f t="shared" ca="1" si="957"/>
        <v>0</v>
      </c>
      <c r="L417" s="39">
        <f t="shared" ca="1" si="958"/>
        <v>0</v>
      </c>
      <c r="M417" s="39">
        <f t="shared" ca="1" si="960"/>
        <v>0</v>
      </c>
      <c r="O417" s="38"/>
    </row>
    <row r="418" spans="2:15">
      <c r="B418" s="1048">
        <f t="shared" ca="1" si="959"/>
        <v>48742</v>
      </c>
      <c r="C418" s="153">
        <f t="shared" ca="1" si="949"/>
        <v>0</v>
      </c>
      <c r="D418" s="153">
        <f t="shared" ca="1" si="950"/>
        <v>0</v>
      </c>
      <c r="E418" s="153">
        <f t="shared" ca="1" si="951"/>
        <v>0</v>
      </c>
      <c r="F418" s="153">
        <f t="shared" ca="1" si="952"/>
        <v>0</v>
      </c>
      <c r="G418" s="153">
        <f t="shared" ca="1" si="953"/>
        <v>0</v>
      </c>
      <c r="H418" s="39">
        <f t="shared" ca="1" si="954"/>
        <v>0</v>
      </c>
      <c r="I418" s="39">
        <f t="shared" ca="1" si="955"/>
        <v>0</v>
      </c>
      <c r="J418" s="39">
        <f t="shared" ca="1" si="956"/>
        <v>0</v>
      </c>
      <c r="K418" s="39">
        <f t="shared" ca="1" si="957"/>
        <v>0</v>
      </c>
      <c r="L418" s="39">
        <f t="shared" ca="1" si="958"/>
        <v>0</v>
      </c>
      <c r="M418" s="39">
        <f t="shared" ca="1" si="960"/>
        <v>0</v>
      </c>
      <c r="O418" s="38"/>
    </row>
    <row r="419" spans="2:15">
      <c r="B419" s="1048">
        <f t="shared" ca="1" si="959"/>
        <v>48772</v>
      </c>
      <c r="C419" s="153">
        <f t="shared" ca="1" si="949"/>
        <v>0</v>
      </c>
      <c r="D419" s="153">
        <f t="shared" ca="1" si="950"/>
        <v>0</v>
      </c>
      <c r="E419" s="153">
        <f t="shared" ca="1" si="951"/>
        <v>0</v>
      </c>
      <c r="F419" s="153">
        <f t="shared" ca="1" si="952"/>
        <v>0</v>
      </c>
      <c r="G419" s="153">
        <f t="shared" ca="1" si="953"/>
        <v>0</v>
      </c>
      <c r="H419" s="39">
        <f t="shared" ca="1" si="954"/>
        <v>0</v>
      </c>
      <c r="I419" s="39">
        <f t="shared" ca="1" si="955"/>
        <v>0</v>
      </c>
      <c r="J419" s="39">
        <f t="shared" ca="1" si="956"/>
        <v>0</v>
      </c>
      <c r="K419" s="39">
        <f t="shared" ca="1" si="957"/>
        <v>0</v>
      </c>
      <c r="L419" s="39">
        <f t="shared" ca="1" si="958"/>
        <v>0</v>
      </c>
      <c r="M419" s="39">
        <f t="shared" ca="1" si="960"/>
        <v>0</v>
      </c>
      <c r="O419" s="38"/>
    </row>
    <row r="420" spans="2:15">
      <c r="B420" s="1048">
        <f t="shared" ca="1" si="959"/>
        <v>48802</v>
      </c>
      <c r="C420" s="153">
        <f t="shared" ca="1" si="949"/>
        <v>0</v>
      </c>
      <c r="D420" s="153">
        <f t="shared" ca="1" si="950"/>
        <v>0</v>
      </c>
      <c r="E420" s="153">
        <f t="shared" ca="1" si="951"/>
        <v>0</v>
      </c>
      <c r="F420" s="153">
        <f t="shared" ca="1" si="952"/>
        <v>0</v>
      </c>
      <c r="G420" s="153">
        <f t="shared" ca="1" si="953"/>
        <v>0</v>
      </c>
      <c r="H420" s="39">
        <f t="shared" ca="1" si="954"/>
        <v>0</v>
      </c>
      <c r="I420" s="39">
        <f t="shared" ca="1" si="955"/>
        <v>0</v>
      </c>
      <c r="J420" s="39">
        <f t="shared" ca="1" si="956"/>
        <v>0</v>
      </c>
      <c r="K420" s="39">
        <f t="shared" ca="1" si="957"/>
        <v>0</v>
      </c>
      <c r="L420" s="39">
        <f t="shared" ca="1" si="958"/>
        <v>0</v>
      </c>
      <c r="M420" s="39">
        <f t="shared" ca="1" si="960"/>
        <v>0</v>
      </c>
      <c r="O420" s="38"/>
    </row>
    <row r="421" spans="2:15">
      <c r="B421" s="1048">
        <f t="shared" ca="1" si="959"/>
        <v>48832</v>
      </c>
      <c r="C421" s="153">
        <f t="shared" ca="1" si="949"/>
        <v>0</v>
      </c>
      <c r="D421" s="153">
        <f t="shared" ca="1" si="950"/>
        <v>0</v>
      </c>
      <c r="E421" s="153">
        <f t="shared" ca="1" si="951"/>
        <v>0</v>
      </c>
      <c r="F421" s="153">
        <f t="shared" ca="1" si="952"/>
        <v>0</v>
      </c>
      <c r="G421" s="153">
        <f t="shared" ca="1" si="953"/>
        <v>0</v>
      </c>
      <c r="H421" s="39">
        <f t="shared" ca="1" si="954"/>
        <v>0</v>
      </c>
      <c r="I421" s="39">
        <f t="shared" ca="1" si="955"/>
        <v>0</v>
      </c>
      <c r="J421" s="39">
        <f t="shared" ca="1" si="956"/>
        <v>0</v>
      </c>
      <c r="K421" s="39">
        <f t="shared" ca="1" si="957"/>
        <v>0</v>
      </c>
      <c r="L421" s="39">
        <f t="shared" ca="1" si="958"/>
        <v>0</v>
      </c>
      <c r="M421" s="39">
        <f t="shared" ca="1" si="960"/>
        <v>0</v>
      </c>
      <c r="O421" s="38"/>
    </row>
    <row r="422" spans="2:15">
      <c r="B422" s="1048">
        <f t="shared" ca="1" si="959"/>
        <v>48862</v>
      </c>
      <c r="C422" s="153">
        <f t="shared" ca="1" si="949"/>
        <v>0</v>
      </c>
      <c r="D422" s="153">
        <f t="shared" ca="1" si="950"/>
        <v>0</v>
      </c>
      <c r="E422" s="153">
        <f t="shared" ca="1" si="951"/>
        <v>0</v>
      </c>
      <c r="F422" s="153">
        <f t="shared" ca="1" si="952"/>
        <v>0</v>
      </c>
      <c r="G422" s="153">
        <f t="shared" ca="1" si="953"/>
        <v>0</v>
      </c>
      <c r="H422" s="39">
        <f t="shared" ca="1" si="954"/>
        <v>0</v>
      </c>
      <c r="I422" s="39">
        <f t="shared" ca="1" si="955"/>
        <v>0</v>
      </c>
      <c r="J422" s="39">
        <f t="shared" ca="1" si="956"/>
        <v>0</v>
      </c>
      <c r="K422" s="39">
        <f t="shared" ca="1" si="957"/>
        <v>0</v>
      </c>
      <c r="L422" s="39">
        <f t="shared" ca="1" si="958"/>
        <v>0</v>
      </c>
      <c r="M422" s="39">
        <f t="shared" ca="1" si="960"/>
        <v>0</v>
      </c>
      <c r="O422" s="38"/>
    </row>
    <row r="423" spans="2:15">
      <c r="B423" s="1048">
        <f t="shared" ca="1" si="959"/>
        <v>48892</v>
      </c>
      <c r="C423" s="153">
        <f t="shared" ca="1" si="949"/>
        <v>0</v>
      </c>
      <c r="D423" s="153">
        <f t="shared" ca="1" si="950"/>
        <v>0</v>
      </c>
      <c r="E423" s="153">
        <f t="shared" ca="1" si="951"/>
        <v>0</v>
      </c>
      <c r="F423" s="153">
        <f t="shared" ca="1" si="952"/>
        <v>0</v>
      </c>
      <c r="G423" s="153">
        <f t="shared" ca="1" si="953"/>
        <v>0</v>
      </c>
      <c r="H423" s="39">
        <f t="shared" ca="1" si="954"/>
        <v>0</v>
      </c>
      <c r="I423" s="39">
        <f t="shared" ca="1" si="955"/>
        <v>0</v>
      </c>
      <c r="J423" s="39">
        <f t="shared" ca="1" si="956"/>
        <v>0</v>
      </c>
      <c r="K423" s="39">
        <f t="shared" ca="1" si="957"/>
        <v>0</v>
      </c>
      <c r="L423" s="39">
        <f t="shared" ca="1" si="958"/>
        <v>0</v>
      </c>
      <c r="M423" s="39">
        <f t="shared" ca="1" si="960"/>
        <v>0</v>
      </c>
      <c r="O423" s="38"/>
    </row>
    <row r="424" spans="2:15">
      <c r="B424" s="1048">
        <f t="shared" ca="1" si="959"/>
        <v>48922</v>
      </c>
      <c r="C424" s="153">
        <f t="shared" ca="1" si="949"/>
        <v>0</v>
      </c>
      <c r="D424" s="153">
        <f t="shared" ca="1" si="950"/>
        <v>0</v>
      </c>
      <c r="E424" s="153">
        <f t="shared" ca="1" si="951"/>
        <v>0</v>
      </c>
      <c r="F424" s="153">
        <f t="shared" ca="1" si="952"/>
        <v>0</v>
      </c>
      <c r="G424" s="153">
        <f t="shared" ca="1" si="953"/>
        <v>0</v>
      </c>
      <c r="H424" s="39">
        <f t="shared" ca="1" si="954"/>
        <v>0</v>
      </c>
      <c r="I424" s="39">
        <f t="shared" ca="1" si="955"/>
        <v>0</v>
      </c>
      <c r="J424" s="39">
        <f t="shared" ca="1" si="956"/>
        <v>0</v>
      </c>
      <c r="K424" s="39">
        <f t="shared" ca="1" si="957"/>
        <v>0</v>
      </c>
      <c r="L424" s="39">
        <f t="shared" ca="1" si="958"/>
        <v>0</v>
      </c>
      <c r="M424" s="39">
        <f t="shared" ca="1" si="960"/>
        <v>0</v>
      </c>
      <c r="O424" s="38"/>
    </row>
    <row r="425" spans="2:15">
      <c r="B425" s="1048">
        <f t="shared" ca="1" si="959"/>
        <v>48952</v>
      </c>
      <c r="C425" s="153">
        <f t="shared" ca="1" si="949"/>
        <v>0</v>
      </c>
      <c r="D425" s="153">
        <f t="shared" ca="1" si="950"/>
        <v>0</v>
      </c>
      <c r="E425" s="153">
        <f t="shared" ca="1" si="951"/>
        <v>0</v>
      </c>
      <c r="F425" s="153">
        <f t="shared" ca="1" si="952"/>
        <v>0</v>
      </c>
      <c r="G425" s="153">
        <f t="shared" ca="1" si="953"/>
        <v>0</v>
      </c>
      <c r="H425" s="39">
        <f t="shared" ca="1" si="954"/>
        <v>0</v>
      </c>
      <c r="I425" s="39">
        <f t="shared" ca="1" si="955"/>
        <v>0</v>
      </c>
      <c r="J425" s="39">
        <f t="shared" ca="1" si="956"/>
        <v>0</v>
      </c>
      <c r="K425" s="39">
        <f t="shared" ca="1" si="957"/>
        <v>0</v>
      </c>
      <c r="L425" s="39">
        <f t="shared" ca="1" si="958"/>
        <v>0</v>
      </c>
      <c r="M425" s="39">
        <f t="shared" ca="1" si="960"/>
        <v>0</v>
      </c>
      <c r="O425" s="38"/>
    </row>
    <row r="426" spans="2:15">
      <c r="B426" s="1048">
        <f t="shared" ca="1" si="959"/>
        <v>48982</v>
      </c>
      <c r="C426" s="153">
        <f t="shared" ca="1" si="949"/>
        <v>0</v>
      </c>
      <c r="D426" s="153">
        <f t="shared" ca="1" si="950"/>
        <v>0</v>
      </c>
      <c r="E426" s="153">
        <f t="shared" ca="1" si="951"/>
        <v>0</v>
      </c>
      <c r="F426" s="153">
        <f t="shared" ca="1" si="952"/>
        <v>0</v>
      </c>
      <c r="G426" s="153">
        <f t="shared" ca="1" si="953"/>
        <v>0</v>
      </c>
      <c r="H426" s="39">
        <f t="shared" ca="1" si="954"/>
        <v>0</v>
      </c>
      <c r="I426" s="39">
        <f t="shared" ca="1" si="955"/>
        <v>0</v>
      </c>
      <c r="J426" s="39">
        <f t="shared" ca="1" si="956"/>
        <v>0</v>
      </c>
      <c r="K426" s="39">
        <f t="shared" ca="1" si="957"/>
        <v>0</v>
      </c>
      <c r="L426" s="39">
        <f t="shared" ca="1" si="958"/>
        <v>0</v>
      </c>
      <c r="M426" s="39">
        <f t="shared" ca="1" si="960"/>
        <v>0</v>
      </c>
      <c r="O426" s="38"/>
    </row>
    <row r="427" spans="2:15">
      <c r="B427" s="1048">
        <f t="shared" ca="1" si="959"/>
        <v>49012</v>
      </c>
      <c r="C427" s="153">
        <f t="shared" ca="1" si="949"/>
        <v>0</v>
      </c>
      <c r="D427" s="153">
        <f t="shared" ca="1" si="950"/>
        <v>0</v>
      </c>
      <c r="E427" s="153">
        <f t="shared" ca="1" si="951"/>
        <v>0</v>
      </c>
      <c r="F427" s="153">
        <f t="shared" ca="1" si="952"/>
        <v>0</v>
      </c>
      <c r="G427" s="153">
        <f t="shared" ca="1" si="953"/>
        <v>0</v>
      </c>
      <c r="H427" s="39">
        <f t="shared" ca="1" si="954"/>
        <v>0</v>
      </c>
      <c r="I427" s="39">
        <f t="shared" ca="1" si="955"/>
        <v>0</v>
      </c>
      <c r="J427" s="39">
        <f t="shared" ca="1" si="956"/>
        <v>0</v>
      </c>
      <c r="K427" s="39">
        <f t="shared" ca="1" si="957"/>
        <v>0</v>
      </c>
      <c r="L427" s="39">
        <f t="shared" ca="1" si="958"/>
        <v>0</v>
      </c>
      <c r="M427" s="39">
        <f t="shared" ca="1" si="960"/>
        <v>0</v>
      </c>
      <c r="O427" s="38"/>
    </row>
    <row r="428" spans="2:15">
      <c r="B428" s="1048">
        <f t="shared" ca="1" si="959"/>
        <v>49042</v>
      </c>
      <c r="C428" s="153">
        <f t="shared" ca="1" si="949"/>
        <v>0</v>
      </c>
      <c r="D428" s="153">
        <f t="shared" ca="1" si="950"/>
        <v>0</v>
      </c>
      <c r="E428" s="153">
        <f t="shared" ca="1" si="951"/>
        <v>0</v>
      </c>
      <c r="F428" s="153">
        <f t="shared" ca="1" si="952"/>
        <v>0</v>
      </c>
      <c r="G428" s="153">
        <f t="shared" ca="1" si="953"/>
        <v>0</v>
      </c>
      <c r="H428" s="39">
        <f t="shared" ca="1" si="954"/>
        <v>0</v>
      </c>
      <c r="I428" s="39">
        <f t="shared" ca="1" si="955"/>
        <v>0</v>
      </c>
      <c r="J428" s="39">
        <f t="shared" ca="1" si="956"/>
        <v>0</v>
      </c>
      <c r="K428" s="39">
        <f t="shared" ca="1" si="957"/>
        <v>0</v>
      </c>
      <c r="L428" s="39">
        <f t="shared" ca="1" si="958"/>
        <v>0</v>
      </c>
      <c r="M428" s="39">
        <f t="shared" ca="1" si="960"/>
        <v>0</v>
      </c>
      <c r="O428" s="38"/>
    </row>
    <row r="429" spans="2:15">
      <c r="B429" s="1048">
        <f t="shared" ca="1" si="959"/>
        <v>49072</v>
      </c>
      <c r="C429" s="153">
        <f t="shared" ca="1" si="949"/>
        <v>0</v>
      </c>
      <c r="D429" s="153">
        <f t="shared" ca="1" si="950"/>
        <v>0</v>
      </c>
      <c r="E429" s="153">
        <f t="shared" ca="1" si="951"/>
        <v>0</v>
      </c>
      <c r="F429" s="153">
        <f t="shared" ca="1" si="952"/>
        <v>0</v>
      </c>
      <c r="G429" s="153">
        <f t="shared" ca="1" si="953"/>
        <v>0</v>
      </c>
      <c r="H429" s="39">
        <f t="shared" ca="1" si="954"/>
        <v>0</v>
      </c>
      <c r="I429" s="39">
        <f t="shared" ca="1" si="955"/>
        <v>0</v>
      </c>
      <c r="J429" s="39">
        <f t="shared" ca="1" si="956"/>
        <v>0</v>
      </c>
      <c r="K429" s="39">
        <f t="shared" ca="1" si="957"/>
        <v>0</v>
      </c>
      <c r="L429" s="39">
        <f t="shared" ca="1" si="958"/>
        <v>0</v>
      </c>
      <c r="M429" s="39">
        <f t="shared" ca="1" si="960"/>
        <v>0</v>
      </c>
      <c r="O429" s="38"/>
    </row>
    <row r="430" spans="2:15">
      <c r="B430" s="1048">
        <f t="shared" ca="1" si="959"/>
        <v>49102</v>
      </c>
      <c r="C430" s="153">
        <f t="shared" ca="1" si="949"/>
        <v>0</v>
      </c>
      <c r="D430" s="153">
        <f t="shared" ca="1" si="950"/>
        <v>0</v>
      </c>
      <c r="E430" s="153">
        <f t="shared" ca="1" si="951"/>
        <v>0</v>
      </c>
      <c r="F430" s="153">
        <f t="shared" ca="1" si="952"/>
        <v>0</v>
      </c>
      <c r="G430" s="153">
        <f t="shared" ca="1" si="953"/>
        <v>0</v>
      </c>
      <c r="H430" s="39">
        <f t="shared" ca="1" si="954"/>
        <v>0</v>
      </c>
      <c r="I430" s="39">
        <f t="shared" ca="1" si="955"/>
        <v>0</v>
      </c>
      <c r="J430" s="39">
        <f t="shared" ca="1" si="956"/>
        <v>0</v>
      </c>
      <c r="K430" s="39">
        <f t="shared" ca="1" si="957"/>
        <v>0</v>
      </c>
      <c r="L430" s="39">
        <f t="shared" ca="1" si="958"/>
        <v>0</v>
      </c>
      <c r="M430" s="39">
        <f t="shared" ca="1" si="960"/>
        <v>0</v>
      </c>
      <c r="O430" s="38"/>
    </row>
    <row r="431" spans="2:15">
      <c r="B431" s="1048">
        <f t="shared" ca="1" si="959"/>
        <v>49132</v>
      </c>
      <c r="C431" s="153">
        <f t="shared" ca="1" si="949"/>
        <v>0</v>
      </c>
      <c r="D431" s="153">
        <f t="shared" ca="1" si="950"/>
        <v>0</v>
      </c>
      <c r="E431" s="153">
        <f t="shared" ca="1" si="951"/>
        <v>0</v>
      </c>
      <c r="F431" s="153">
        <f t="shared" ca="1" si="952"/>
        <v>0</v>
      </c>
      <c r="G431" s="153">
        <f t="shared" ca="1" si="953"/>
        <v>0</v>
      </c>
      <c r="H431" s="39">
        <f t="shared" ca="1" si="954"/>
        <v>0</v>
      </c>
      <c r="I431" s="39">
        <f t="shared" ca="1" si="955"/>
        <v>0</v>
      </c>
      <c r="J431" s="39">
        <f t="shared" ca="1" si="956"/>
        <v>0</v>
      </c>
      <c r="K431" s="39">
        <f t="shared" ca="1" si="957"/>
        <v>0</v>
      </c>
      <c r="L431" s="39">
        <f t="shared" ca="1" si="958"/>
        <v>0</v>
      </c>
      <c r="M431" s="39">
        <f t="shared" ca="1" si="960"/>
        <v>0</v>
      </c>
      <c r="O431" s="38"/>
    </row>
    <row r="432" spans="2:15">
      <c r="B432" s="1048">
        <f t="shared" ca="1" si="959"/>
        <v>49162</v>
      </c>
      <c r="C432" s="153">
        <f t="shared" ca="1" si="949"/>
        <v>0</v>
      </c>
      <c r="D432" s="153">
        <f t="shared" ca="1" si="950"/>
        <v>0</v>
      </c>
      <c r="E432" s="153">
        <f t="shared" ca="1" si="951"/>
        <v>0</v>
      </c>
      <c r="F432" s="153">
        <f t="shared" ca="1" si="952"/>
        <v>0</v>
      </c>
      <c r="G432" s="153">
        <f t="shared" ca="1" si="953"/>
        <v>0</v>
      </c>
      <c r="H432" s="39">
        <f t="shared" ca="1" si="954"/>
        <v>0</v>
      </c>
      <c r="I432" s="39">
        <f t="shared" ca="1" si="955"/>
        <v>0</v>
      </c>
      <c r="J432" s="39">
        <f t="shared" ca="1" si="956"/>
        <v>0</v>
      </c>
      <c r="K432" s="39">
        <f t="shared" ca="1" si="957"/>
        <v>0</v>
      </c>
      <c r="L432" s="39">
        <f t="shared" ca="1" si="958"/>
        <v>0</v>
      </c>
      <c r="M432" s="39">
        <f t="shared" ca="1" si="960"/>
        <v>0</v>
      </c>
      <c r="O432" s="38"/>
    </row>
    <row r="433" spans="2:15">
      <c r="B433" s="1048">
        <f t="shared" ca="1" si="959"/>
        <v>49192</v>
      </c>
      <c r="C433" s="153">
        <f t="shared" ca="1" si="949"/>
        <v>0</v>
      </c>
      <c r="D433" s="153">
        <f t="shared" ca="1" si="950"/>
        <v>0</v>
      </c>
      <c r="E433" s="153">
        <f t="shared" ca="1" si="951"/>
        <v>0</v>
      </c>
      <c r="F433" s="153">
        <f t="shared" ca="1" si="952"/>
        <v>0</v>
      </c>
      <c r="G433" s="153">
        <f t="shared" ca="1" si="953"/>
        <v>0</v>
      </c>
      <c r="H433" s="39">
        <f t="shared" ca="1" si="954"/>
        <v>0</v>
      </c>
      <c r="I433" s="39">
        <f t="shared" ca="1" si="955"/>
        <v>0</v>
      </c>
      <c r="J433" s="39">
        <f t="shared" ca="1" si="956"/>
        <v>0</v>
      </c>
      <c r="K433" s="39">
        <f t="shared" ca="1" si="957"/>
        <v>0</v>
      </c>
      <c r="L433" s="39">
        <f t="shared" ca="1" si="958"/>
        <v>0</v>
      </c>
      <c r="M433" s="39">
        <f t="shared" ca="1" si="960"/>
        <v>0</v>
      </c>
      <c r="O433" s="38"/>
    </row>
    <row r="434" spans="2:15">
      <c r="B434" s="1048">
        <f t="shared" ca="1" si="959"/>
        <v>49222</v>
      </c>
      <c r="C434" s="153">
        <f t="shared" ca="1" si="949"/>
        <v>0</v>
      </c>
      <c r="D434" s="153">
        <f t="shared" ca="1" si="950"/>
        <v>0</v>
      </c>
      <c r="E434" s="153">
        <f t="shared" ca="1" si="951"/>
        <v>0</v>
      </c>
      <c r="F434" s="153">
        <f t="shared" ca="1" si="952"/>
        <v>0</v>
      </c>
      <c r="G434" s="153">
        <f t="shared" ca="1" si="953"/>
        <v>0</v>
      </c>
      <c r="H434" s="39">
        <f t="shared" ca="1" si="954"/>
        <v>0</v>
      </c>
      <c r="I434" s="39">
        <f t="shared" ca="1" si="955"/>
        <v>0</v>
      </c>
      <c r="J434" s="39">
        <f t="shared" ca="1" si="956"/>
        <v>0</v>
      </c>
      <c r="K434" s="39">
        <f t="shared" ca="1" si="957"/>
        <v>0</v>
      </c>
      <c r="L434" s="39">
        <f t="shared" ca="1" si="958"/>
        <v>0</v>
      </c>
      <c r="M434" s="39">
        <f t="shared" ca="1" si="960"/>
        <v>0</v>
      </c>
      <c r="O434" s="38"/>
    </row>
    <row r="435" spans="2:15">
      <c r="B435" s="1048">
        <f t="shared" ca="1" si="959"/>
        <v>49252</v>
      </c>
      <c r="C435" s="153">
        <f t="shared" ca="1" si="949"/>
        <v>0</v>
      </c>
      <c r="D435" s="153">
        <f t="shared" ca="1" si="950"/>
        <v>0</v>
      </c>
      <c r="E435" s="153">
        <f t="shared" ca="1" si="951"/>
        <v>0</v>
      </c>
      <c r="F435" s="153">
        <f t="shared" ca="1" si="952"/>
        <v>0</v>
      </c>
      <c r="G435" s="153">
        <f t="shared" ca="1" si="953"/>
        <v>0</v>
      </c>
      <c r="H435" s="39">
        <f t="shared" ca="1" si="954"/>
        <v>0</v>
      </c>
      <c r="I435" s="39">
        <f t="shared" ca="1" si="955"/>
        <v>0</v>
      </c>
      <c r="J435" s="39">
        <f t="shared" ca="1" si="956"/>
        <v>0</v>
      </c>
      <c r="K435" s="39">
        <f t="shared" ca="1" si="957"/>
        <v>0</v>
      </c>
      <c r="L435" s="39">
        <f t="shared" ca="1" si="958"/>
        <v>0</v>
      </c>
      <c r="M435" s="39">
        <f t="shared" ca="1" si="960"/>
        <v>0</v>
      </c>
      <c r="O435" s="38"/>
    </row>
    <row r="436" spans="2:15">
      <c r="B436" s="1048">
        <f t="shared" ca="1" si="959"/>
        <v>49282</v>
      </c>
      <c r="C436" s="153">
        <f t="shared" ca="1" si="949"/>
        <v>0</v>
      </c>
      <c r="D436" s="153">
        <f t="shared" ca="1" si="950"/>
        <v>0</v>
      </c>
      <c r="E436" s="153">
        <f t="shared" ca="1" si="951"/>
        <v>0</v>
      </c>
      <c r="F436" s="153">
        <f t="shared" ca="1" si="952"/>
        <v>0</v>
      </c>
      <c r="G436" s="153">
        <f t="shared" ca="1" si="953"/>
        <v>0</v>
      </c>
      <c r="H436" s="39">
        <f t="shared" ca="1" si="954"/>
        <v>0</v>
      </c>
      <c r="I436" s="39">
        <f t="shared" ca="1" si="955"/>
        <v>0</v>
      </c>
      <c r="J436" s="39">
        <f t="shared" ca="1" si="956"/>
        <v>0</v>
      </c>
      <c r="K436" s="39">
        <f t="shared" ca="1" si="957"/>
        <v>0</v>
      </c>
      <c r="L436" s="39">
        <f t="shared" ca="1" si="958"/>
        <v>0</v>
      </c>
      <c r="M436" s="39">
        <f t="shared" ca="1" si="960"/>
        <v>0</v>
      </c>
      <c r="O436" s="38"/>
    </row>
    <row r="437" spans="2:15">
      <c r="B437" s="1048">
        <f t="shared" ca="1" si="959"/>
        <v>49312</v>
      </c>
      <c r="C437" s="153">
        <f t="shared" ca="1" si="949"/>
        <v>0</v>
      </c>
      <c r="D437" s="153">
        <f t="shared" ca="1" si="950"/>
        <v>0</v>
      </c>
      <c r="E437" s="153">
        <f t="shared" ca="1" si="951"/>
        <v>0</v>
      </c>
      <c r="F437" s="153">
        <f t="shared" ca="1" si="952"/>
        <v>0</v>
      </c>
      <c r="G437" s="153">
        <f t="shared" ca="1" si="953"/>
        <v>0</v>
      </c>
      <c r="H437" s="39">
        <f t="shared" ca="1" si="954"/>
        <v>0</v>
      </c>
      <c r="I437" s="39">
        <f t="shared" ca="1" si="955"/>
        <v>0</v>
      </c>
      <c r="J437" s="39">
        <f t="shared" ca="1" si="956"/>
        <v>0</v>
      </c>
      <c r="K437" s="39">
        <f t="shared" ca="1" si="957"/>
        <v>0</v>
      </c>
      <c r="L437" s="39">
        <f t="shared" ca="1" si="958"/>
        <v>0</v>
      </c>
      <c r="M437" s="39">
        <f t="shared" ca="1" si="960"/>
        <v>0</v>
      </c>
      <c r="O437" s="38"/>
    </row>
    <row r="438" spans="2:15">
      <c r="B438" s="1048">
        <f t="shared" ca="1" si="959"/>
        <v>49342</v>
      </c>
      <c r="C438" s="153">
        <f t="shared" ca="1" si="949"/>
        <v>0</v>
      </c>
      <c r="D438" s="153">
        <f t="shared" ca="1" si="950"/>
        <v>0</v>
      </c>
      <c r="E438" s="153">
        <f t="shared" ca="1" si="951"/>
        <v>0</v>
      </c>
      <c r="F438" s="153">
        <f t="shared" ca="1" si="952"/>
        <v>0</v>
      </c>
      <c r="G438" s="153">
        <f t="shared" ca="1" si="953"/>
        <v>0</v>
      </c>
      <c r="H438" s="39">
        <f t="shared" ca="1" si="954"/>
        <v>0</v>
      </c>
      <c r="I438" s="39">
        <f t="shared" ca="1" si="955"/>
        <v>0</v>
      </c>
      <c r="J438" s="39">
        <f t="shared" ca="1" si="956"/>
        <v>0</v>
      </c>
      <c r="K438" s="39">
        <f t="shared" ca="1" si="957"/>
        <v>0</v>
      </c>
      <c r="L438" s="39">
        <f t="shared" ca="1" si="958"/>
        <v>0</v>
      </c>
      <c r="M438" s="39">
        <f t="shared" ca="1" si="960"/>
        <v>0</v>
      </c>
      <c r="O438" s="38"/>
    </row>
    <row r="439" spans="2:15">
      <c r="B439" s="1048">
        <f t="shared" ca="1" si="959"/>
        <v>49372</v>
      </c>
      <c r="C439" s="153">
        <f t="shared" ca="1" si="949"/>
        <v>0</v>
      </c>
      <c r="D439" s="153">
        <f t="shared" ca="1" si="950"/>
        <v>0</v>
      </c>
      <c r="E439" s="153">
        <f t="shared" ca="1" si="951"/>
        <v>0</v>
      </c>
      <c r="F439" s="153">
        <f t="shared" ca="1" si="952"/>
        <v>0</v>
      </c>
      <c r="G439" s="153">
        <f t="shared" ca="1" si="953"/>
        <v>0</v>
      </c>
      <c r="H439" s="39">
        <f t="shared" ca="1" si="954"/>
        <v>0</v>
      </c>
      <c r="I439" s="39">
        <f t="shared" ca="1" si="955"/>
        <v>0</v>
      </c>
      <c r="J439" s="39">
        <f t="shared" ca="1" si="956"/>
        <v>0</v>
      </c>
      <c r="K439" s="39">
        <f t="shared" ca="1" si="957"/>
        <v>0</v>
      </c>
      <c r="L439" s="39">
        <f t="shared" ca="1" si="958"/>
        <v>0</v>
      </c>
      <c r="M439" s="39">
        <f t="shared" ca="1" si="960"/>
        <v>0</v>
      </c>
      <c r="O439" s="38"/>
    </row>
    <row r="440" spans="2:15">
      <c r="B440" s="1048">
        <f t="shared" ca="1" si="959"/>
        <v>49402</v>
      </c>
      <c r="C440" s="153">
        <f t="shared" ca="1" si="949"/>
        <v>0</v>
      </c>
      <c r="D440" s="153">
        <f t="shared" ca="1" si="950"/>
        <v>0</v>
      </c>
      <c r="E440" s="153">
        <f t="shared" ca="1" si="951"/>
        <v>0</v>
      </c>
      <c r="F440" s="153">
        <f t="shared" ca="1" si="952"/>
        <v>0</v>
      </c>
      <c r="G440" s="153">
        <f t="shared" ca="1" si="953"/>
        <v>0</v>
      </c>
      <c r="H440" s="39">
        <f t="shared" ca="1" si="954"/>
        <v>0</v>
      </c>
      <c r="I440" s="39">
        <f t="shared" ca="1" si="955"/>
        <v>0</v>
      </c>
      <c r="J440" s="39">
        <f t="shared" ca="1" si="956"/>
        <v>0</v>
      </c>
      <c r="K440" s="39">
        <f t="shared" ca="1" si="957"/>
        <v>0</v>
      </c>
      <c r="L440" s="39">
        <f t="shared" ca="1" si="958"/>
        <v>0</v>
      </c>
      <c r="M440" s="39">
        <f t="shared" ca="1" si="960"/>
        <v>0</v>
      </c>
      <c r="O440" s="38"/>
    </row>
    <row r="441" spans="2:15">
      <c r="B441" s="1048">
        <f t="shared" ca="1" si="959"/>
        <v>49432</v>
      </c>
      <c r="C441" s="153">
        <f t="shared" ca="1" si="949"/>
        <v>0</v>
      </c>
      <c r="D441" s="153">
        <f t="shared" ca="1" si="950"/>
        <v>0</v>
      </c>
      <c r="E441" s="153">
        <f t="shared" ca="1" si="951"/>
        <v>0</v>
      </c>
      <c r="F441" s="153">
        <f t="shared" ca="1" si="952"/>
        <v>0</v>
      </c>
      <c r="G441" s="153">
        <f t="shared" ca="1" si="953"/>
        <v>0</v>
      </c>
      <c r="H441" s="39">
        <f t="shared" ca="1" si="954"/>
        <v>0</v>
      </c>
      <c r="I441" s="39">
        <f t="shared" ca="1" si="955"/>
        <v>0</v>
      </c>
      <c r="J441" s="39">
        <f t="shared" ca="1" si="956"/>
        <v>0</v>
      </c>
      <c r="K441" s="39">
        <f t="shared" ca="1" si="957"/>
        <v>0</v>
      </c>
      <c r="L441" s="39">
        <f t="shared" ca="1" si="958"/>
        <v>0</v>
      </c>
      <c r="M441" s="39">
        <f t="shared" ca="1" si="960"/>
        <v>0</v>
      </c>
      <c r="O441" s="38"/>
    </row>
    <row r="442" spans="2:15">
      <c r="B442" s="1048">
        <f t="shared" ca="1" si="959"/>
        <v>49462</v>
      </c>
      <c r="C442" s="153">
        <f t="shared" ca="1" si="949"/>
        <v>0</v>
      </c>
      <c r="D442" s="153">
        <f t="shared" ca="1" si="950"/>
        <v>0</v>
      </c>
      <c r="E442" s="153">
        <f t="shared" ca="1" si="951"/>
        <v>0</v>
      </c>
      <c r="F442" s="153">
        <f t="shared" ca="1" si="952"/>
        <v>0</v>
      </c>
      <c r="G442" s="153">
        <f t="shared" ca="1" si="953"/>
        <v>0</v>
      </c>
      <c r="H442" s="39">
        <f t="shared" ca="1" si="954"/>
        <v>0</v>
      </c>
      <c r="I442" s="39">
        <f t="shared" ca="1" si="955"/>
        <v>0</v>
      </c>
      <c r="J442" s="39">
        <f t="shared" ca="1" si="956"/>
        <v>0</v>
      </c>
      <c r="K442" s="39">
        <f t="shared" ca="1" si="957"/>
        <v>0</v>
      </c>
      <c r="L442" s="39">
        <f t="shared" ca="1" si="958"/>
        <v>0</v>
      </c>
      <c r="M442" s="39">
        <f t="shared" ca="1" si="960"/>
        <v>0</v>
      </c>
      <c r="O442" s="38"/>
    </row>
    <row r="443" spans="2:15">
      <c r="B443" s="1048">
        <f t="shared" ca="1" si="959"/>
        <v>49492</v>
      </c>
      <c r="C443" s="153">
        <f t="shared" ca="1" si="949"/>
        <v>0</v>
      </c>
      <c r="D443" s="153">
        <f t="shared" ca="1" si="950"/>
        <v>0</v>
      </c>
      <c r="E443" s="153">
        <f t="shared" ca="1" si="951"/>
        <v>0</v>
      </c>
      <c r="F443" s="153">
        <f t="shared" ca="1" si="952"/>
        <v>0</v>
      </c>
      <c r="G443" s="153">
        <f t="shared" ca="1" si="953"/>
        <v>0</v>
      </c>
      <c r="H443" s="39">
        <f t="shared" ca="1" si="954"/>
        <v>0</v>
      </c>
      <c r="I443" s="39">
        <f t="shared" ca="1" si="955"/>
        <v>0</v>
      </c>
      <c r="J443" s="39">
        <f t="shared" ca="1" si="956"/>
        <v>0</v>
      </c>
      <c r="K443" s="39">
        <f t="shared" ca="1" si="957"/>
        <v>0</v>
      </c>
      <c r="L443" s="39">
        <f t="shared" ca="1" si="958"/>
        <v>0</v>
      </c>
      <c r="M443" s="39">
        <f t="shared" ca="1" si="960"/>
        <v>0</v>
      </c>
      <c r="O443" s="38"/>
    </row>
    <row r="444" spans="2:15">
      <c r="B444" s="1048">
        <f t="shared" ca="1" si="959"/>
        <v>49522</v>
      </c>
      <c r="C444" s="153">
        <f t="shared" ca="1" si="949"/>
        <v>0</v>
      </c>
      <c r="D444" s="153">
        <f t="shared" ca="1" si="950"/>
        <v>0</v>
      </c>
      <c r="E444" s="153">
        <f t="shared" ca="1" si="951"/>
        <v>0</v>
      </c>
      <c r="F444" s="153">
        <f t="shared" ca="1" si="952"/>
        <v>0</v>
      </c>
      <c r="G444" s="153">
        <f t="shared" ca="1" si="953"/>
        <v>0</v>
      </c>
      <c r="H444" s="39">
        <f t="shared" ca="1" si="954"/>
        <v>0</v>
      </c>
      <c r="I444" s="39">
        <f t="shared" ca="1" si="955"/>
        <v>0</v>
      </c>
      <c r="J444" s="39">
        <f t="shared" ca="1" si="956"/>
        <v>0</v>
      </c>
      <c r="K444" s="39">
        <f t="shared" ca="1" si="957"/>
        <v>0</v>
      </c>
      <c r="L444" s="39">
        <f t="shared" ca="1" si="958"/>
        <v>0</v>
      </c>
      <c r="M444" s="39">
        <f t="shared" ca="1" si="960"/>
        <v>0</v>
      </c>
      <c r="O444" s="38"/>
    </row>
    <row r="445" spans="2:15">
      <c r="B445" s="1048">
        <f t="shared" ca="1" si="959"/>
        <v>49552</v>
      </c>
      <c r="C445" s="153">
        <f t="shared" ca="1" si="949"/>
        <v>0</v>
      </c>
      <c r="D445" s="153">
        <f t="shared" ca="1" si="950"/>
        <v>0</v>
      </c>
      <c r="E445" s="153">
        <f t="shared" ca="1" si="951"/>
        <v>0</v>
      </c>
      <c r="F445" s="153">
        <f t="shared" ca="1" si="952"/>
        <v>0</v>
      </c>
      <c r="G445" s="153">
        <f t="shared" ca="1" si="953"/>
        <v>0</v>
      </c>
      <c r="H445" s="39">
        <f t="shared" ca="1" si="954"/>
        <v>0</v>
      </c>
      <c r="I445" s="39">
        <f t="shared" ca="1" si="955"/>
        <v>0</v>
      </c>
      <c r="J445" s="39">
        <f t="shared" ca="1" si="956"/>
        <v>0</v>
      </c>
      <c r="K445" s="39">
        <f t="shared" ca="1" si="957"/>
        <v>0</v>
      </c>
      <c r="L445" s="39">
        <f t="shared" ca="1" si="958"/>
        <v>0</v>
      </c>
      <c r="M445" s="39">
        <f t="shared" ca="1" si="960"/>
        <v>0</v>
      </c>
      <c r="O445" s="38"/>
    </row>
    <row r="446" spans="2:15">
      <c r="B446" s="1048">
        <f t="shared" ca="1" si="959"/>
        <v>49582</v>
      </c>
      <c r="C446" s="153">
        <f t="shared" ca="1" si="949"/>
        <v>0</v>
      </c>
      <c r="D446" s="153">
        <f t="shared" ca="1" si="950"/>
        <v>0</v>
      </c>
      <c r="E446" s="153">
        <f t="shared" ca="1" si="951"/>
        <v>0</v>
      </c>
      <c r="F446" s="153">
        <f t="shared" ca="1" si="952"/>
        <v>0</v>
      </c>
      <c r="G446" s="153">
        <f t="shared" ca="1" si="953"/>
        <v>0</v>
      </c>
      <c r="H446" s="39">
        <f t="shared" ca="1" si="954"/>
        <v>0</v>
      </c>
      <c r="I446" s="39">
        <f t="shared" ca="1" si="955"/>
        <v>0</v>
      </c>
      <c r="J446" s="39">
        <f t="shared" ca="1" si="956"/>
        <v>0</v>
      </c>
      <c r="K446" s="39">
        <f t="shared" ca="1" si="957"/>
        <v>0</v>
      </c>
      <c r="L446" s="39">
        <f t="shared" ca="1" si="958"/>
        <v>0</v>
      </c>
      <c r="M446" s="39">
        <f t="shared" ca="1" si="960"/>
        <v>0</v>
      </c>
      <c r="O446" s="38"/>
    </row>
    <row r="447" spans="2:15">
      <c r="B447" s="1048">
        <f t="shared" ca="1" si="959"/>
        <v>49612</v>
      </c>
      <c r="C447" s="153">
        <f t="shared" ca="1" si="949"/>
        <v>0</v>
      </c>
      <c r="D447" s="153">
        <f t="shared" ca="1" si="950"/>
        <v>0</v>
      </c>
      <c r="E447" s="153">
        <f t="shared" ca="1" si="951"/>
        <v>0</v>
      </c>
      <c r="F447" s="153">
        <f t="shared" ca="1" si="952"/>
        <v>0</v>
      </c>
      <c r="G447" s="153">
        <f t="shared" ca="1" si="953"/>
        <v>0</v>
      </c>
      <c r="H447" s="39">
        <f t="shared" ca="1" si="954"/>
        <v>0</v>
      </c>
      <c r="I447" s="39">
        <f t="shared" ca="1" si="955"/>
        <v>0</v>
      </c>
      <c r="J447" s="39">
        <f t="shared" ca="1" si="956"/>
        <v>0</v>
      </c>
      <c r="K447" s="39">
        <f t="shared" ca="1" si="957"/>
        <v>0</v>
      </c>
      <c r="L447" s="39">
        <f t="shared" ca="1" si="958"/>
        <v>0</v>
      </c>
      <c r="M447" s="39">
        <f t="shared" ca="1" si="960"/>
        <v>0</v>
      </c>
      <c r="O447" s="38"/>
    </row>
    <row r="448" spans="2:15">
      <c r="B448" s="1048">
        <f t="shared" ca="1" si="959"/>
        <v>49642</v>
      </c>
      <c r="C448" s="153">
        <f t="shared" ca="1" si="949"/>
        <v>0</v>
      </c>
      <c r="D448" s="153">
        <f t="shared" ca="1" si="950"/>
        <v>0</v>
      </c>
      <c r="E448" s="153">
        <f t="shared" ca="1" si="951"/>
        <v>0</v>
      </c>
      <c r="F448" s="153">
        <f t="shared" ca="1" si="952"/>
        <v>0</v>
      </c>
      <c r="G448" s="153">
        <f t="shared" ca="1" si="953"/>
        <v>0</v>
      </c>
      <c r="H448" s="39">
        <f t="shared" ca="1" si="954"/>
        <v>0</v>
      </c>
      <c r="I448" s="39">
        <f t="shared" ca="1" si="955"/>
        <v>0</v>
      </c>
      <c r="J448" s="39">
        <f t="shared" ca="1" si="956"/>
        <v>0</v>
      </c>
      <c r="K448" s="39">
        <f t="shared" ca="1" si="957"/>
        <v>0</v>
      </c>
      <c r="L448" s="39">
        <f t="shared" ca="1" si="958"/>
        <v>0</v>
      </c>
      <c r="M448" s="39">
        <f t="shared" ca="1" si="960"/>
        <v>0</v>
      </c>
      <c r="O448" s="38"/>
    </row>
    <row r="449" spans="2:15">
      <c r="B449" s="1048">
        <f t="shared" ca="1" si="959"/>
        <v>49672</v>
      </c>
      <c r="C449" s="153">
        <f t="shared" ca="1" si="949"/>
        <v>0</v>
      </c>
      <c r="D449" s="153">
        <f t="shared" ca="1" si="950"/>
        <v>0</v>
      </c>
      <c r="E449" s="153">
        <f t="shared" ca="1" si="951"/>
        <v>0</v>
      </c>
      <c r="F449" s="153">
        <f t="shared" ca="1" si="952"/>
        <v>0</v>
      </c>
      <c r="G449" s="153">
        <f t="shared" ca="1" si="953"/>
        <v>0</v>
      </c>
      <c r="H449" s="39">
        <f t="shared" ca="1" si="954"/>
        <v>0</v>
      </c>
      <c r="I449" s="39">
        <f t="shared" ca="1" si="955"/>
        <v>0</v>
      </c>
      <c r="J449" s="39">
        <f t="shared" ca="1" si="956"/>
        <v>0</v>
      </c>
      <c r="K449" s="39">
        <f t="shared" ca="1" si="957"/>
        <v>0</v>
      </c>
      <c r="L449" s="39">
        <f t="shared" ca="1" si="958"/>
        <v>0</v>
      </c>
      <c r="M449" s="39">
        <f t="shared" ca="1" si="960"/>
        <v>0</v>
      </c>
      <c r="O449" s="38"/>
    </row>
    <row r="450" spans="2:15">
      <c r="B450" s="1048">
        <f t="shared" ca="1" si="959"/>
        <v>49702</v>
      </c>
      <c r="C450" s="153">
        <f t="shared" ca="1" si="949"/>
        <v>0</v>
      </c>
      <c r="D450" s="153">
        <f t="shared" ca="1" si="950"/>
        <v>0</v>
      </c>
      <c r="E450" s="153">
        <f t="shared" ca="1" si="951"/>
        <v>0</v>
      </c>
      <c r="F450" s="153">
        <f t="shared" ca="1" si="952"/>
        <v>0</v>
      </c>
      <c r="G450" s="153">
        <f t="shared" ca="1" si="953"/>
        <v>0</v>
      </c>
      <c r="H450" s="39">
        <f t="shared" ca="1" si="954"/>
        <v>0</v>
      </c>
      <c r="I450" s="39">
        <f t="shared" ca="1" si="955"/>
        <v>0</v>
      </c>
      <c r="J450" s="39">
        <f t="shared" ca="1" si="956"/>
        <v>0</v>
      </c>
      <c r="K450" s="39">
        <f t="shared" ca="1" si="957"/>
        <v>0</v>
      </c>
      <c r="L450" s="39">
        <f t="shared" ca="1" si="958"/>
        <v>0</v>
      </c>
      <c r="M450" s="39">
        <f t="shared" ca="1" si="960"/>
        <v>0</v>
      </c>
      <c r="O450" s="38"/>
    </row>
    <row r="451" spans="2:15">
      <c r="B451" s="1048">
        <f t="shared" ca="1" si="959"/>
        <v>49732</v>
      </c>
      <c r="C451" s="153">
        <f t="shared" ca="1" si="949"/>
        <v>0</v>
      </c>
      <c r="D451" s="153">
        <f t="shared" ca="1" si="950"/>
        <v>0</v>
      </c>
      <c r="E451" s="153">
        <f t="shared" ca="1" si="951"/>
        <v>0</v>
      </c>
      <c r="F451" s="153">
        <f t="shared" ca="1" si="952"/>
        <v>0</v>
      </c>
      <c r="G451" s="153">
        <f t="shared" ca="1" si="953"/>
        <v>0</v>
      </c>
      <c r="H451" s="39">
        <f t="shared" ca="1" si="954"/>
        <v>0</v>
      </c>
      <c r="I451" s="39">
        <f t="shared" ca="1" si="955"/>
        <v>0</v>
      </c>
      <c r="J451" s="39">
        <f t="shared" ca="1" si="956"/>
        <v>0</v>
      </c>
      <c r="K451" s="39">
        <f t="shared" ca="1" si="957"/>
        <v>0</v>
      </c>
      <c r="L451" s="39">
        <f t="shared" ca="1" si="958"/>
        <v>0</v>
      </c>
      <c r="M451" s="39">
        <f t="shared" ca="1" si="960"/>
        <v>0</v>
      </c>
      <c r="O451" s="38"/>
    </row>
    <row r="452" spans="2:15">
      <c r="B452" s="1048">
        <f t="shared" ca="1" si="959"/>
        <v>49762</v>
      </c>
      <c r="C452" s="153">
        <f t="shared" ca="1" si="949"/>
        <v>0</v>
      </c>
      <c r="D452" s="153">
        <f t="shared" ca="1" si="950"/>
        <v>0</v>
      </c>
      <c r="E452" s="153">
        <f t="shared" ca="1" si="951"/>
        <v>0</v>
      </c>
      <c r="F452" s="153">
        <f t="shared" ca="1" si="952"/>
        <v>0</v>
      </c>
      <c r="G452" s="153">
        <f t="shared" ca="1" si="953"/>
        <v>0</v>
      </c>
      <c r="H452" s="39">
        <f t="shared" ca="1" si="954"/>
        <v>0</v>
      </c>
      <c r="I452" s="39">
        <f t="shared" ca="1" si="955"/>
        <v>0</v>
      </c>
      <c r="J452" s="39">
        <f t="shared" ca="1" si="956"/>
        <v>0</v>
      </c>
      <c r="K452" s="39">
        <f t="shared" ca="1" si="957"/>
        <v>0</v>
      </c>
      <c r="L452" s="39">
        <f t="shared" ca="1" si="958"/>
        <v>0</v>
      </c>
      <c r="M452" s="39">
        <f t="shared" ca="1" si="960"/>
        <v>0</v>
      </c>
      <c r="O452" s="38"/>
    </row>
    <row r="453" spans="2:15">
      <c r="B453" s="1048">
        <f t="shared" ca="1" si="959"/>
        <v>49792</v>
      </c>
      <c r="C453" s="153">
        <f t="shared" ca="1" si="949"/>
        <v>0</v>
      </c>
      <c r="D453" s="153">
        <f t="shared" ca="1" si="950"/>
        <v>0</v>
      </c>
      <c r="E453" s="153">
        <f t="shared" ca="1" si="951"/>
        <v>0</v>
      </c>
      <c r="F453" s="153">
        <f t="shared" ca="1" si="952"/>
        <v>0</v>
      </c>
      <c r="G453" s="153">
        <f t="shared" ca="1" si="953"/>
        <v>0</v>
      </c>
      <c r="H453" s="39">
        <f t="shared" ca="1" si="954"/>
        <v>0</v>
      </c>
      <c r="I453" s="39">
        <f t="shared" ca="1" si="955"/>
        <v>0</v>
      </c>
      <c r="J453" s="39">
        <f t="shared" ca="1" si="956"/>
        <v>0</v>
      </c>
      <c r="K453" s="39">
        <f t="shared" ca="1" si="957"/>
        <v>0</v>
      </c>
      <c r="L453" s="39">
        <f t="shared" ca="1" si="958"/>
        <v>0</v>
      </c>
      <c r="M453" s="39">
        <f t="shared" ca="1" si="960"/>
        <v>0</v>
      </c>
      <c r="O453" s="38"/>
    </row>
    <row r="454" spans="2:15">
      <c r="B454" s="1048">
        <f t="shared" ca="1" si="959"/>
        <v>49822</v>
      </c>
      <c r="C454" s="153">
        <f t="shared" ca="1" si="949"/>
        <v>0</v>
      </c>
      <c r="D454" s="153">
        <f t="shared" ca="1" si="950"/>
        <v>0</v>
      </c>
      <c r="E454" s="153">
        <f t="shared" ca="1" si="951"/>
        <v>0</v>
      </c>
      <c r="F454" s="153">
        <f t="shared" ca="1" si="952"/>
        <v>0</v>
      </c>
      <c r="G454" s="153">
        <f t="shared" ca="1" si="953"/>
        <v>0</v>
      </c>
      <c r="H454" s="39">
        <f t="shared" ca="1" si="954"/>
        <v>0</v>
      </c>
      <c r="I454" s="39">
        <f t="shared" ca="1" si="955"/>
        <v>0</v>
      </c>
      <c r="J454" s="39">
        <f t="shared" ca="1" si="956"/>
        <v>0</v>
      </c>
      <c r="K454" s="39">
        <f t="shared" ca="1" si="957"/>
        <v>0</v>
      </c>
      <c r="L454" s="39">
        <f t="shared" ca="1" si="958"/>
        <v>0</v>
      </c>
      <c r="M454" s="39">
        <f t="shared" ca="1" si="960"/>
        <v>0</v>
      </c>
      <c r="O454" s="38"/>
    </row>
    <row r="455" spans="2:15">
      <c r="B455" s="1048">
        <f t="shared" ca="1" si="959"/>
        <v>49852</v>
      </c>
      <c r="C455" s="153">
        <f t="shared" ca="1" si="949"/>
        <v>0</v>
      </c>
      <c r="D455" s="153">
        <f t="shared" ca="1" si="950"/>
        <v>0</v>
      </c>
      <c r="E455" s="153">
        <f t="shared" ca="1" si="951"/>
        <v>0</v>
      </c>
      <c r="F455" s="153">
        <f t="shared" ca="1" si="952"/>
        <v>0</v>
      </c>
      <c r="G455" s="153">
        <f t="shared" ca="1" si="953"/>
        <v>0</v>
      </c>
      <c r="H455" s="39">
        <f t="shared" ca="1" si="954"/>
        <v>0</v>
      </c>
      <c r="I455" s="39">
        <f t="shared" ca="1" si="955"/>
        <v>0</v>
      </c>
      <c r="J455" s="39">
        <f t="shared" ca="1" si="956"/>
        <v>0</v>
      </c>
      <c r="K455" s="39">
        <f t="shared" ca="1" si="957"/>
        <v>0</v>
      </c>
      <c r="L455" s="39">
        <f t="shared" ca="1" si="958"/>
        <v>0</v>
      </c>
      <c r="M455" s="39">
        <f t="shared" ca="1" si="960"/>
        <v>0</v>
      </c>
      <c r="O455" s="38"/>
    </row>
    <row r="456" spans="2:15">
      <c r="B456" s="1048">
        <f t="shared" ca="1" si="959"/>
        <v>49882</v>
      </c>
      <c r="C456" s="153">
        <f t="shared" ca="1" si="949"/>
        <v>0</v>
      </c>
      <c r="D456" s="153">
        <f t="shared" ca="1" si="950"/>
        <v>0</v>
      </c>
      <c r="E456" s="153">
        <f t="shared" ca="1" si="951"/>
        <v>0</v>
      </c>
      <c r="F456" s="153">
        <f t="shared" ca="1" si="952"/>
        <v>0</v>
      </c>
      <c r="G456" s="153">
        <f t="shared" ca="1" si="953"/>
        <v>0</v>
      </c>
      <c r="H456" s="39">
        <f t="shared" ca="1" si="954"/>
        <v>0</v>
      </c>
      <c r="I456" s="39">
        <f t="shared" ca="1" si="955"/>
        <v>0</v>
      </c>
      <c r="J456" s="39">
        <f t="shared" ca="1" si="956"/>
        <v>0</v>
      </c>
      <c r="K456" s="39">
        <f t="shared" ca="1" si="957"/>
        <v>0</v>
      </c>
      <c r="L456" s="39">
        <f t="shared" ca="1" si="958"/>
        <v>0</v>
      </c>
      <c r="M456" s="39">
        <f t="shared" ca="1" si="960"/>
        <v>0</v>
      </c>
      <c r="O456" s="38"/>
    </row>
    <row r="457" spans="2:15">
      <c r="B457" s="1048">
        <f t="shared" ca="1" si="959"/>
        <v>49912</v>
      </c>
      <c r="C457" s="153">
        <f t="shared" ca="1" si="949"/>
        <v>0</v>
      </c>
      <c r="D457" s="153">
        <f t="shared" ca="1" si="950"/>
        <v>0</v>
      </c>
      <c r="E457" s="153">
        <f t="shared" ca="1" si="951"/>
        <v>0</v>
      </c>
      <c r="F457" s="153">
        <f t="shared" ca="1" si="952"/>
        <v>0</v>
      </c>
      <c r="G457" s="153">
        <f t="shared" ca="1" si="953"/>
        <v>0</v>
      </c>
      <c r="H457" s="39">
        <f t="shared" ca="1" si="954"/>
        <v>0</v>
      </c>
      <c r="I457" s="39">
        <f t="shared" ca="1" si="955"/>
        <v>0</v>
      </c>
      <c r="J457" s="39">
        <f t="shared" ca="1" si="956"/>
        <v>0</v>
      </c>
      <c r="K457" s="39">
        <f t="shared" ca="1" si="957"/>
        <v>0</v>
      </c>
      <c r="L457" s="39">
        <f t="shared" ca="1" si="958"/>
        <v>0</v>
      </c>
      <c r="M457" s="39">
        <f t="shared" ca="1" si="960"/>
        <v>0</v>
      </c>
      <c r="O457" s="38"/>
    </row>
    <row r="458" spans="2:15">
      <c r="B458" s="1048">
        <f t="shared" ca="1" si="959"/>
        <v>49942</v>
      </c>
      <c r="C458" s="153">
        <f t="shared" ca="1" si="949"/>
        <v>0</v>
      </c>
      <c r="D458" s="153">
        <f t="shared" ca="1" si="950"/>
        <v>0</v>
      </c>
      <c r="E458" s="153">
        <f t="shared" ca="1" si="951"/>
        <v>0</v>
      </c>
      <c r="F458" s="153">
        <f t="shared" ca="1" si="952"/>
        <v>0</v>
      </c>
      <c r="G458" s="153">
        <f t="shared" ca="1" si="953"/>
        <v>0</v>
      </c>
      <c r="H458" s="39">
        <f t="shared" ca="1" si="954"/>
        <v>0</v>
      </c>
      <c r="I458" s="39">
        <f t="shared" ca="1" si="955"/>
        <v>0</v>
      </c>
      <c r="J458" s="39">
        <f t="shared" ca="1" si="956"/>
        <v>0</v>
      </c>
      <c r="K458" s="39">
        <f t="shared" ca="1" si="957"/>
        <v>0</v>
      </c>
      <c r="L458" s="39">
        <f t="shared" ca="1" si="958"/>
        <v>0</v>
      </c>
      <c r="M458" s="39">
        <f t="shared" ca="1" si="960"/>
        <v>0</v>
      </c>
      <c r="O458" s="38"/>
    </row>
    <row r="459" spans="2:15">
      <c r="B459" s="1048">
        <f t="shared" ca="1" si="959"/>
        <v>49972</v>
      </c>
      <c r="C459" s="153">
        <f t="shared" ca="1" si="949"/>
        <v>0</v>
      </c>
      <c r="D459" s="153">
        <f t="shared" ca="1" si="950"/>
        <v>0</v>
      </c>
      <c r="E459" s="153">
        <f t="shared" ca="1" si="951"/>
        <v>0</v>
      </c>
      <c r="F459" s="153">
        <f t="shared" ca="1" si="952"/>
        <v>0</v>
      </c>
      <c r="G459" s="153">
        <f t="shared" ca="1" si="953"/>
        <v>0</v>
      </c>
      <c r="H459" s="39">
        <f t="shared" ca="1" si="954"/>
        <v>0</v>
      </c>
      <c r="I459" s="39">
        <f t="shared" ca="1" si="955"/>
        <v>0</v>
      </c>
      <c r="J459" s="39">
        <f t="shared" ca="1" si="956"/>
        <v>0</v>
      </c>
      <c r="K459" s="39">
        <f t="shared" ca="1" si="957"/>
        <v>0</v>
      </c>
      <c r="L459" s="39">
        <f t="shared" ca="1" si="958"/>
        <v>0</v>
      </c>
      <c r="M459" s="39">
        <f t="shared" ca="1" si="960"/>
        <v>0</v>
      </c>
      <c r="O459" s="38"/>
    </row>
    <row r="460" spans="2:15">
      <c r="B460" s="1048">
        <f t="shared" ca="1" si="959"/>
        <v>50002</v>
      </c>
      <c r="C460" s="153">
        <f t="shared" ca="1" si="949"/>
        <v>0</v>
      </c>
      <c r="D460" s="153">
        <f t="shared" ca="1" si="950"/>
        <v>0</v>
      </c>
      <c r="E460" s="153">
        <f t="shared" ca="1" si="951"/>
        <v>0</v>
      </c>
      <c r="F460" s="153">
        <f t="shared" ca="1" si="952"/>
        <v>0</v>
      </c>
      <c r="G460" s="153">
        <f t="shared" ca="1" si="953"/>
        <v>0</v>
      </c>
      <c r="H460" s="39">
        <f t="shared" ca="1" si="954"/>
        <v>0</v>
      </c>
      <c r="I460" s="39">
        <f t="shared" ca="1" si="955"/>
        <v>0</v>
      </c>
      <c r="J460" s="39">
        <f t="shared" ca="1" si="956"/>
        <v>0</v>
      </c>
      <c r="K460" s="39">
        <f t="shared" ca="1" si="957"/>
        <v>0</v>
      </c>
      <c r="L460" s="39">
        <f t="shared" ca="1" si="958"/>
        <v>0</v>
      </c>
      <c r="M460" s="39">
        <f t="shared" ca="1" si="960"/>
        <v>0</v>
      </c>
      <c r="O460" s="38"/>
    </row>
    <row r="461" spans="2:15">
      <c r="B461" s="1048">
        <f t="shared" ca="1" si="959"/>
        <v>50032</v>
      </c>
      <c r="C461" s="153">
        <f t="shared" ca="1" si="949"/>
        <v>0</v>
      </c>
      <c r="D461" s="153">
        <f t="shared" ca="1" si="950"/>
        <v>0</v>
      </c>
      <c r="E461" s="153">
        <f t="shared" ca="1" si="951"/>
        <v>0</v>
      </c>
      <c r="F461" s="153">
        <f t="shared" ca="1" si="952"/>
        <v>0</v>
      </c>
      <c r="G461" s="153">
        <f t="shared" ca="1" si="953"/>
        <v>0</v>
      </c>
      <c r="H461" s="39">
        <f t="shared" ca="1" si="954"/>
        <v>0</v>
      </c>
      <c r="I461" s="39">
        <f t="shared" ca="1" si="955"/>
        <v>0</v>
      </c>
      <c r="J461" s="39">
        <f t="shared" ca="1" si="956"/>
        <v>0</v>
      </c>
      <c r="K461" s="39">
        <f t="shared" ca="1" si="957"/>
        <v>0</v>
      </c>
      <c r="L461" s="39">
        <f t="shared" ca="1" si="958"/>
        <v>0</v>
      </c>
      <c r="M461" s="39">
        <f t="shared" ca="1" si="960"/>
        <v>0</v>
      </c>
      <c r="O461" s="38"/>
    </row>
    <row r="462" spans="2:15">
      <c r="B462" s="1048">
        <f t="shared" ca="1" si="959"/>
        <v>50062</v>
      </c>
      <c r="C462" s="153">
        <f t="shared" ca="1" si="949"/>
        <v>0</v>
      </c>
      <c r="D462" s="153">
        <f t="shared" ca="1" si="950"/>
        <v>0</v>
      </c>
      <c r="E462" s="153">
        <f t="shared" ca="1" si="951"/>
        <v>0</v>
      </c>
      <c r="F462" s="153">
        <f t="shared" ca="1" si="952"/>
        <v>0</v>
      </c>
      <c r="G462" s="153">
        <f t="shared" ca="1" si="953"/>
        <v>0</v>
      </c>
      <c r="H462" s="39">
        <f t="shared" ca="1" si="954"/>
        <v>0</v>
      </c>
      <c r="I462" s="39">
        <f t="shared" ca="1" si="955"/>
        <v>0</v>
      </c>
      <c r="J462" s="39">
        <f t="shared" ca="1" si="956"/>
        <v>0</v>
      </c>
      <c r="K462" s="39">
        <f t="shared" ca="1" si="957"/>
        <v>0</v>
      </c>
      <c r="L462" s="39">
        <f t="shared" ca="1" si="958"/>
        <v>0</v>
      </c>
      <c r="M462" s="39">
        <f t="shared" ca="1" si="960"/>
        <v>0</v>
      </c>
      <c r="O462" s="38"/>
    </row>
    <row r="463" spans="2:15">
      <c r="B463" s="1048">
        <f t="shared" ca="1" si="959"/>
        <v>50092</v>
      </c>
      <c r="C463" s="153">
        <f t="shared" ca="1" si="949"/>
        <v>0</v>
      </c>
      <c r="D463" s="153">
        <f t="shared" ca="1" si="950"/>
        <v>0</v>
      </c>
      <c r="E463" s="153">
        <f t="shared" ca="1" si="951"/>
        <v>0</v>
      </c>
      <c r="F463" s="153">
        <f t="shared" ca="1" si="952"/>
        <v>0</v>
      </c>
      <c r="G463" s="153">
        <f t="shared" ca="1" si="953"/>
        <v>0</v>
      </c>
      <c r="H463" s="39">
        <f t="shared" ca="1" si="954"/>
        <v>0</v>
      </c>
      <c r="I463" s="39">
        <f t="shared" ca="1" si="955"/>
        <v>0</v>
      </c>
      <c r="J463" s="39">
        <f t="shared" ca="1" si="956"/>
        <v>0</v>
      </c>
      <c r="K463" s="39">
        <f t="shared" ca="1" si="957"/>
        <v>0</v>
      </c>
      <c r="L463" s="39">
        <f t="shared" ca="1" si="958"/>
        <v>0</v>
      </c>
      <c r="M463" s="39">
        <f t="shared" ca="1" si="960"/>
        <v>0</v>
      </c>
      <c r="O463" s="38"/>
    </row>
    <row r="464" spans="2:15">
      <c r="B464" s="1048">
        <f t="shared" ca="1" si="959"/>
        <v>50122</v>
      </c>
      <c r="C464" s="153">
        <f t="shared" ca="1" si="949"/>
        <v>0</v>
      </c>
      <c r="D464" s="153">
        <f t="shared" ca="1" si="950"/>
        <v>0</v>
      </c>
      <c r="E464" s="153">
        <f t="shared" ca="1" si="951"/>
        <v>0</v>
      </c>
      <c r="F464" s="153">
        <f t="shared" ca="1" si="952"/>
        <v>0</v>
      </c>
      <c r="G464" s="153">
        <f t="shared" ca="1" si="953"/>
        <v>0</v>
      </c>
      <c r="H464" s="39">
        <f t="shared" ca="1" si="954"/>
        <v>0</v>
      </c>
      <c r="I464" s="39">
        <f t="shared" ca="1" si="955"/>
        <v>0</v>
      </c>
      <c r="J464" s="39">
        <f t="shared" ca="1" si="956"/>
        <v>0</v>
      </c>
      <c r="K464" s="39">
        <f t="shared" ca="1" si="957"/>
        <v>0</v>
      </c>
      <c r="L464" s="39">
        <f t="shared" ca="1" si="958"/>
        <v>0</v>
      </c>
      <c r="M464" s="39">
        <f t="shared" ca="1" si="960"/>
        <v>0</v>
      </c>
      <c r="O464" s="38"/>
    </row>
    <row r="465" spans="2:15">
      <c r="B465" s="1048">
        <f t="shared" ca="1" si="959"/>
        <v>50152</v>
      </c>
      <c r="C465" s="153">
        <f t="shared" ca="1" si="949"/>
        <v>0</v>
      </c>
      <c r="D465" s="153">
        <f t="shared" ca="1" si="950"/>
        <v>0</v>
      </c>
      <c r="E465" s="153">
        <f t="shared" ca="1" si="951"/>
        <v>0</v>
      </c>
      <c r="F465" s="153">
        <f t="shared" ca="1" si="952"/>
        <v>0</v>
      </c>
      <c r="G465" s="153">
        <f t="shared" ca="1" si="953"/>
        <v>0</v>
      </c>
      <c r="H465" s="39">
        <f t="shared" ca="1" si="954"/>
        <v>0</v>
      </c>
      <c r="I465" s="39">
        <f t="shared" ca="1" si="955"/>
        <v>0</v>
      </c>
      <c r="J465" s="39">
        <f t="shared" ca="1" si="956"/>
        <v>0</v>
      </c>
      <c r="K465" s="39">
        <f t="shared" ca="1" si="957"/>
        <v>0</v>
      </c>
      <c r="L465" s="39">
        <f t="shared" ca="1" si="958"/>
        <v>0</v>
      </c>
      <c r="M465" s="39">
        <f t="shared" ca="1" si="960"/>
        <v>0</v>
      </c>
      <c r="O465" s="38"/>
    </row>
    <row r="466" spans="2:15">
      <c r="B466" s="1048">
        <f t="shared" ca="1" si="959"/>
        <v>50182</v>
      </c>
      <c r="C466" s="153">
        <f t="shared" ca="1" si="949"/>
        <v>0</v>
      </c>
      <c r="D466" s="153">
        <f t="shared" ca="1" si="950"/>
        <v>0</v>
      </c>
      <c r="E466" s="153">
        <f t="shared" ca="1" si="951"/>
        <v>0</v>
      </c>
      <c r="F466" s="153">
        <f t="shared" ca="1" si="952"/>
        <v>0</v>
      </c>
      <c r="G466" s="153">
        <f t="shared" ca="1" si="953"/>
        <v>0</v>
      </c>
      <c r="H466" s="39">
        <f t="shared" ca="1" si="954"/>
        <v>0</v>
      </c>
      <c r="I466" s="39">
        <f t="shared" ca="1" si="955"/>
        <v>0</v>
      </c>
      <c r="J466" s="39">
        <f t="shared" ca="1" si="956"/>
        <v>0</v>
      </c>
      <c r="K466" s="39">
        <f t="shared" ca="1" si="957"/>
        <v>0</v>
      </c>
      <c r="L466" s="39">
        <f t="shared" ca="1" si="958"/>
        <v>0</v>
      </c>
      <c r="M466" s="39">
        <f t="shared" ca="1" si="960"/>
        <v>0</v>
      </c>
      <c r="O466" s="38"/>
    </row>
    <row r="467" spans="2:15">
      <c r="B467" s="1048">
        <f t="shared" ca="1" si="959"/>
        <v>50212</v>
      </c>
      <c r="C467" s="153">
        <f t="shared" ca="1" si="949"/>
        <v>0</v>
      </c>
      <c r="D467" s="153">
        <f t="shared" ca="1" si="950"/>
        <v>0</v>
      </c>
      <c r="E467" s="153">
        <f t="shared" ca="1" si="951"/>
        <v>0</v>
      </c>
      <c r="F467" s="153">
        <f t="shared" ca="1" si="952"/>
        <v>0</v>
      </c>
      <c r="G467" s="153">
        <f t="shared" ca="1" si="953"/>
        <v>0</v>
      </c>
      <c r="H467" s="39">
        <f t="shared" ca="1" si="954"/>
        <v>0</v>
      </c>
      <c r="I467" s="39">
        <f t="shared" ca="1" si="955"/>
        <v>0</v>
      </c>
      <c r="J467" s="39">
        <f t="shared" ca="1" si="956"/>
        <v>0</v>
      </c>
      <c r="K467" s="39">
        <f t="shared" ca="1" si="957"/>
        <v>0</v>
      </c>
      <c r="L467" s="39">
        <f t="shared" ca="1" si="958"/>
        <v>0</v>
      </c>
      <c r="M467" s="39">
        <f t="shared" ca="1" si="960"/>
        <v>0</v>
      </c>
      <c r="O467" s="38"/>
    </row>
    <row r="468" spans="2:15">
      <c r="B468" s="1048">
        <f t="shared" ca="1" si="959"/>
        <v>50242</v>
      </c>
      <c r="C468" s="153">
        <f t="shared" ca="1" si="949"/>
        <v>0</v>
      </c>
      <c r="D468" s="153">
        <f t="shared" ca="1" si="950"/>
        <v>0</v>
      </c>
      <c r="E468" s="153">
        <f t="shared" ca="1" si="951"/>
        <v>0</v>
      </c>
      <c r="F468" s="153">
        <f t="shared" ca="1" si="952"/>
        <v>0</v>
      </c>
      <c r="G468" s="153">
        <f t="shared" ca="1" si="953"/>
        <v>0</v>
      </c>
      <c r="H468" s="39">
        <f t="shared" ca="1" si="954"/>
        <v>0</v>
      </c>
      <c r="I468" s="39">
        <f t="shared" ca="1" si="955"/>
        <v>0</v>
      </c>
      <c r="J468" s="39">
        <f t="shared" ca="1" si="956"/>
        <v>0</v>
      </c>
      <c r="K468" s="39">
        <f t="shared" ca="1" si="957"/>
        <v>0</v>
      </c>
      <c r="L468" s="39">
        <f t="shared" ca="1" si="958"/>
        <v>0</v>
      </c>
      <c r="M468" s="39">
        <f t="shared" ca="1" si="960"/>
        <v>0</v>
      </c>
      <c r="O468" s="38"/>
    </row>
    <row r="469" spans="2:15">
      <c r="B469" s="1048">
        <f t="shared" ca="1" si="959"/>
        <v>50272</v>
      </c>
      <c r="C469" s="153">
        <f t="shared" ca="1" si="949"/>
        <v>0</v>
      </c>
      <c r="D469" s="153">
        <f t="shared" ca="1" si="950"/>
        <v>0</v>
      </c>
      <c r="E469" s="153">
        <f t="shared" ca="1" si="951"/>
        <v>0</v>
      </c>
      <c r="F469" s="153">
        <f t="shared" ca="1" si="952"/>
        <v>0</v>
      </c>
      <c r="G469" s="153">
        <f t="shared" ca="1" si="953"/>
        <v>0</v>
      </c>
      <c r="H469" s="39">
        <f t="shared" ca="1" si="954"/>
        <v>0</v>
      </c>
      <c r="I469" s="39">
        <f t="shared" ca="1" si="955"/>
        <v>0</v>
      </c>
      <c r="J469" s="39">
        <f t="shared" ca="1" si="956"/>
        <v>0</v>
      </c>
      <c r="K469" s="39">
        <f t="shared" ca="1" si="957"/>
        <v>0</v>
      </c>
      <c r="L469" s="39">
        <f t="shared" ca="1" si="958"/>
        <v>0</v>
      </c>
      <c r="M469" s="39">
        <f t="shared" ca="1" si="960"/>
        <v>0</v>
      </c>
      <c r="O469" s="38"/>
    </row>
    <row r="470" spans="2:15">
      <c r="B470" s="1048">
        <f t="shared" ca="1" si="959"/>
        <v>50302</v>
      </c>
      <c r="C470" s="153">
        <f t="shared" ca="1" si="949"/>
        <v>0</v>
      </c>
      <c r="D470" s="153">
        <f t="shared" ca="1" si="950"/>
        <v>0</v>
      </c>
      <c r="E470" s="153">
        <f t="shared" ca="1" si="951"/>
        <v>0</v>
      </c>
      <c r="F470" s="153">
        <f t="shared" ca="1" si="952"/>
        <v>0</v>
      </c>
      <c r="G470" s="153">
        <f t="shared" ca="1" si="953"/>
        <v>0</v>
      </c>
      <c r="H470" s="39">
        <f t="shared" ca="1" si="954"/>
        <v>0</v>
      </c>
      <c r="I470" s="39">
        <f t="shared" ca="1" si="955"/>
        <v>0</v>
      </c>
      <c r="J470" s="39">
        <f t="shared" ca="1" si="956"/>
        <v>0</v>
      </c>
      <c r="K470" s="39">
        <f t="shared" ca="1" si="957"/>
        <v>0</v>
      </c>
      <c r="L470" s="39">
        <f t="shared" ca="1" si="958"/>
        <v>0</v>
      </c>
      <c r="M470" s="39">
        <f t="shared" ca="1" si="960"/>
        <v>0</v>
      </c>
      <c r="O470" s="38"/>
    </row>
    <row r="471" spans="2:15">
      <c r="B471" s="1048">
        <f t="shared" ca="1" si="959"/>
        <v>50332</v>
      </c>
      <c r="C471" s="153">
        <f t="shared" ca="1" si="949"/>
        <v>0</v>
      </c>
      <c r="D471" s="153">
        <f t="shared" ca="1" si="950"/>
        <v>0</v>
      </c>
      <c r="E471" s="153">
        <f t="shared" ca="1" si="951"/>
        <v>0</v>
      </c>
      <c r="F471" s="153">
        <f t="shared" ca="1" si="952"/>
        <v>0</v>
      </c>
      <c r="G471" s="153">
        <f t="shared" ca="1" si="953"/>
        <v>0</v>
      </c>
      <c r="H471" s="39">
        <f t="shared" ca="1" si="954"/>
        <v>0</v>
      </c>
      <c r="I471" s="39">
        <f t="shared" ca="1" si="955"/>
        <v>0</v>
      </c>
      <c r="J471" s="39">
        <f t="shared" ca="1" si="956"/>
        <v>0</v>
      </c>
      <c r="K471" s="39">
        <f t="shared" ca="1" si="957"/>
        <v>0</v>
      </c>
      <c r="L471" s="39">
        <f t="shared" ca="1" si="958"/>
        <v>0</v>
      </c>
      <c r="M471" s="39">
        <f t="shared" ca="1" si="960"/>
        <v>0</v>
      </c>
      <c r="O471" s="38"/>
    </row>
    <row r="472" spans="2:15">
      <c r="B472" s="1048">
        <f t="shared" ca="1" si="959"/>
        <v>50362</v>
      </c>
      <c r="C472" s="153">
        <f t="shared" ca="1" si="949"/>
        <v>0</v>
      </c>
      <c r="D472" s="153">
        <f t="shared" ca="1" si="950"/>
        <v>0</v>
      </c>
      <c r="E472" s="153">
        <f t="shared" ca="1" si="951"/>
        <v>0</v>
      </c>
      <c r="F472" s="153">
        <f t="shared" ca="1" si="952"/>
        <v>0</v>
      </c>
      <c r="G472" s="153">
        <f t="shared" ca="1" si="953"/>
        <v>0</v>
      </c>
      <c r="H472" s="39">
        <f t="shared" ca="1" si="954"/>
        <v>0</v>
      </c>
      <c r="I472" s="39">
        <f t="shared" ca="1" si="955"/>
        <v>0</v>
      </c>
      <c r="J472" s="39">
        <f t="shared" ca="1" si="956"/>
        <v>0</v>
      </c>
      <c r="K472" s="39">
        <f t="shared" ca="1" si="957"/>
        <v>0</v>
      </c>
      <c r="L472" s="39">
        <f t="shared" ca="1" si="958"/>
        <v>0</v>
      </c>
      <c r="M472" s="39">
        <f t="shared" ca="1" si="960"/>
        <v>0</v>
      </c>
      <c r="O472" s="38"/>
    </row>
    <row r="473" spans="2:15">
      <c r="B473" s="1048">
        <f t="shared" ca="1" si="959"/>
        <v>50392</v>
      </c>
      <c r="C473" s="153">
        <f t="shared" ca="1" si="949"/>
        <v>0</v>
      </c>
      <c r="D473" s="153">
        <f t="shared" ca="1" si="950"/>
        <v>0</v>
      </c>
      <c r="E473" s="153">
        <f t="shared" ca="1" si="951"/>
        <v>0</v>
      </c>
      <c r="F473" s="153">
        <f t="shared" ca="1" si="952"/>
        <v>0</v>
      </c>
      <c r="G473" s="153">
        <f t="shared" ca="1" si="953"/>
        <v>0</v>
      </c>
      <c r="H473" s="39">
        <f t="shared" ca="1" si="954"/>
        <v>0</v>
      </c>
      <c r="I473" s="39">
        <f t="shared" ca="1" si="955"/>
        <v>0</v>
      </c>
      <c r="J473" s="39">
        <f t="shared" ca="1" si="956"/>
        <v>0</v>
      </c>
      <c r="K473" s="39">
        <f t="shared" ca="1" si="957"/>
        <v>0</v>
      </c>
      <c r="L473" s="39">
        <f t="shared" ca="1" si="958"/>
        <v>0</v>
      </c>
      <c r="M473" s="39">
        <f t="shared" ca="1" si="960"/>
        <v>0</v>
      </c>
      <c r="O473" s="38"/>
    </row>
    <row r="474" spans="2:15">
      <c r="B474" s="1048">
        <f t="shared" ca="1" si="959"/>
        <v>50422</v>
      </c>
      <c r="C474" s="153">
        <f t="shared" ca="1" si="949"/>
        <v>0</v>
      </c>
      <c r="D474" s="153">
        <f t="shared" ca="1" si="950"/>
        <v>0</v>
      </c>
      <c r="E474" s="153">
        <f t="shared" ca="1" si="951"/>
        <v>0</v>
      </c>
      <c r="F474" s="153">
        <f t="shared" ca="1" si="952"/>
        <v>0</v>
      </c>
      <c r="G474" s="153">
        <f t="shared" ca="1" si="953"/>
        <v>0</v>
      </c>
      <c r="H474" s="39">
        <f t="shared" ca="1" si="954"/>
        <v>0</v>
      </c>
      <c r="I474" s="39">
        <f t="shared" ca="1" si="955"/>
        <v>0</v>
      </c>
      <c r="J474" s="39">
        <f t="shared" ca="1" si="956"/>
        <v>0</v>
      </c>
      <c r="K474" s="39">
        <f t="shared" ca="1" si="957"/>
        <v>0</v>
      </c>
      <c r="L474" s="39">
        <f t="shared" ca="1" si="958"/>
        <v>0</v>
      </c>
      <c r="M474" s="39">
        <f t="shared" ca="1" si="960"/>
        <v>0</v>
      </c>
      <c r="O474" s="38"/>
    </row>
    <row r="475" spans="2:15">
      <c r="B475" s="1048">
        <f t="shared" ca="1" si="959"/>
        <v>50452</v>
      </c>
      <c r="C475" s="153">
        <f t="shared" ref="C475:C538" ca="1" si="961">SUMIFS(P:P,U:U,"&gt;="&amp;DATE(YEAR(B475),MONTH(B475),DAY(B475)),U:U,"&lt;"&amp;DATE(YEAR(B476),MONTH(B476),DAY(B476)))</f>
        <v>0</v>
      </c>
      <c r="D475" s="153">
        <f t="shared" ref="D475:D538" ca="1" si="962">SUMIFS(Y:Y,AD:AD,"&gt;="&amp;DATE(YEAR(B475),MONTH(B475),DAY(B475)),AD:AD,"&lt;"&amp;DATE(YEAR(B476),MONTH(B476),DAY(B476)))</f>
        <v>0</v>
      </c>
      <c r="E475" s="153">
        <f t="shared" ref="E475:E538" ca="1" si="963">SUMIFS(AI:AI,AN:AN,"&gt;="&amp;DATE(YEAR(B475),MONTH(B475),DAY(B475)),AN:AN,"&lt;"&amp;DATE(YEAR(B476),MONTH(B476),DAY(B476)))</f>
        <v>0</v>
      </c>
      <c r="F475" s="153">
        <f t="shared" ref="F475:F538" ca="1" si="964">SUMIFS(AR:AR,AW:AW,"&gt;="&amp;DATE(YEAR(B475),MONTH(B475),DAY(B475)),AW:AW,"&lt;"&amp;DATE(YEAR(B476),MONTH(B476),DAY(B476)))</f>
        <v>0</v>
      </c>
      <c r="G475" s="153">
        <f t="shared" ref="G475:G538" ca="1" si="965">SUMIFS(BC:BC,BF:BF,"&gt;="&amp;DATE(YEAR(B475),MONTH(B475),DAY(B475)),BF:BF,"&lt;"&amp;DATE(YEAR(B476),MONTH(B476),DAY(B476)))</f>
        <v>0</v>
      </c>
      <c r="H475" s="39">
        <f t="shared" ref="H475:H538" ca="1" si="966">SUMIFS(BW:BW,BZ:BZ,"&gt;="&amp;DATE(YEAR(B475),MONTH(B475),DY(B475)),BZ:BZ,"&lt;"&amp;DATE(YEAR(B476),MONTH(B476),DAY(B476)))</f>
        <v>0</v>
      </c>
      <c r="I475" s="39">
        <f t="shared" ref="I475:I538" ca="1" si="967">SUMIFS(CO:CO,CR:CR,"&gt;="&amp;DATE(YEAR(B475),MONTH(B475),DAY(B475)),CR:CR,"&lt;"&amp;DATE(YEAR(B476),MONTH(B476),DAY(B476)))</f>
        <v>0</v>
      </c>
      <c r="J475" s="39">
        <f t="shared" ref="J475:J538" ca="1" si="968">SUMIFS(DG:DG,DJ:DJ,"&gt;="&amp;DATE(YEAR(B475),MONTH(B475),DAY(B475)),DJ:DJ,"&lt;"&amp;DATE(YEAR(B476),MONTH(B476),DAY(B476)))</f>
        <v>0</v>
      </c>
      <c r="K475" s="39">
        <f t="shared" ref="K475:K538" ca="1" si="969">SUMIFS(EK:EK,EG:EG,"&gt;="&amp;DATE(YEAR(B475),MONTH(B475),DAY(B475)),EG:EG,"&lt;"&amp;DATE(YEAR(B476),MONTH(B476),DAY(B476)))</f>
        <v>0</v>
      </c>
      <c r="L475" s="39">
        <f t="shared" ref="L475:L538" ca="1" si="970">SUMIFS(FB:FB,EY:EY,"&gt;="&amp;DATE(YEAR(B475),MONTH(B475),DAY(B475)),EY:EY,"&lt;"&amp;DATE(YEAR(B476),MONTH(B476),DAY(B476)))</f>
        <v>0</v>
      </c>
      <c r="M475" s="39">
        <f t="shared" ca="1" si="960"/>
        <v>0</v>
      </c>
      <c r="O475" s="38"/>
    </row>
    <row r="476" spans="2:15">
      <c r="B476" s="1048">
        <f t="shared" ref="B476:B539" ca="1" si="971">B475+30</f>
        <v>50482</v>
      </c>
      <c r="C476" s="153">
        <f t="shared" ca="1" si="961"/>
        <v>0</v>
      </c>
      <c r="D476" s="153">
        <f t="shared" ca="1" si="962"/>
        <v>0</v>
      </c>
      <c r="E476" s="153">
        <f t="shared" ca="1" si="963"/>
        <v>0</v>
      </c>
      <c r="F476" s="153">
        <f t="shared" ca="1" si="964"/>
        <v>0</v>
      </c>
      <c r="G476" s="153">
        <f t="shared" ca="1" si="965"/>
        <v>0</v>
      </c>
      <c r="H476" s="39">
        <f t="shared" ca="1" si="966"/>
        <v>0</v>
      </c>
      <c r="I476" s="39">
        <f t="shared" ca="1" si="967"/>
        <v>0</v>
      </c>
      <c r="J476" s="39">
        <f t="shared" ca="1" si="968"/>
        <v>0</v>
      </c>
      <c r="K476" s="39">
        <f t="shared" ca="1" si="969"/>
        <v>0</v>
      </c>
      <c r="L476" s="39">
        <f t="shared" ca="1" si="970"/>
        <v>0</v>
      </c>
      <c r="M476" s="39">
        <f t="shared" ca="1" si="960"/>
        <v>0</v>
      </c>
      <c r="O476" s="38"/>
    </row>
    <row r="477" spans="2:15">
      <c r="B477" s="1048">
        <f t="shared" ca="1" si="971"/>
        <v>50512</v>
      </c>
      <c r="C477" s="153">
        <f t="shared" ca="1" si="961"/>
        <v>0</v>
      </c>
      <c r="D477" s="153">
        <f t="shared" ca="1" si="962"/>
        <v>0</v>
      </c>
      <c r="E477" s="153">
        <f t="shared" ca="1" si="963"/>
        <v>0</v>
      </c>
      <c r="F477" s="153">
        <f t="shared" ca="1" si="964"/>
        <v>0</v>
      </c>
      <c r="G477" s="153">
        <f t="shared" ca="1" si="965"/>
        <v>0</v>
      </c>
      <c r="H477" s="39">
        <f t="shared" ca="1" si="966"/>
        <v>0</v>
      </c>
      <c r="I477" s="39">
        <f t="shared" ca="1" si="967"/>
        <v>0</v>
      </c>
      <c r="J477" s="39">
        <f t="shared" ca="1" si="968"/>
        <v>0</v>
      </c>
      <c r="K477" s="39">
        <f t="shared" ca="1" si="969"/>
        <v>0</v>
      </c>
      <c r="L477" s="39">
        <f t="shared" ca="1" si="970"/>
        <v>0</v>
      </c>
      <c r="M477" s="39">
        <f t="shared" ref="M477:M540" ca="1" si="972">SUM(C477:L477)</f>
        <v>0</v>
      </c>
      <c r="O477" s="38"/>
    </row>
    <row r="478" spans="2:15">
      <c r="B478" s="1048">
        <f t="shared" ca="1" si="971"/>
        <v>50542</v>
      </c>
      <c r="C478" s="153">
        <f t="shared" ca="1" si="961"/>
        <v>0</v>
      </c>
      <c r="D478" s="153">
        <f t="shared" ca="1" si="962"/>
        <v>0</v>
      </c>
      <c r="E478" s="153">
        <f t="shared" ca="1" si="963"/>
        <v>0</v>
      </c>
      <c r="F478" s="153">
        <f t="shared" ca="1" si="964"/>
        <v>0</v>
      </c>
      <c r="G478" s="153">
        <f t="shared" ca="1" si="965"/>
        <v>0</v>
      </c>
      <c r="H478" s="39">
        <f t="shared" ca="1" si="966"/>
        <v>0</v>
      </c>
      <c r="I478" s="39">
        <f t="shared" ca="1" si="967"/>
        <v>0</v>
      </c>
      <c r="J478" s="39">
        <f t="shared" ca="1" si="968"/>
        <v>0</v>
      </c>
      <c r="K478" s="39">
        <f t="shared" ca="1" si="969"/>
        <v>0</v>
      </c>
      <c r="L478" s="39">
        <f t="shared" ca="1" si="970"/>
        <v>0</v>
      </c>
      <c r="M478" s="39">
        <f t="shared" ca="1" si="972"/>
        <v>0</v>
      </c>
      <c r="O478" s="38"/>
    </row>
    <row r="479" spans="2:15">
      <c r="B479" s="1048">
        <f t="shared" ca="1" si="971"/>
        <v>50572</v>
      </c>
      <c r="C479" s="153">
        <f t="shared" ca="1" si="961"/>
        <v>0</v>
      </c>
      <c r="D479" s="153">
        <f t="shared" ca="1" si="962"/>
        <v>0</v>
      </c>
      <c r="E479" s="153">
        <f t="shared" ca="1" si="963"/>
        <v>0</v>
      </c>
      <c r="F479" s="153">
        <f t="shared" ca="1" si="964"/>
        <v>0</v>
      </c>
      <c r="G479" s="153">
        <f t="shared" ca="1" si="965"/>
        <v>0</v>
      </c>
      <c r="H479" s="39">
        <f t="shared" ca="1" si="966"/>
        <v>0</v>
      </c>
      <c r="I479" s="39">
        <f t="shared" ca="1" si="967"/>
        <v>0</v>
      </c>
      <c r="J479" s="39">
        <f t="shared" ca="1" si="968"/>
        <v>0</v>
      </c>
      <c r="K479" s="39">
        <f t="shared" ca="1" si="969"/>
        <v>0</v>
      </c>
      <c r="L479" s="39">
        <f t="shared" ca="1" si="970"/>
        <v>0</v>
      </c>
      <c r="M479" s="39">
        <f t="shared" ca="1" si="972"/>
        <v>0</v>
      </c>
      <c r="O479" s="38"/>
    </row>
    <row r="480" spans="2:15">
      <c r="B480" s="1048">
        <f t="shared" ca="1" si="971"/>
        <v>50602</v>
      </c>
      <c r="C480" s="153">
        <f t="shared" ca="1" si="961"/>
        <v>0</v>
      </c>
      <c r="D480" s="153">
        <f t="shared" ca="1" si="962"/>
        <v>0</v>
      </c>
      <c r="E480" s="153">
        <f t="shared" ca="1" si="963"/>
        <v>0</v>
      </c>
      <c r="F480" s="153">
        <f t="shared" ca="1" si="964"/>
        <v>0</v>
      </c>
      <c r="G480" s="153">
        <f t="shared" ca="1" si="965"/>
        <v>0</v>
      </c>
      <c r="H480" s="39">
        <f t="shared" ca="1" si="966"/>
        <v>0</v>
      </c>
      <c r="I480" s="39">
        <f t="shared" ca="1" si="967"/>
        <v>0</v>
      </c>
      <c r="J480" s="39">
        <f t="shared" ca="1" si="968"/>
        <v>0</v>
      </c>
      <c r="K480" s="39">
        <f t="shared" ca="1" si="969"/>
        <v>0</v>
      </c>
      <c r="L480" s="39">
        <f t="shared" ca="1" si="970"/>
        <v>0</v>
      </c>
      <c r="M480" s="39">
        <f t="shared" ca="1" si="972"/>
        <v>0</v>
      </c>
      <c r="O480" s="38"/>
    </row>
    <row r="481" spans="2:15">
      <c r="B481" s="1048">
        <f t="shared" ca="1" si="971"/>
        <v>50632</v>
      </c>
      <c r="C481" s="153">
        <f t="shared" ca="1" si="961"/>
        <v>0</v>
      </c>
      <c r="D481" s="153">
        <f t="shared" ca="1" si="962"/>
        <v>0</v>
      </c>
      <c r="E481" s="153">
        <f t="shared" ca="1" si="963"/>
        <v>0</v>
      </c>
      <c r="F481" s="153">
        <f t="shared" ca="1" si="964"/>
        <v>0</v>
      </c>
      <c r="G481" s="153">
        <f t="shared" ca="1" si="965"/>
        <v>0</v>
      </c>
      <c r="H481" s="39">
        <f t="shared" ca="1" si="966"/>
        <v>0</v>
      </c>
      <c r="I481" s="39">
        <f t="shared" ca="1" si="967"/>
        <v>0</v>
      </c>
      <c r="J481" s="39">
        <f t="shared" ca="1" si="968"/>
        <v>0</v>
      </c>
      <c r="K481" s="39">
        <f t="shared" ca="1" si="969"/>
        <v>0</v>
      </c>
      <c r="L481" s="39">
        <f t="shared" ca="1" si="970"/>
        <v>0</v>
      </c>
      <c r="M481" s="39">
        <f t="shared" ca="1" si="972"/>
        <v>0</v>
      </c>
      <c r="O481" s="38"/>
    </row>
    <row r="482" spans="2:15">
      <c r="B482" s="1048">
        <f t="shared" ca="1" si="971"/>
        <v>50662</v>
      </c>
      <c r="C482" s="153">
        <f t="shared" ca="1" si="961"/>
        <v>0</v>
      </c>
      <c r="D482" s="153">
        <f t="shared" ca="1" si="962"/>
        <v>0</v>
      </c>
      <c r="E482" s="153">
        <f t="shared" ca="1" si="963"/>
        <v>0</v>
      </c>
      <c r="F482" s="153">
        <f t="shared" ca="1" si="964"/>
        <v>0</v>
      </c>
      <c r="G482" s="153">
        <f t="shared" ca="1" si="965"/>
        <v>0</v>
      </c>
      <c r="H482" s="39">
        <f t="shared" ca="1" si="966"/>
        <v>0</v>
      </c>
      <c r="I482" s="39">
        <f t="shared" ca="1" si="967"/>
        <v>0</v>
      </c>
      <c r="J482" s="39">
        <f t="shared" ca="1" si="968"/>
        <v>0</v>
      </c>
      <c r="K482" s="39">
        <f t="shared" ca="1" si="969"/>
        <v>0</v>
      </c>
      <c r="L482" s="39">
        <f t="shared" ca="1" si="970"/>
        <v>0</v>
      </c>
      <c r="M482" s="39">
        <f t="shared" ca="1" si="972"/>
        <v>0</v>
      </c>
      <c r="O482" s="38"/>
    </row>
    <row r="483" spans="2:15">
      <c r="B483" s="1048">
        <f t="shared" ca="1" si="971"/>
        <v>50692</v>
      </c>
      <c r="C483" s="153">
        <f t="shared" ca="1" si="961"/>
        <v>0</v>
      </c>
      <c r="D483" s="153">
        <f t="shared" ca="1" si="962"/>
        <v>0</v>
      </c>
      <c r="E483" s="153">
        <f t="shared" ca="1" si="963"/>
        <v>0</v>
      </c>
      <c r="F483" s="153">
        <f t="shared" ca="1" si="964"/>
        <v>0</v>
      </c>
      <c r="G483" s="153">
        <f t="shared" ca="1" si="965"/>
        <v>0</v>
      </c>
      <c r="H483" s="39">
        <f t="shared" ca="1" si="966"/>
        <v>0</v>
      </c>
      <c r="I483" s="39">
        <f t="shared" ca="1" si="967"/>
        <v>0</v>
      </c>
      <c r="J483" s="39">
        <f t="shared" ca="1" si="968"/>
        <v>0</v>
      </c>
      <c r="K483" s="39">
        <f t="shared" ca="1" si="969"/>
        <v>0</v>
      </c>
      <c r="L483" s="39">
        <f t="shared" ca="1" si="970"/>
        <v>0</v>
      </c>
      <c r="M483" s="39">
        <f t="shared" ca="1" si="972"/>
        <v>0</v>
      </c>
      <c r="O483" s="38"/>
    </row>
    <row r="484" spans="2:15">
      <c r="B484" s="1048">
        <f t="shared" ca="1" si="971"/>
        <v>50722</v>
      </c>
      <c r="C484" s="153">
        <f t="shared" ca="1" si="961"/>
        <v>0</v>
      </c>
      <c r="D484" s="153">
        <f t="shared" ca="1" si="962"/>
        <v>0</v>
      </c>
      <c r="E484" s="153">
        <f t="shared" ca="1" si="963"/>
        <v>0</v>
      </c>
      <c r="F484" s="153">
        <f t="shared" ca="1" si="964"/>
        <v>0</v>
      </c>
      <c r="G484" s="153">
        <f t="shared" ca="1" si="965"/>
        <v>0</v>
      </c>
      <c r="H484" s="39">
        <f t="shared" ca="1" si="966"/>
        <v>0</v>
      </c>
      <c r="I484" s="39">
        <f t="shared" ca="1" si="967"/>
        <v>0</v>
      </c>
      <c r="J484" s="39">
        <f t="shared" ca="1" si="968"/>
        <v>0</v>
      </c>
      <c r="K484" s="39">
        <f t="shared" ca="1" si="969"/>
        <v>0</v>
      </c>
      <c r="L484" s="39">
        <f t="shared" ca="1" si="970"/>
        <v>0</v>
      </c>
      <c r="M484" s="39">
        <f t="shared" ca="1" si="972"/>
        <v>0</v>
      </c>
      <c r="O484" s="38"/>
    </row>
    <row r="485" spans="2:15">
      <c r="B485" s="1048">
        <f t="shared" ca="1" si="971"/>
        <v>50752</v>
      </c>
      <c r="C485" s="153">
        <f t="shared" ca="1" si="961"/>
        <v>0</v>
      </c>
      <c r="D485" s="153">
        <f t="shared" ca="1" si="962"/>
        <v>0</v>
      </c>
      <c r="E485" s="153">
        <f t="shared" ca="1" si="963"/>
        <v>0</v>
      </c>
      <c r="F485" s="153">
        <f t="shared" ca="1" si="964"/>
        <v>0</v>
      </c>
      <c r="G485" s="153">
        <f t="shared" ca="1" si="965"/>
        <v>0</v>
      </c>
      <c r="H485" s="39">
        <f t="shared" ca="1" si="966"/>
        <v>0</v>
      </c>
      <c r="I485" s="39">
        <f t="shared" ca="1" si="967"/>
        <v>0</v>
      </c>
      <c r="J485" s="39">
        <f t="shared" ca="1" si="968"/>
        <v>0</v>
      </c>
      <c r="K485" s="39">
        <f t="shared" ca="1" si="969"/>
        <v>0</v>
      </c>
      <c r="L485" s="39">
        <f t="shared" ca="1" si="970"/>
        <v>0</v>
      </c>
      <c r="M485" s="39">
        <f t="shared" ca="1" si="972"/>
        <v>0</v>
      </c>
      <c r="O485" s="38"/>
    </row>
    <row r="486" spans="2:15">
      <c r="B486" s="1048">
        <f t="shared" ca="1" si="971"/>
        <v>50782</v>
      </c>
      <c r="C486" s="153">
        <f t="shared" ca="1" si="961"/>
        <v>0</v>
      </c>
      <c r="D486" s="153">
        <f t="shared" ca="1" si="962"/>
        <v>0</v>
      </c>
      <c r="E486" s="153">
        <f t="shared" ca="1" si="963"/>
        <v>0</v>
      </c>
      <c r="F486" s="153">
        <f t="shared" ca="1" si="964"/>
        <v>0</v>
      </c>
      <c r="G486" s="153">
        <f t="shared" ca="1" si="965"/>
        <v>0</v>
      </c>
      <c r="H486" s="39">
        <f t="shared" ca="1" si="966"/>
        <v>0</v>
      </c>
      <c r="I486" s="39">
        <f t="shared" ca="1" si="967"/>
        <v>0</v>
      </c>
      <c r="J486" s="39">
        <f t="shared" ca="1" si="968"/>
        <v>0</v>
      </c>
      <c r="K486" s="39">
        <f t="shared" ca="1" si="969"/>
        <v>0</v>
      </c>
      <c r="L486" s="39">
        <f t="shared" ca="1" si="970"/>
        <v>0</v>
      </c>
      <c r="M486" s="39">
        <f t="shared" ca="1" si="972"/>
        <v>0</v>
      </c>
      <c r="O486" s="38"/>
    </row>
    <row r="487" spans="2:15">
      <c r="B487" s="1048">
        <f t="shared" ca="1" si="971"/>
        <v>50812</v>
      </c>
      <c r="C487" s="153">
        <f t="shared" ca="1" si="961"/>
        <v>0</v>
      </c>
      <c r="D487" s="153">
        <f t="shared" ca="1" si="962"/>
        <v>0</v>
      </c>
      <c r="E487" s="153">
        <f t="shared" ca="1" si="963"/>
        <v>0</v>
      </c>
      <c r="F487" s="153">
        <f t="shared" ca="1" si="964"/>
        <v>0</v>
      </c>
      <c r="G487" s="153">
        <f t="shared" ca="1" si="965"/>
        <v>0</v>
      </c>
      <c r="H487" s="39">
        <f t="shared" ca="1" si="966"/>
        <v>0</v>
      </c>
      <c r="I487" s="39">
        <f t="shared" ca="1" si="967"/>
        <v>0</v>
      </c>
      <c r="J487" s="39">
        <f t="shared" ca="1" si="968"/>
        <v>0</v>
      </c>
      <c r="K487" s="39">
        <f t="shared" ca="1" si="969"/>
        <v>0</v>
      </c>
      <c r="L487" s="39">
        <f t="shared" ca="1" si="970"/>
        <v>0</v>
      </c>
      <c r="M487" s="39">
        <f t="shared" ca="1" si="972"/>
        <v>0</v>
      </c>
      <c r="O487" s="38"/>
    </row>
    <row r="488" spans="2:15">
      <c r="B488" s="1048">
        <f t="shared" ca="1" si="971"/>
        <v>50842</v>
      </c>
      <c r="C488" s="153">
        <f t="shared" ca="1" si="961"/>
        <v>0</v>
      </c>
      <c r="D488" s="153">
        <f t="shared" ca="1" si="962"/>
        <v>0</v>
      </c>
      <c r="E488" s="153">
        <f t="shared" ca="1" si="963"/>
        <v>0</v>
      </c>
      <c r="F488" s="153">
        <f t="shared" ca="1" si="964"/>
        <v>0</v>
      </c>
      <c r="G488" s="153">
        <f t="shared" ca="1" si="965"/>
        <v>0</v>
      </c>
      <c r="H488" s="39">
        <f t="shared" ca="1" si="966"/>
        <v>0</v>
      </c>
      <c r="I488" s="39">
        <f t="shared" ca="1" si="967"/>
        <v>0</v>
      </c>
      <c r="J488" s="39">
        <f t="shared" ca="1" si="968"/>
        <v>0</v>
      </c>
      <c r="K488" s="39">
        <f t="shared" ca="1" si="969"/>
        <v>0</v>
      </c>
      <c r="L488" s="39">
        <f t="shared" ca="1" si="970"/>
        <v>0</v>
      </c>
      <c r="M488" s="39">
        <f t="shared" ca="1" si="972"/>
        <v>0</v>
      </c>
      <c r="O488" s="38"/>
    </row>
    <row r="489" spans="2:15">
      <c r="B489" s="1048">
        <f t="shared" ca="1" si="971"/>
        <v>50872</v>
      </c>
      <c r="C489" s="153">
        <f t="shared" ca="1" si="961"/>
        <v>0</v>
      </c>
      <c r="D489" s="153">
        <f t="shared" ca="1" si="962"/>
        <v>0</v>
      </c>
      <c r="E489" s="153">
        <f t="shared" ca="1" si="963"/>
        <v>0</v>
      </c>
      <c r="F489" s="153">
        <f t="shared" ca="1" si="964"/>
        <v>0</v>
      </c>
      <c r="G489" s="153">
        <f t="shared" ca="1" si="965"/>
        <v>0</v>
      </c>
      <c r="H489" s="39">
        <f t="shared" ca="1" si="966"/>
        <v>0</v>
      </c>
      <c r="I489" s="39">
        <f t="shared" ca="1" si="967"/>
        <v>0</v>
      </c>
      <c r="J489" s="39">
        <f t="shared" ca="1" si="968"/>
        <v>0</v>
      </c>
      <c r="K489" s="39">
        <f t="shared" ca="1" si="969"/>
        <v>0</v>
      </c>
      <c r="L489" s="39">
        <f t="shared" ca="1" si="970"/>
        <v>0</v>
      </c>
      <c r="M489" s="39">
        <f t="shared" ca="1" si="972"/>
        <v>0</v>
      </c>
      <c r="O489" s="38"/>
    </row>
    <row r="490" spans="2:15">
      <c r="B490" s="1048">
        <f t="shared" ca="1" si="971"/>
        <v>50902</v>
      </c>
      <c r="C490" s="153">
        <f t="shared" ca="1" si="961"/>
        <v>0</v>
      </c>
      <c r="D490" s="153">
        <f t="shared" ca="1" si="962"/>
        <v>0</v>
      </c>
      <c r="E490" s="153">
        <f t="shared" ca="1" si="963"/>
        <v>0</v>
      </c>
      <c r="F490" s="153">
        <f t="shared" ca="1" si="964"/>
        <v>0</v>
      </c>
      <c r="G490" s="153">
        <f t="shared" ca="1" si="965"/>
        <v>0</v>
      </c>
      <c r="H490" s="39">
        <f t="shared" ca="1" si="966"/>
        <v>0</v>
      </c>
      <c r="I490" s="39">
        <f t="shared" ca="1" si="967"/>
        <v>0</v>
      </c>
      <c r="J490" s="39">
        <f t="shared" ca="1" si="968"/>
        <v>0</v>
      </c>
      <c r="K490" s="39">
        <f t="shared" ca="1" si="969"/>
        <v>0</v>
      </c>
      <c r="L490" s="39">
        <f t="shared" ca="1" si="970"/>
        <v>0</v>
      </c>
      <c r="M490" s="39">
        <f t="shared" ca="1" si="972"/>
        <v>0</v>
      </c>
      <c r="O490" s="38"/>
    </row>
    <row r="491" spans="2:15">
      <c r="B491" s="1048">
        <f t="shared" ca="1" si="971"/>
        <v>50932</v>
      </c>
      <c r="C491" s="153">
        <f t="shared" ca="1" si="961"/>
        <v>0</v>
      </c>
      <c r="D491" s="153">
        <f t="shared" ca="1" si="962"/>
        <v>0</v>
      </c>
      <c r="E491" s="153">
        <f t="shared" ca="1" si="963"/>
        <v>0</v>
      </c>
      <c r="F491" s="153">
        <f t="shared" ca="1" si="964"/>
        <v>0</v>
      </c>
      <c r="G491" s="153">
        <f t="shared" ca="1" si="965"/>
        <v>0</v>
      </c>
      <c r="H491" s="39">
        <f t="shared" ca="1" si="966"/>
        <v>0</v>
      </c>
      <c r="I491" s="39">
        <f t="shared" ca="1" si="967"/>
        <v>0</v>
      </c>
      <c r="J491" s="39">
        <f t="shared" ca="1" si="968"/>
        <v>0</v>
      </c>
      <c r="K491" s="39">
        <f t="shared" ca="1" si="969"/>
        <v>0</v>
      </c>
      <c r="L491" s="39">
        <f t="shared" ca="1" si="970"/>
        <v>0</v>
      </c>
      <c r="M491" s="39">
        <f t="shared" ca="1" si="972"/>
        <v>0</v>
      </c>
      <c r="O491" s="38"/>
    </row>
    <row r="492" spans="2:15">
      <c r="B492" s="1048">
        <f t="shared" ca="1" si="971"/>
        <v>50962</v>
      </c>
      <c r="C492" s="153">
        <f t="shared" ca="1" si="961"/>
        <v>0</v>
      </c>
      <c r="D492" s="153">
        <f t="shared" ca="1" si="962"/>
        <v>0</v>
      </c>
      <c r="E492" s="153">
        <f t="shared" ca="1" si="963"/>
        <v>0</v>
      </c>
      <c r="F492" s="153">
        <f t="shared" ca="1" si="964"/>
        <v>0</v>
      </c>
      <c r="G492" s="153">
        <f t="shared" ca="1" si="965"/>
        <v>0</v>
      </c>
      <c r="H492" s="39">
        <f t="shared" ca="1" si="966"/>
        <v>0</v>
      </c>
      <c r="I492" s="39">
        <f t="shared" ca="1" si="967"/>
        <v>0</v>
      </c>
      <c r="J492" s="39">
        <f t="shared" ca="1" si="968"/>
        <v>0</v>
      </c>
      <c r="K492" s="39">
        <f t="shared" ca="1" si="969"/>
        <v>0</v>
      </c>
      <c r="L492" s="39">
        <f t="shared" ca="1" si="970"/>
        <v>0</v>
      </c>
      <c r="M492" s="39">
        <f t="shared" ca="1" si="972"/>
        <v>0</v>
      </c>
      <c r="O492" s="38"/>
    </row>
    <row r="493" spans="2:15">
      <c r="B493" s="1048">
        <f t="shared" ca="1" si="971"/>
        <v>50992</v>
      </c>
      <c r="C493" s="153">
        <f t="shared" ca="1" si="961"/>
        <v>0</v>
      </c>
      <c r="D493" s="153">
        <f t="shared" ca="1" si="962"/>
        <v>0</v>
      </c>
      <c r="E493" s="153">
        <f t="shared" ca="1" si="963"/>
        <v>0</v>
      </c>
      <c r="F493" s="153">
        <f t="shared" ca="1" si="964"/>
        <v>0</v>
      </c>
      <c r="G493" s="153">
        <f t="shared" ca="1" si="965"/>
        <v>0</v>
      </c>
      <c r="H493" s="39">
        <f t="shared" ca="1" si="966"/>
        <v>0</v>
      </c>
      <c r="I493" s="39">
        <f t="shared" ca="1" si="967"/>
        <v>0</v>
      </c>
      <c r="J493" s="39">
        <f t="shared" ca="1" si="968"/>
        <v>0</v>
      </c>
      <c r="K493" s="39">
        <f t="shared" ca="1" si="969"/>
        <v>0</v>
      </c>
      <c r="L493" s="39">
        <f t="shared" ca="1" si="970"/>
        <v>0</v>
      </c>
      <c r="M493" s="39">
        <f t="shared" ca="1" si="972"/>
        <v>0</v>
      </c>
      <c r="O493" s="38"/>
    </row>
    <row r="494" spans="2:15">
      <c r="B494" s="1048">
        <f t="shared" ca="1" si="971"/>
        <v>51022</v>
      </c>
      <c r="C494" s="153">
        <f t="shared" ca="1" si="961"/>
        <v>0</v>
      </c>
      <c r="D494" s="153">
        <f t="shared" ca="1" si="962"/>
        <v>0</v>
      </c>
      <c r="E494" s="153">
        <f t="shared" ca="1" si="963"/>
        <v>0</v>
      </c>
      <c r="F494" s="153">
        <f t="shared" ca="1" si="964"/>
        <v>0</v>
      </c>
      <c r="G494" s="153">
        <f t="shared" ca="1" si="965"/>
        <v>0</v>
      </c>
      <c r="H494" s="39">
        <f t="shared" ca="1" si="966"/>
        <v>0</v>
      </c>
      <c r="I494" s="39">
        <f t="shared" ca="1" si="967"/>
        <v>0</v>
      </c>
      <c r="J494" s="39">
        <f t="shared" ca="1" si="968"/>
        <v>0</v>
      </c>
      <c r="K494" s="39">
        <f t="shared" ca="1" si="969"/>
        <v>0</v>
      </c>
      <c r="L494" s="39">
        <f t="shared" ca="1" si="970"/>
        <v>0</v>
      </c>
      <c r="M494" s="39">
        <f t="shared" ca="1" si="972"/>
        <v>0</v>
      </c>
      <c r="O494" s="38"/>
    </row>
    <row r="495" spans="2:15">
      <c r="B495" s="1048">
        <f t="shared" ca="1" si="971"/>
        <v>51052</v>
      </c>
      <c r="C495" s="153">
        <f t="shared" ca="1" si="961"/>
        <v>0</v>
      </c>
      <c r="D495" s="153">
        <f t="shared" ca="1" si="962"/>
        <v>0</v>
      </c>
      <c r="E495" s="153">
        <f t="shared" ca="1" si="963"/>
        <v>0</v>
      </c>
      <c r="F495" s="153">
        <f t="shared" ca="1" si="964"/>
        <v>0</v>
      </c>
      <c r="G495" s="153">
        <f t="shared" ca="1" si="965"/>
        <v>0</v>
      </c>
      <c r="H495" s="39">
        <f t="shared" ca="1" si="966"/>
        <v>0</v>
      </c>
      <c r="I495" s="39">
        <f t="shared" ca="1" si="967"/>
        <v>0</v>
      </c>
      <c r="J495" s="39">
        <f t="shared" ca="1" si="968"/>
        <v>0</v>
      </c>
      <c r="K495" s="39">
        <f t="shared" ca="1" si="969"/>
        <v>0</v>
      </c>
      <c r="L495" s="39">
        <f t="shared" ca="1" si="970"/>
        <v>0</v>
      </c>
      <c r="M495" s="39">
        <f t="shared" ca="1" si="972"/>
        <v>0</v>
      </c>
      <c r="O495" s="38"/>
    </row>
    <row r="496" spans="2:15">
      <c r="B496" s="1048">
        <f t="shared" ca="1" si="971"/>
        <v>51082</v>
      </c>
      <c r="C496" s="153">
        <f t="shared" ca="1" si="961"/>
        <v>0</v>
      </c>
      <c r="D496" s="153">
        <f t="shared" ca="1" si="962"/>
        <v>0</v>
      </c>
      <c r="E496" s="153">
        <f t="shared" ca="1" si="963"/>
        <v>0</v>
      </c>
      <c r="F496" s="153">
        <f t="shared" ca="1" si="964"/>
        <v>0</v>
      </c>
      <c r="G496" s="153">
        <f t="shared" ca="1" si="965"/>
        <v>0</v>
      </c>
      <c r="H496" s="39">
        <f t="shared" ca="1" si="966"/>
        <v>0</v>
      </c>
      <c r="I496" s="39">
        <f t="shared" ca="1" si="967"/>
        <v>0</v>
      </c>
      <c r="J496" s="39">
        <f t="shared" ca="1" si="968"/>
        <v>0</v>
      </c>
      <c r="K496" s="39">
        <f t="shared" ca="1" si="969"/>
        <v>0</v>
      </c>
      <c r="L496" s="39">
        <f t="shared" ca="1" si="970"/>
        <v>0</v>
      </c>
      <c r="M496" s="39">
        <f t="shared" ca="1" si="972"/>
        <v>0</v>
      </c>
      <c r="O496" s="38"/>
    </row>
    <row r="497" spans="2:15">
      <c r="B497" s="1048">
        <f t="shared" ca="1" si="971"/>
        <v>51112</v>
      </c>
      <c r="C497" s="153">
        <f t="shared" ca="1" si="961"/>
        <v>0</v>
      </c>
      <c r="D497" s="153">
        <f t="shared" ca="1" si="962"/>
        <v>0</v>
      </c>
      <c r="E497" s="153">
        <f t="shared" ca="1" si="963"/>
        <v>0</v>
      </c>
      <c r="F497" s="153">
        <f t="shared" ca="1" si="964"/>
        <v>0</v>
      </c>
      <c r="G497" s="153">
        <f t="shared" ca="1" si="965"/>
        <v>0</v>
      </c>
      <c r="H497" s="39">
        <f t="shared" ca="1" si="966"/>
        <v>0</v>
      </c>
      <c r="I497" s="39">
        <f t="shared" ca="1" si="967"/>
        <v>0</v>
      </c>
      <c r="J497" s="39">
        <f t="shared" ca="1" si="968"/>
        <v>0</v>
      </c>
      <c r="K497" s="39">
        <f t="shared" ca="1" si="969"/>
        <v>0</v>
      </c>
      <c r="L497" s="39">
        <f t="shared" ca="1" si="970"/>
        <v>0</v>
      </c>
      <c r="M497" s="39">
        <f t="shared" ca="1" si="972"/>
        <v>0</v>
      </c>
      <c r="O497" s="38"/>
    </row>
    <row r="498" spans="2:15">
      <c r="B498" s="1048">
        <f t="shared" ca="1" si="971"/>
        <v>51142</v>
      </c>
      <c r="C498" s="153">
        <f t="shared" ca="1" si="961"/>
        <v>0</v>
      </c>
      <c r="D498" s="153">
        <f t="shared" ca="1" si="962"/>
        <v>0</v>
      </c>
      <c r="E498" s="153">
        <f t="shared" ca="1" si="963"/>
        <v>0</v>
      </c>
      <c r="F498" s="153">
        <f t="shared" ca="1" si="964"/>
        <v>0</v>
      </c>
      <c r="G498" s="153">
        <f t="shared" ca="1" si="965"/>
        <v>0</v>
      </c>
      <c r="H498" s="39">
        <f t="shared" ca="1" si="966"/>
        <v>0</v>
      </c>
      <c r="I498" s="39">
        <f t="shared" ca="1" si="967"/>
        <v>0</v>
      </c>
      <c r="J498" s="39">
        <f t="shared" ca="1" si="968"/>
        <v>0</v>
      </c>
      <c r="K498" s="39">
        <f t="shared" ca="1" si="969"/>
        <v>0</v>
      </c>
      <c r="L498" s="39">
        <f t="shared" ca="1" si="970"/>
        <v>0</v>
      </c>
      <c r="M498" s="39">
        <f t="shared" ca="1" si="972"/>
        <v>0</v>
      </c>
      <c r="O498" s="38"/>
    </row>
    <row r="499" spans="2:15">
      <c r="B499" s="1048">
        <f t="shared" ca="1" si="971"/>
        <v>51172</v>
      </c>
      <c r="C499" s="153">
        <f t="shared" ca="1" si="961"/>
        <v>0</v>
      </c>
      <c r="D499" s="153">
        <f t="shared" ca="1" si="962"/>
        <v>0</v>
      </c>
      <c r="E499" s="153">
        <f t="shared" ca="1" si="963"/>
        <v>0</v>
      </c>
      <c r="F499" s="153">
        <f t="shared" ca="1" si="964"/>
        <v>0</v>
      </c>
      <c r="G499" s="153">
        <f t="shared" ca="1" si="965"/>
        <v>0</v>
      </c>
      <c r="H499" s="39">
        <f t="shared" ca="1" si="966"/>
        <v>0</v>
      </c>
      <c r="I499" s="39">
        <f t="shared" ca="1" si="967"/>
        <v>0</v>
      </c>
      <c r="J499" s="39">
        <f t="shared" ca="1" si="968"/>
        <v>0</v>
      </c>
      <c r="K499" s="39">
        <f t="shared" ca="1" si="969"/>
        <v>0</v>
      </c>
      <c r="L499" s="39">
        <f t="shared" ca="1" si="970"/>
        <v>0</v>
      </c>
      <c r="M499" s="39">
        <f t="shared" ca="1" si="972"/>
        <v>0</v>
      </c>
      <c r="O499" s="38"/>
    </row>
    <row r="500" spans="2:15">
      <c r="B500" s="1048">
        <f t="shared" ca="1" si="971"/>
        <v>51202</v>
      </c>
      <c r="C500" s="153">
        <f t="shared" ca="1" si="961"/>
        <v>0</v>
      </c>
      <c r="D500" s="153">
        <f t="shared" ca="1" si="962"/>
        <v>0</v>
      </c>
      <c r="E500" s="153">
        <f t="shared" ca="1" si="963"/>
        <v>0</v>
      </c>
      <c r="F500" s="153">
        <f t="shared" ca="1" si="964"/>
        <v>0</v>
      </c>
      <c r="G500" s="153">
        <f t="shared" ca="1" si="965"/>
        <v>0</v>
      </c>
      <c r="H500" s="39">
        <f t="shared" ca="1" si="966"/>
        <v>0</v>
      </c>
      <c r="I500" s="39">
        <f t="shared" ca="1" si="967"/>
        <v>0</v>
      </c>
      <c r="J500" s="39">
        <f t="shared" ca="1" si="968"/>
        <v>0</v>
      </c>
      <c r="K500" s="39">
        <f t="shared" ca="1" si="969"/>
        <v>0</v>
      </c>
      <c r="L500" s="39">
        <f t="shared" ca="1" si="970"/>
        <v>0</v>
      </c>
      <c r="M500" s="39">
        <f t="shared" ca="1" si="972"/>
        <v>0</v>
      </c>
      <c r="O500" s="38"/>
    </row>
    <row r="501" spans="2:15">
      <c r="B501" s="1048">
        <f t="shared" ca="1" si="971"/>
        <v>51232</v>
      </c>
      <c r="C501" s="153">
        <f t="shared" ca="1" si="961"/>
        <v>0</v>
      </c>
      <c r="D501" s="153">
        <f t="shared" ca="1" si="962"/>
        <v>0</v>
      </c>
      <c r="E501" s="153">
        <f t="shared" ca="1" si="963"/>
        <v>0</v>
      </c>
      <c r="F501" s="153">
        <f t="shared" ca="1" si="964"/>
        <v>0</v>
      </c>
      <c r="G501" s="153">
        <f t="shared" ca="1" si="965"/>
        <v>0</v>
      </c>
      <c r="H501" s="39">
        <f t="shared" ca="1" si="966"/>
        <v>0</v>
      </c>
      <c r="I501" s="39">
        <f t="shared" ca="1" si="967"/>
        <v>0</v>
      </c>
      <c r="J501" s="39">
        <f t="shared" ca="1" si="968"/>
        <v>0</v>
      </c>
      <c r="K501" s="39">
        <f t="shared" ca="1" si="969"/>
        <v>0</v>
      </c>
      <c r="L501" s="39">
        <f t="shared" ca="1" si="970"/>
        <v>0</v>
      </c>
      <c r="M501" s="39">
        <f t="shared" ca="1" si="972"/>
        <v>0</v>
      </c>
      <c r="O501" s="38"/>
    </row>
    <row r="502" spans="2:15">
      <c r="B502" s="1048">
        <f t="shared" ca="1" si="971"/>
        <v>51262</v>
      </c>
      <c r="C502" s="153">
        <f t="shared" ca="1" si="961"/>
        <v>0</v>
      </c>
      <c r="D502" s="153">
        <f t="shared" ca="1" si="962"/>
        <v>0</v>
      </c>
      <c r="E502" s="153">
        <f t="shared" ca="1" si="963"/>
        <v>0</v>
      </c>
      <c r="F502" s="153">
        <f t="shared" ca="1" si="964"/>
        <v>0</v>
      </c>
      <c r="G502" s="153">
        <f t="shared" ca="1" si="965"/>
        <v>0</v>
      </c>
      <c r="H502" s="39">
        <f t="shared" ca="1" si="966"/>
        <v>0</v>
      </c>
      <c r="I502" s="39">
        <f t="shared" ca="1" si="967"/>
        <v>0</v>
      </c>
      <c r="J502" s="39">
        <f t="shared" ca="1" si="968"/>
        <v>0</v>
      </c>
      <c r="K502" s="39">
        <f t="shared" ca="1" si="969"/>
        <v>0</v>
      </c>
      <c r="L502" s="39">
        <f t="shared" ca="1" si="970"/>
        <v>0</v>
      </c>
      <c r="M502" s="39">
        <f t="shared" ca="1" si="972"/>
        <v>0</v>
      </c>
      <c r="O502" s="38"/>
    </row>
    <row r="503" spans="2:15">
      <c r="B503" s="1048">
        <f t="shared" ca="1" si="971"/>
        <v>51292</v>
      </c>
      <c r="C503" s="153">
        <f t="shared" ca="1" si="961"/>
        <v>0</v>
      </c>
      <c r="D503" s="153">
        <f t="shared" ca="1" si="962"/>
        <v>0</v>
      </c>
      <c r="E503" s="153">
        <f t="shared" ca="1" si="963"/>
        <v>0</v>
      </c>
      <c r="F503" s="153">
        <f t="shared" ca="1" si="964"/>
        <v>0</v>
      </c>
      <c r="G503" s="153">
        <f t="shared" ca="1" si="965"/>
        <v>0</v>
      </c>
      <c r="H503" s="39">
        <f t="shared" ca="1" si="966"/>
        <v>0</v>
      </c>
      <c r="I503" s="39">
        <f t="shared" ca="1" si="967"/>
        <v>0</v>
      </c>
      <c r="J503" s="39">
        <f t="shared" ca="1" si="968"/>
        <v>0</v>
      </c>
      <c r="K503" s="39">
        <f t="shared" ca="1" si="969"/>
        <v>0</v>
      </c>
      <c r="L503" s="39">
        <f t="shared" ca="1" si="970"/>
        <v>0</v>
      </c>
      <c r="M503" s="39">
        <f t="shared" ca="1" si="972"/>
        <v>0</v>
      </c>
      <c r="O503" s="38"/>
    </row>
    <row r="504" spans="2:15">
      <c r="B504" s="1048">
        <f t="shared" ca="1" si="971"/>
        <v>51322</v>
      </c>
      <c r="C504" s="153">
        <f t="shared" ca="1" si="961"/>
        <v>0</v>
      </c>
      <c r="D504" s="153">
        <f t="shared" ca="1" si="962"/>
        <v>0</v>
      </c>
      <c r="E504" s="153">
        <f t="shared" ca="1" si="963"/>
        <v>0</v>
      </c>
      <c r="F504" s="153">
        <f t="shared" ca="1" si="964"/>
        <v>0</v>
      </c>
      <c r="G504" s="153">
        <f t="shared" ca="1" si="965"/>
        <v>0</v>
      </c>
      <c r="H504" s="39">
        <f t="shared" ca="1" si="966"/>
        <v>0</v>
      </c>
      <c r="I504" s="39">
        <f t="shared" ca="1" si="967"/>
        <v>0</v>
      </c>
      <c r="J504" s="39">
        <f t="shared" ca="1" si="968"/>
        <v>0</v>
      </c>
      <c r="K504" s="39">
        <f t="shared" ca="1" si="969"/>
        <v>0</v>
      </c>
      <c r="L504" s="39">
        <f t="shared" ca="1" si="970"/>
        <v>0</v>
      </c>
      <c r="M504" s="39">
        <f t="shared" ca="1" si="972"/>
        <v>0</v>
      </c>
      <c r="O504" s="38"/>
    </row>
    <row r="505" spans="2:15">
      <c r="B505" s="1048">
        <f t="shared" ca="1" si="971"/>
        <v>51352</v>
      </c>
      <c r="C505" s="153">
        <f t="shared" ca="1" si="961"/>
        <v>0</v>
      </c>
      <c r="D505" s="153">
        <f t="shared" ca="1" si="962"/>
        <v>0</v>
      </c>
      <c r="E505" s="153">
        <f t="shared" ca="1" si="963"/>
        <v>0</v>
      </c>
      <c r="F505" s="153">
        <f t="shared" ca="1" si="964"/>
        <v>0</v>
      </c>
      <c r="G505" s="153">
        <f t="shared" ca="1" si="965"/>
        <v>0</v>
      </c>
      <c r="H505" s="39">
        <f t="shared" ca="1" si="966"/>
        <v>0</v>
      </c>
      <c r="I505" s="39">
        <f t="shared" ca="1" si="967"/>
        <v>0</v>
      </c>
      <c r="J505" s="39">
        <f t="shared" ca="1" si="968"/>
        <v>0</v>
      </c>
      <c r="K505" s="39">
        <f t="shared" ca="1" si="969"/>
        <v>0</v>
      </c>
      <c r="L505" s="39">
        <f t="shared" ca="1" si="970"/>
        <v>0</v>
      </c>
      <c r="M505" s="39">
        <f t="shared" ca="1" si="972"/>
        <v>0</v>
      </c>
      <c r="O505" s="38"/>
    </row>
    <row r="506" spans="2:15">
      <c r="B506" s="1048">
        <f t="shared" ca="1" si="971"/>
        <v>51382</v>
      </c>
      <c r="C506" s="153">
        <f t="shared" ca="1" si="961"/>
        <v>0</v>
      </c>
      <c r="D506" s="153">
        <f t="shared" ca="1" si="962"/>
        <v>0</v>
      </c>
      <c r="E506" s="153">
        <f t="shared" ca="1" si="963"/>
        <v>0</v>
      </c>
      <c r="F506" s="153">
        <f t="shared" ca="1" si="964"/>
        <v>0</v>
      </c>
      <c r="G506" s="153">
        <f t="shared" ca="1" si="965"/>
        <v>0</v>
      </c>
      <c r="H506" s="39">
        <f t="shared" ca="1" si="966"/>
        <v>0</v>
      </c>
      <c r="I506" s="39">
        <f t="shared" ca="1" si="967"/>
        <v>0</v>
      </c>
      <c r="J506" s="39">
        <f t="shared" ca="1" si="968"/>
        <v>0</v>
      </c>
      <c r="K506" s="39">
        <f t="shared" ca="1" si="969"/>
        <v>0</v>
      </c>
      <c r="L506" s="39">
        <f t="shared" ca="1" si="970"/>
        <v>0</v>
      </c>
      <c r="M506" s="39">
        <f t="shared" ca="1" si="972"/>
        <v>0</v>
      </c>
      <c r="O506" s="38"/>
    </row>
    <row r="507" spans="2:15">
      <c r="B507" s="1048">
        <f t="shared" ca="1" si="971"/>
        <v>51412</v>
      </c>
      <c r="C507" s="153">
        <f t="shared" ca="1" si="961"/>
        <v>0</v>
      </c>
      <c r="D507" s="153">
        <f t="shared" ca="1" si="962"/>
        <v>0</v>
      </c>
      <c r="E507" s="153">
        <f t="shared" ca="1" si="963"/>
        <v>0</v>
      </c>
      <c r="F507" s="153">
        <f t="shared" ca="1" si="964"/>
        <v>0</v>
      </c>
      <c r="G507" s="153">
        <f t="shared" ca="1" si="965"/>
        <v>0</v>
      </c>
      <c r="H507" s="39">
        <f t="shared" ca="1" si="966"/>
        <v>0</v>
      </c>
      <c r="I507" s="39">
        <f t="shared" ca="1" si="967"/>
        <v>0</v>
      </c>
      <c r="J507" s="39">
        <f t="shared" ca="1" si="968"/>
        <v>0</v>
      </c>
      <c r="K507" s="39">
        <f t="shared" ca="1" si="969"/>
        <v>0</v>
      </c>
      <c r="L507" s="39">
        <f t="shared" ca="1" si="970"/>
        <v>0</v>
      </c>
      <c r="M507" s="39">
        <f t="shared" ca="1" si="972"/>
        <v>0</v>
      </c>
      <c r="O507" s="38"/>
    </row>
    <row r="508" spans="2:15">
      <c r="B508" s="1048">
        <f t="shared" ca="1" si="971"/>
        <v>51442</v>
      </c>
      <c r="C508" s="153">
        <f t="shared" ca="1" si="961"/>
        <v>0</v>
      </c>
      <c r="D508" s="153">
        <f t="shared" ca="1" si="962"/>
        <v>0</v>
      </c>
      <c r="E508" s="153">
        <f t="shared" ca="1" si="963"/>
        <v>0</v>
      </c>
      <c r="F508" s="153">
        <f t="shared" ca="1" si="964"/>
        <v>0</v>
      </c>
      <c r="G508" s="153">
        <f t="shared" ca="1" si="965"/>
        <v>0</v>
      </c>
      <c r="H508" s="39">
        <f t="shared" ca="1" si="966"/>
        <v>0</v>
      </c>
      <c r="I508" s="39">
        <f t="shared" ca="1" si="967"/>
        <v>0</v>
      </c>
      <c r="J508" s="39">
        <f t="shared" ca="1" si="968"/>
        <v>0</v>
      </c>
      <c r="K508" s="39">
        <f t="shared" ca="1" si="969"/>
        <v>0</v>
      </c>
      <c r="L508" s="39">
        <f t="shared" ca="1" si="970"/>
        <v>0</v>
      </c>
      <c r="M508" s="39">
        <f t="shared" ca="1" si="972"/>
        <v>0</v>
      </c>
      <c r="O508" s="38"/>
    </row>
    <row r="509" spans="2:15">
      <c r="B509" s="1048">
        <f t="shared" ca="1" si="971"/>
        <v>51472</v>
      </c>
      <c r="C509" s="153">
        <f t="shared" ca="1" si="961"/>
        <v>0</v>
      </c>
      <c r="D509" s="153">
        <f t="shared" ca="1" si="962"/>
        <v>0</v>
      </c>
      <c r="E509" s="153">
        <f t="shared" ca="1" si="963"/>
        <v>0</v>
      </c>
      <c r="F509" s="153">
        <f t="shared" ca="1" si="964"/>
        <v>0</v>
      </c>
      <c r="G509" s="153">
        <f t="shared" ca="1" si="965"/>
        <v>0</v>
      </c>
      <c r="H509" s="39">
        <f t="shared" ca="1" si="966"/>
        <v>0</v>
      </c>
      <c r="I509" s="39">
        <f t="shared" ca="1" si="967"/>
        <v>0</v>
      </c>
      <c r="J509" s="39">
        <f t="shared" ca="1" si="968"/>
        <v>0</v>
      </c>
      <c r="K509" s="39">
        <f t="shared" ca="1" si="969"/>
        <v>0</v>
      </c>
      <c r="L509" s="39">
        <f t="shared" ca="1" si="970"/>
        <v>0</v>
      </c>
      <c r="M509" s="39">
        <f t="shared" ca="1" si="972"/>
        <v>0</v>
      </c>
      <c r="O509" s="38"/>
    </row>
    <row r="510" spans="2:15">
      <c r="B510" s="1048">
        <f t="shared" ca="1" si="971"/>
        <v>51502</v>
      </c>
      <c r="C510" s="153">
        <f t="shared" ca="1" si="961"/>
        <v>0</v>
      </c>
      <c r="D510" s="153">
        <f t="shared" ca="1" si="962"/>
        <v>0</v>
      </c>
      <c r="E510" s="153">
        <f t="shared" ca="1" si="963"/>
        <v>0</v>
      </c>
      <c r="F510" s="153">
        <f t="shared" ca="1" si="964"/>
        <v>0</v>
      </c>
      <c r="G510" s="153">
        <f t="shared" ca="1" si="965"/>
        <v>0</v>
      </c>
      <c r="H510" s="39">
        <f t="shared" ca="1" si="966"/>
        <v>0</v>
      </c>
      <c r="I510" s="39">
        <f t="shared" ca="1" si="967"/>
        <v>0</v>
      </c>
      <c r="J510" s="39">
        <f t="shared" ca="1" si="968"/>
        <v>0</v>
      </c>
      <c r="K510" s="39">
        <f t="shared" ca="1" si="969"/>
        <v>0</v>
      </c>
      <c r="L510" s="39">
        <f t="shared" ca="1" si="970"/>
        <v>0</v>
      </c>
      <c r="M510" s="39">
        <f t="shared" ca="1" si="972"/>
        <v>0</v>
      </c>
      <c r="O510" s="38"/>
    </row>
    <row r="511" spans="2:15">
      <c r="B511" s="1048">
        <f t="shared" ca="1" si="971"/>
        <v>51532</v>
      </c>
      <c r="C511" s="153">
        <f t="shared" ca="1" si="961"/>
        <v>0</v>
      </c>
      <c r="D511" s="153">
        <f t="shared" ca="1" si="962"/>
        <v>0</v>
      </c>
      <c r="E511" s="153">
        <f t="shared" ca="1" si="963"/>
        <v>0</v>
      </c>
      <c r="F511" s="153">
        <f t="shared" ca="1" si="964"/>
        <v>0</v>
      </c>
      <c r="G511" s="153">
        <f t="shared" ca="1" si="965"/>
        <v>0</v>
      </c>
      <c r="H511" s="39">
        <f t="shared" ca="1" si="966"/>
        <v>0</v>
      </c>
      <c r="I511" s="39">
        <f t="shared" ca="1" si="967"/>
        <v>0</v>
      </c>
      <c r="J511" s="39">
        <f t="shared" ca="1" si="968"/>
        <v>0</v>
      </c>
      <c r="K511" s="39">
        <f t="shared" ca="1" si="969"/>
        <v>0</v>
      </c>
      <c r="L511" s="39">
        <f t="shared" ca="1" si="970"/>
        <v>0</v>
      </c>
      <c r="M511" s="39">
        <f t="shared" ca="1" si="972"/>
        <v>0</v>
      </c>
      <c r="O511" s="38"/>
    </row>
    <row r="512" spans="2:15">
      <c r="B512" s="1048">
        <f t="shared" ca="1" si="971"/>
        <v>51562</v>
      </c>
      <c r="C512" s="153">
        <f t="shared" ca="1" si="961"/>
        <v>0</v>
      </c>
      <c r="D512" s="153">
        <f t="shared" ca="1" si="962"/>
        <v>0</v>
      </c>
      <c r="E512" s="153">
        <f t="shared" ca="1" si="963"/>
        <v>0</v>
      </c>
      <c r="F512" s="153">
        <f t="shared" ca="1" si="964"/>
        <v>0</v>
      </c>
      <c r="G512" s="153">
        <f t="shared" ca="1" si="965"/>
        <v>0</v>
      </c>
      <c r="H512" s="39">
        <f t="shared" ca="1" si="966"/>
        <v>0</v>
      </c>
      <c r="I512" s="39">
        <f t="shared" ca="1" si="967"/>
        <v>0</v>
      </c>
      <c r="J512" s="39">
        <f t="shared" ca="1" si="968"/>
        <v>0</v>
      </c>
      <c r="K512" s="39">
        <f t="shared" ca="1" si="969"/>
        <v>0</v>
      </c>
      <c r="L512" s="39">
        <f t="shared" ca="1" si="970"/>
        <v>0</v>
      </c>
      <c r="M512" s="39">
        <f t="shared" ca="1" si="972"/>
        <v>0</v>
      </c>
      <c r="O512" s="38"/>
    </row>
    <row r="513" spans="2:15">
      <c r="B513" s="1048">
        <f t="shared" ca="1" si="971"/>
        <v>51592</v>
      </c>
      <c r="C513" s="153">
        <f t="shared" ca="1" si="961"/>
        <v>0</v>
      </c>
      <c r="D513" s="153">
        <f t="shared" ca="1" si="962"/>
        <v>0</v>
      </c>
      <c r="E513" s="153">
        <f t="shared" ca="1" si="963"/>
        <v>0</v>
      </c>
      <c r="F513" s="153">
        <f t="shared" ca="1" si="964"/>
        <v>0</v>
      </c>
      <c r="G513" s="153">
        <f t="shared" ca="1" si="965"/>
        <v>0</v>
      </c>
      <c r="H513" s="39">
        <f t="shared" ca="1" si="966"/>
        <v>0</v>
      </c>
      <c r="I513" s="39">
        <f t="shared" ca="1" si="967"/>
        <v>0</v>
      </c>
      <c r="J513" s="39">
        <f t="shared" ca="1" si="968"/>
        <v>0</v>
      </c>
      <c r="K513" s="39">
        <f t="shared" ca="1" si="969"/>
        <v>0</v>
      </c>
      <c r="L513" s="39">
        <f t="shared" ca="1" si="970"/>
        <v>0</v>
      </c>
      <c r="M513" s="39">
        <f t="shared" ca="1" si="972"/>
        <v>0</v>
      </c>
      <c r="O513" s="38"/>
    </row>
    <row r="514" spans="2:15">
      <c r="B514" s="1048">
        <f t="shared" ca="1" si="971"/>
        <v>51622</v>
      </c>
      <c r="C514" s="153">
        <f t="shared" ca="1" si="961"/>
        <v>0</v>
      </c>
      <c r="D514" s="153">
        <f t="shared" ca="1" si="962"/>
        <v>0</v>
      </c>
      <c r="E514" s="153">
        <f t="shared" ca="1" si="963"/>
        <v>0</v>
      </c>
      <c r="F514" s="153">
        <f t="shared" ca="1" si="964"/>
        <v>0</v>
      </c>
      <c r="G514" s="153">
        <f t="shared" ca="1" si="965"/>
        <v>0</v>
      </c>
      <c r="H514" s="39">
        <f t="shared" ca="1" si="966"/>
        <v>0</v>
      </c>
      <c r="I514" s="39">
        <f t="shared" ca="1" si="967"/>
        <v>0</v>
      </c>
      <c r="J514" s="39">
        <f t="shared" ca="1" si="968"/>
        <v>0</v>
      </c>
      <c r="K514" s="39">
        <f t="shared" ca="1" si="969"/>
        <v>0</v>
      </c>
      <c r="L514" s="39">
        <f t="shared" ca="1" si="970"/>
        <v>0</v>
      </c>
      <c r="M514" s="39">
        <f t="shared" ca="1" si="972"/>
        <v>0</v>
      </c>
      <c r="O514" s="38"/>
    </row>
    <row r="515" spans="2:15">
      <c r="B515" s="1048">
        <f t="shared" ca="1" si="971"/>
        <v>51652</v>
      </c>
      <c r="C515" s="153">
        <f t="shared" ca="1" si="961"/>
        <v>0</v>
      </c>
      <c r="D515" s="153">
        <f t="shared" ca="1" si="962"/>
        <v>0</v>
      </c>
      <c r="E515" s="153">
        <f t="shared" ca="1" si="963"/>
        <v>0</v>
      </c>
      <c r="F515" s="153">
        <f t="shared" ca="1" si="964"/>
        <v>0</v>
      </c>
      <c r="G515" s="153">
        <f t="shared" ca="1" si="965"/>
        <v>0</v>
      </c>
      <c r="H515" s="39">
        <f t="shared" ca="1" si="966"/>
        <v>0</v>
      </c>
      <c r="I515" s="39">
        <f t="shared" ca="1" si="967"/>
        <v>0</v>
      </c>
      <c r="J515" s="39">
        <f t="shared" ca="1" si="968"/>
        <v>0</v>
      </c>
      <c r="K515" s="39">
        <f t="shared" ca="1" si="969"/>
        <v>0</v>
      </c>
      <c r="L515" s="39">
        <f t="shared" ca="1" si="970"/>
        <v>0</v>
      </c>
      <c r="M515" s="39">
        <f t="shared" ca="1" si="972"/>
        <v>0</v>
      </c>
      <c r="O515" s="38"/>
    </row>
    <row r="516" spans="2:15">
      <c r="B516" s="1048">
        <f t="shared" ca="1" si="971"/>
        <v>51682</v>
      </c>
      <c r="C516" s="153">
        <f t="shared" ca="1" si="961"/>
        <v>0</v>
      </c>
      <c r="D516" s="153">
        <f t="shared" ca="1" si="962"/>
        <v>0</v>
      </c>
      <c r="E516" s="153">
        <f t="shared" ca="1" si="963"/>
        <v>0</v>
      </c>
      <c r="F516" s="153">
        <f t="shared" ca="1" si="964"/>
        <v>0</v>
      </c>
      <c r="G516" s="153">
        <f t="shared" ca="1" si="965"/>
        <v>0</v>
      </c>
      <c r="H516" s="39">
        <f t="shared" ca="1" si="966"/>
        <v>0</v>
      </c>
      <c r="I516" s="39">
        <f t="shared" ca="1" si="967"/>
        <v>0</v>
      </c>
      <c r="J516" s="39">
        <f t="shared" ca="1" si="968"/>
        <v>0</v>
      </c>
      <c r="K516" s="39">
        <f t="shared" ca="1" si="969"/>
        <v>0</v>
      </c>
      <c r="L516" s="39">
        <f t="shared" ca="1" si="970"/>
        <v>0</v>
      </c>
      <c r="M516" s="39">
        <f t="shared" ca="1" si="972"/>
        <v>0</v>
      </c>
      <c r="O516" s="38"/>
    </row>
    <row r="517" spans="2:15">
      <c r="B517" s="1048">
        <f t="shared" ca="1" si="971"/>
        <v>51712</v>
      </c>
      <c r="C517" s="153">
        <f t="shared" ca="1" si="961"/>
        <v>0</v>
      </c>
      <c r="D517" s="153">
        <f t="shared" ca="1" si="962"/>
        <v>0</v>
      </c>
      <c r="E517" s="153">
        <f t="shared" ca="1" si="963"/>
        <v>0</v>
      </c>
      <c r="F517" s="153">
        <f t="shared" ca="1" si="964"/>
        <v>0</v>
      </c>
      <c r="G517" s="153">
        <f t="shared" ca="1" si="965"/>
        <v>0</v>
      </c>
      <c r="H517" s="39">
        <f t="shared" ca="1" si="966"/>
        <v>0</v>
      </c>
      <c r="I517" s="39">
        <f t="shared" ca="1" si="967"/>
        <v>0</v>
      </c>
      <c r="J517" s="39">
        <f t="shared" ca="1" si="968"/>
        <v>0</v>
      </c>
      <c r="K517" s="39">
        <f t="shared" ca="1" si="969"/>
        <v>0</v>
      </c>
      <c r="L517" s="39">
        <f t="shared" ca="1" si="970"/>
        <v>0</v>
      </c>
      <c r="M517" s="39">
        <f t="shared" ca="1" si="972"/>
        <v>0</v>
      </c>
      <c r="O517" s="38"/>
    </row>
    <row r="518" spans="2:15">
      <c r="B518" s="1048">
        <f t="shared" ca="1" si="971"/>
        <v>51742</v>
      </c>
      <c r="C518" s="153">
        <f t="shared" ca="1" si="961"/>
        <v>0</v>
      </c>
      <c r="D518" s="153">
        <f t="shared" ca="1" si="962"/>
        <v>0</v>
      </c>
      <c r="E518" s="153">
        <f t="shared" ca="1" si="963"/>
        <v>0</v>
      </c>
      <c r="F518" s="153">
        <f t="shared" ca="1" si="964"/>
        <v>0</v>
      </c>
      <c r="G518" s="153">
        <f t="shared" ca="1" si="965"/>
        <v>0</v>
      </c>
      <c r="H518" s="39">
        <f t="shared" ca="1" si="966"/>
        <v>0</v>
      </c>
      <c r="I518" s="39">
        <f t="shared" ca="1" si="967"/>
        <v>0</v>
      </c>
      <c r="J518" s="39">
        <f t="shared" ca="1" si="968"/>
        <v>0</v>
      </c>
      <c r="K518" s="39">
        <f t="shared" ca="1" si="969"/>
        <v>0</v>
      </c>
      <c r="L518" s="39">
        <f t="shared" ca="1" si="970"/>
        <v>0</v>
      </c>
      <c r="M518" s="39">
        <f t="shared" ca="1" si="972"/>
        <v>0</v>
      </c>
      <c r="O518" s="38"/>
    </row>
    <row r="519" spans="2:15">
      <c r="B519" s="1048">
        <f t="shared" ca="1" si="971"/>
        <v>51772</v>
      </c>
      <c r="C519" s="153">
        <f t="shared" ca="1" si="961"/>
        <v>0</v>
      </c>
      <c r="D519" s="153">
        <f t="shared" ca="1" si="962"/>
        <v>0</v>
      </c>
      <c r="E519" s="153">
        <f t="shared" ca="1" si="963"/>
        <v>0</v>
      </c>
      <c r="F519" s="153">
        <f t="shared" ca="1" si="964"/>
        <v>0</v>
      </c>
      <c r="G519" s="153">
        <f t="shared" ca="1" si="965"/>
        <v>0</v>
      </c>
      <c r="H519" s="39">
        <f t="shared" ca="1" si="966"/>
        <v>0</v>
      </c>
      <c r="I519" s="39">
        <f t="shared" ca="1" si="967"/>
        <v>0</v>
      </c>
      <c r="J519" s="39">
        <f t="shared" ca="1" si="968"/>
        <v>0</v>
      </c>
      <c r="K519" s="39">
        <f t="shared" ca="1" si="969"/>
        <v>0</v>
      </c>
      <c r="L519" s="39">
        <f t="shared" ca="1" si="970"/>
        <v>0</v>
      </c>
      <c r="M519" s="39">
        <f t="shared" ca="1" si="972"/>
        <v>0</v>
      </c>
      <c r="O519" s="38"/>
    </row>
    <row r="520" spans="2:15">
      <c r="B520" s="1048">
        <f t="shared" ca="1" si="971"/>
        <v>51802</v>
      </c>
      <c r="C520" s="153">
        <f t="shared" ca="1" si="961"/>
        <v>0</v>
      </c>
      <c r="D520" s="153">
        <f t="shared" ca="1" si="962"/>
        <v>0</v>
      </c>
      <c r="E520" s="153">
        <f t="shared" ca="1" si="963"/>
        <v>0</v>
      </c>
      <c r="F520" s="153">
        <f t="shared" ca="1" si="964"/>
        <v>0</v>
      </c>
      <c r="G520" s="153">
        <f t="shared" ca="1" si="965"/>
        <v>0</v>
      </c>
      <c r="H520" s="39">
        <f t="shared" ca="1" si="966"/>
        <v>0</v>
      </c>
      <c r="I520" s="39">
        <f t="shared" ca="1" si="967"/>
        <v>0</v>
      </c>
      <c r="J520" s="39">
        <f t="shared" ca="1" si="968"/>
        <v>0</v>
      </c>
      <c r="K520" s="39">
        <f t="shared" ca="1" si="969"/>
        <v>0</v>
      </c>
      <c r="L520" s="39">
        <f t="shared" ca="1" si="970"/>
        <v>0</v>
      </c>
      <c r="M520" s="39">
        <f t="shared" ca="1" si="972"/>
        <v>0</v>
      </c>
      <c r="O520" s="38"/>
    </row>
    <row r="521" spans="2:15">
      <c r="B521" s="1048">
        <f t="shared" ca="1" si="971"/>
        <v>51832</v>
      </c>
      <c r="C521" s="153">
        <f t="shared" ca="1" si="961"/>
        <v>0</v>
      </c>
      <c r="D521" s="153">
        <f t="shared" ca="1" si="962"/>
        <v>0</v>
      </c>
      <c r="E521" s="153">
        <f t="shared" ca="1" si="963"/>
        <v>0</v>
      </c>
      <c r="F521" s="153">
        <f t="shared" ca="1" si="964"/>
        <v>0</v>
      </c>
      <c r="G521" s="153">
        <f t="shared" ca="1" si="965"/>
        <v>0</v>
      </c>
      <c r="H521" s="39">
        <f t="shared" ca="1" si="966"/>
        <v>0</v>
      </c>
      <c r="I521" s="39">
        <f t="shared" ca="1" si="967"/>
        <v>0</v>
      </c>
      <c r="J521" s="39">
        <f t="shared" ca="1" si="968"/>
        <v>0</v>
      </c>
      <c r="K521" s="39">
        <f t="shared" ca="1" si="969"/>
        <v>0</v>
      </c>
      <c r="L521" s="39">
        <f t="shared" ca="1" si="970"/>
        <v>0</v>
      </c>
      <c r="M521" s="39">
        <f t="shared" ca="1" si="972"/>
        <v>0</v>
      </c>
      <c r="O521" s="38"/>
    </row>
    <row r="522" spans="2:15">
      <c r="B522" s="1048">
        <f t="shared" ca="1" si="971"/>
        <v>51862</v>
      </c>
      <c r="C522" s="153">
        <f t="shared" ca="1" si="961"/>
        <v>0</v>
      </c>
      <c r="D522" s="153">
        <f t="shared" ca="1" si="962"/>
        <v>0</v>
      </c>
      <c r="E522" s="153">
        <f t="shared" ca="1" si="963"/>
        <v>0</v>
      </c>
      <c r="F522" s="153">
        <f t="shared" ca="1" si="964"/>
        <v>0</v>
      </c>
      <c r="G522" s="153">
        <f t="shared" ca="1" si="965"/>
        <v>0</v>
      </c>
      <c r="H522" s="39">
        <f t="shared" ca="1" si="966"/>
        <v>0</v>
      </c>
      <c r="I522" s="39">
        <f t="shared" ca="1" si="967"/>
        <v>0</v>
      </c>
      <c r="J522" s="39">
        <f t="shared" ca="1" si="968"/>
        <v>0</v>
      </c>
      <c r="K522" s="39">
        <f t="shared" ca="1" si="969"/>
        <v>0</v>
      </c>
      <c r="L522" s="39">
        <f t="shared" ca="1" si="970"/>
        <v>0</v>
      </c>
      <c r="M522" s="39">
        <f t="shared" ca="1" si="972"/>
        <v>0</v>
      </c>
      <c r="O522" s="38"/>
    </row>
    <row r="523" spans="2:15">
      <c r="B523" s="1048">
        <f t="shared" ca="1" si="971"/>
        <v>51892</v>
      </c>
      <c r="C523" s="153">
        <f t="shared" ca="1" si="961"/>
        <v>0</v>
      </c>
      <c r="D523" s="153">
        <f t="shared" ca="1" si="962"/>
        <v>0</v>
      </c>
      <c r="E523" s="153">
        <f t="shared" ca="1" si="963"/>
        <v>0</v>
      </c>
      <c r="F523" s="153">
        <f t="shared" ca="1" si="964"/>
        <v>0</v>
      </c>
      <c r="G523" s="153">
        <f t="shared" ca="1" si="965"/>
        <v>0</v>
      </c>
      <c r="H523" s="39">
        <f t="shared" ca="1" si="966"/>
        <v>0</v>
      </c>
      <c r="I523" s="39">
        <f t="shared" ca="1" si="967"/>
        <v>0</v>
      </c>
      <c r="J523" s="39">
        <f t="shared" ca="1" si="968"/>
        <v>0</v>
      </c>
      <c r="K523" s="39">
        <f t="shared" ca="1" si="969"/>
        <v>0</v>
      </c>
      <c r="L523" s="39">
        <f t="shared" ca="1" si="970"/>
        <v>0</v>
      </c>
      <c r="M523" s="39">
        <f t="shared" ca="1" si="972"/>
        <v>0</v>
      </c>
      <c r="O523" s="38"/>
    </row>
    <row r="524" spans="2:15">
      <c r="B524" s="1048">
        <f t="shared" ca="1" si="971"/>
        <v>51922</v>
      </c>
      <c r="C524" s="153">
        <f t="shared" ca="1" si="961"/>
        <v>0</v>
      </c>
      <c r="D524" s="153">
        <f t="shared" ca="1" si="962"/>
        <v>0</v>
      </c>
      <c r="E524" s="153">
        <f t="shared" ca="1" si="963"/>
        <v>0</v>
      </c>
      <c r="F524" s="153">
        <f t="shared" ca="1" si="964"/>
        <v>0</v>
      </c>
      <c r="G524" s="153">
        <f t="shared" ca="1" si="965"/>
        <v>0</v>
      </c>
      <c r="H524" s="39">
        <f t="shared" ca="1" si="966"/>
        <v>0</v>
      </c>
      <c r="I524" s="39">
        <f t="shared" ca="1" si="967"/>
        <v>0</v>
      </c>
      <c r="J524" s="39">
        <f t="shared" ca="1" si="968"/>
        <v>0</v>
      </c>
      <c r="K524" s="39">
        <f t="shared" ca="1" si="969"/>
        <v>0</v>
      </c>
      <c r="L524" s="39">
        <f t="shared" ca="1" si="970"/>
        <v>0</v>
      </c>
      <c r="M524" s="39">
        <f t="shared" ca="1" si="972"/>
        <v>0</v>
      </c>
      <c r="O524" s="38"/>
    </row>
    <row r="525" spans="2:15">
      <c r="B525" s="1048">
        <f t="shared" ca="1" si="971"/>
        <v>51952</v>
      </c>
      <c r="C525" s="153">
        <f t="shared" ca="1" si="961"/>
        <v>0</v>
      </c>
      <c r="D525" s="153">
        <f t="shared" ca="1" si="962"/>
        <v>0</v>
      </c>
      <c r="E525" s="153">
        <f t="shared" ca="1" si="963"/>
        <v>0</v>
      </c>
      <c r="F525" s="153">
        <f t="shared" ca="1" si="964"/>
        <v>0</v>
      </c>
      <c r="G525" s="153">
        <f t="shared" ca="1" si="965"/>
        <v>0</v>
      </c>
      <c r="H525" s="39">
        <f t="shared" ca="1" si="966"/>
        <v>0</v>
      </c>
      <c r="I525" s="39">
        <f t="shared" ca="1" si="967"/>
        <v>0</v>
      </c>
      <c r="J525" s="39">
        <f t="shared" ca="1" si="968"/>
        <v>0</v>
      </c>
      <c r="K525" s="39">
        <f t="shared" ca="1" si="969"/>
        <v>0</v>
      </c>
      <c r="L525" s="39">
        <f t="shared" ca="1" si="970"/>
        <v>0</v>
      </c>
      <c r="M525" s="39">
        <f t="shared" ca="1" si="972"/>
        <v>0</v>
      </c>
      <c r="O525" s="38"/>
    </row>
    <row r="526" spans="2:15">
      <c r="B526" s="1048">
        <f t="shared" ca="1" si="971"/>
        <v>51982</v>
      </c>
      <c r="C526" s="153">
        <f t="shared" ca="1" si="961"/>
        <v>0</v>
      </c>
      <c r="D526" s="153">
        <f t="shared" ca="1" si="962"/>
        <v>0</v>
      </c>
      <c r="E526" s="153">
        <f t="shared" ca="1" si="963"/>
        <v>0</v>
      </c>
      <c r="F526" s="153">
        <f t="shared" ca="1" si="964"/>
        <v>0</v>
      </c>
      <c r="G526" s="153">
        <f t="shared" ca="1" si="965"/>
        <v>0</v>
      </c>
      <c r="H526" s="39">
        <f t="shared" ca="1" si="966"/>
        <v>0</v>
      </c>
      <c r="I526" s="39">
        <f t="shared" ca="1" si="967"/>
        <v>0</v>
      </c>
      <c r="J526" s="39">
        <f t="shared" ca="1" si="968"/>
        <v>0</v>
      </c>
      <c r="K526" s="39">
        <f t="shared" ca="1" si="969"/>
        <v>0</v>
      </c>
      <c r="L526" s="39">
        <f t="shared" ca="1" si="970"/>
        <v>0</v>
      </c>
      <c r="M526" s="39">
        <f t="shared" ca="1" si="972"/>
        <v>0</v>
      </c>
      <c r="O526" s="38"/>
    </row>
    <row r="527" spans="2:15">
      <c r="B527" s="1048">
        <f t="shared" ca="1" si="971"/>
        <v>52012</v>
      </c>
      <c r="C527" s="153">
        <f t="shared" ca="1" si="961"/>
        <v>0</v>
      </c>
      <c r="D527" s="153">
        <f t="shared" ca="1" si="962"/>
        <v>0</v>
      </c>
      <c r="E527" s="153">
        <f t="shared" ca="1" si="963"/>
        <v>0</v>
      </c>
      <c r="F527" s="153">
        <f t="shared" ca="1" si="964"/>
        <v>0</v>
      </c>
      <c r="G527" s="153">
        <f t="shared" ca="1" si="965"/>
        <v>0</v>
      </c>
      <c r="H527" s="39">
        <f t="shared" ca="1" si="966"/>
        <v>0</v>
      </c>
      <c r="I527" s="39">
        <f t="shared" ca="1" si="967"/>
        <v>0</v>
      </c>
      <c r="J527" s="39">
        <f t="shared" ca="1" si="968"/>
        <v>0</v>
      </c>
      <c r="K527" s="39">
        <f t="shared" ca="1" si="969"/>
        <v>0</v>
      </c>
      <c r="L527" s="39">
        <f t="shared" ca="1" si="970"/>
        <v>0</v>
      </c>
      <c r="M527" s="39">
        <f t="shared" ca="1" si="972"/>
        <v>0</v>
      </c>
      <c r="O527" s="38"/>
    </row>
    <row r="528" spans="2:15">
      <c r="B528" s="1048">
        <f t="shared" ca="1" si="971"/>
        <v>52042</v>
      </c>
      <c r="C528" s="153">
        <f t="shared" ca="1" si="961"/>
        <v>0</v>
      </c>
      <c r="D528" s="153">
        <f t="shared" ca="1" si="962"/>
        <v>0</v>
      </c>
      <c r="E528" s="153">
        <f t="shared" ca="1" si="963"/>
        <v>0</v>
      </c>
      <c r="F528" s="153">
        <f t="shared" ca="1" si="964"/>
        <v>0</v>
      </c>
      <c r="G528" s="153">
        <f t="shared" ca="1" si="965"/>
        <v>0</v>
      </c>
      <c r="H528" s="39">
        <f t="shared" ca="1" si="966"/>
        <v>0</v>
      </c>
      <c r="I528" s="39">
        <f t="shared" ca="1" si="967"/>
        <v>0</v>
      </c>
      <c r="J528" s="39">
        <f t="shared" ca="1" si="968"/>
        <v>0</v>
      </c>
      <c r="K528" s="39">
        <f t="shared" ca="1" si="969"/>
        <v>0</v>
      </c>
      <c r="L528" s="39">
        <f t="shared" ca="1" si="970"/>
        <v>0</v>
      </c>
      <c r="M528" s="39">
        <f t="shared" ca="1" si="972"/>
        <v>0</v>
      </c>
      <c r="O528" s="38"/>
    </row>
    <row r="529" spans="2:15">
      <c r="B529" s="1048">
        <f t="shared" ca="1" si="971"/>
        <v>52072</v>
      </c>
      <c r="C529" s="153">
        <f t="shared" ca="1" si="961"/>
        <v>0</v>
      </c>
      <c r="D529" s="153">
        <f t="shared" ca="1" si="962"/>
        <v>0</v>
      </c>
      <c r="E529" s="153">
        <f t="shared" ca="1" si="963"/>
        <v>0</v>
      </c>
      <c r="F529" s="153">
        <f t="shared" ca="1" si="964"/>
        <v>0</v>
      </c>
      <c r="G529" s="153">
        <f t="shared" ca="1" si="965"/>
        <v>0</v>
      </c>
      <c r="H529" s="39">
        <f t="shared" ca="1" si="966"/>
        <v>0</v>
      </c>
      <c r="I529" s="39">
        <f t="shared" ca="1" si="967"/>
        <v>0</v>
      </c>
      <c r="J529" s="39">
        <f t="shared" ca="1" si="968"/>
        <v>0</v>
      </c>
      <c r="K529" s="39">
        <f t="shared" ca="1" si="969"/>
        <v>77.039999999999992</v>
      </c>
      <c r="L529" s="39">
        <f t="shared" ca="1" si="970"/>
        <v>105.76</v>
      </c>
      <c r="M529" s="39">
        <f t="shared" ca="1" si="972"/>
        <v>182.8</v>
      </c>
      <c r="O529" s="38"/>
    </row>
    <row r="530" spans="2:15">
      <c r="B530" s="1048">
        <f t="shared" ca="1" si="971"/>
        <v>52102</v>
      </c>
      <c r="C530" s="153">
        <f t="shared" ca="1" si="961"/>
        <v>0</v>
      </c>
      <c r="D530" s="153">
        <f t="shared" ca="1" si="962"/>
        <v>0</v>
      </c>
      <c r="E530" s="153">
        <f t="shared" ca="1" si="963"/>
        <v>0</v>
      </c>
      <c r="F530" s="153">
        <f t="shared" ca="1" si="964"/>
        <v>0</v>
      </c>
      <c r="G530" s="153">
        <f t="shared" ca="1" si="965"/>
        <v>0</v>
      </c>
      <c r="H530" s="39">
        <f t="shared" ca="1" si="966"/>
        <v>0</v>
      </c>
      <c r="I530" s="39">
        <f t="shared" ca="1" si="967"/>
        <v>0</v>
      </c>
      <c r="J530" s="39">
        <f t="shared" ca="1" si="968"/>
        <v>0</v>
      </c>
      <c r="K530" s="39">
        <f t="shared" ca="1" si="969"/>
        <v>25.66</v>
      </c>
      <c r="L530" s="39">
        <f t="shared" ca="1" si="970"/>
        <v>370.16</v>
      </c>
      <c r="M530" s="39">
        <f t="shared" ca="1" si="972"/>
        <v>395.82000000000005</v>
      </c>
      <c r="O530" s="38"/>
    </row>
    <row r="531" spans="2:15">
      <c r="B531" s="1048">
        <f t="shared" ca="1" si="971"/>
        <v>52132</v>
      </c>
      <c r="C531" s="153">
        <f t="shared" ca="1" si="961"/>
        <v>0</v>
      </c>
      <c r="D531" s="153">
        <f t="shared" ca="1" si="962"/>
        <v>0</v>
      </c>
      <c r="E531" s="153">
        <f t="shared" ca="1" si="963"/>
        <v>0</v>
      </c>
      <c r="F531" s="153">
        <f t="shared" ca="1" si="964"/>
        <v>0</v>
      </c>
      <c r="G531" s="153">
        <f t="shared" ca="1" si="965"/>
        <v>0</v>
      </c>
      <c r="H531" s="39">
        <f t="shared" ca="1" si="966"/>
        <v>0</v>
      </c>
      <c r="I531" s="39">
        <f t="shared" ca="1" si="967"/>
        <v>0</v>
      </c>
      <c r="J531" s="39">
        <f t="shared" ca="1" si="968"/>
        <v>0</v>
      </c>
      <c r="K531" s="39">
        <f t="shared" ca="1" si="969"/>
        <v>25.66</v>
      </c>
      <c r="L531" s="39">
        <f t="shared" ca="1" si="970"/>
        <v>105.72</v>
      </c>
      <c r="M531" s="39">
        <f t="shared" ca="1" si="972"/>
        <v>131.38</v>
      </c>
      <c r="O531" s="38"/>
    </row>
    <row r="532" spans="2:15">
      <c r="B532" s="1048">
        <f t="shared" ca="1" si="971"/>
        <v>52162</v>
      </c>
      <c r="C532" s="153">
        <f t="shared" ca="1" si="961"/>
        <v>0</v>
      </c>
      <c r="D532" s="153">
        <f t="shared" ca="1" si="962"/>
        <v>0</v>
      </c>
      <c r="E532" s="153">
        <f t="shared" ca="1" si="963"/>
        <v>0</v>
      </c>
      <c r="F532" s="153">
        <f t="shared" ca="1" si="964"/>
        <v>0</v>
      </c>
      <c r="G532" s="153">
        <f t="shared" ca="1" si="965"/>
        <v>0</v>
      </c>
      <c r="H532" s="39">
        <f t="shared" ca="1" si="966"/>
        <v>0</v>
      </c>
      <c r="I532" s="39">
        <f t="shared" ca="1" si="967"/>
        <v>0</v>
      </c>
      <c r="J532" s="39">
        <f t="shared" ca="1" si="968"/>
        <v>0</v>
      </c>
      <c r="K532" s="39">
        <f t="shared" ca="1" si="969"/>
        <v>201.28</v>
      </c>
      <c r="L532" s="39">
        <f t="shared" ca="1" si="970"/>
        <v>130.80000000000001</v>
      </c>
      <c r="M532" s="39">
        <f t="shared" ca="1" si="972"/>
        <v>332.08000000000004</v>
      </c>
      <c r="O532" s="38"/>
    </row>
    <row r="533" spans="2:15">
      <c r="B533" s="1048">
        <f t="shared" ca="1" si="971"/>
        <v>52192</v>
      </c>
      <c r="C533" s="153">
        <f t="shared" ca="1" si="961"/>
        <v>0</v>
      </c>
      <c r="D533" s="153">
        <f t="shared" ca="1" si="962"/>
        <v>0</v>
      </c>
      <c r="E533" s="153">
        <f t="shared" ca="1" si="963"/>
        <v>0</v>
      </c>
      <c r="F533" s="153">
        <f t="shared" ca="1" si="964"/>
        <v>0</v>
      </c>
      <c r="G533" s="153">
        <f t="shared" ca="1" si="965"/>
        <v>0</v>
      </c>
      <c r="H533" s="39">
        <f t="shared" ca="1" si="966"/>
        <v>0</v>
      </c>
      <c r="I533" s="39">
        <f t="shared" ca="1" si="967"/>
        <v>0</v>
      </c>
      <c r="J533" s="39">
        <f t="shared" ca="1" si="968"/>
        <v>0</v>
      </c>
      <c r="K533" s="39">
        <f t="shared" ca="1" si="969"/>
        <v>201.28</v>
      </c>
      <c r="L533" s="39">
        <f t="shared" ca="1" si="970"/>
        <v>104.64</v>
      </c>
      <c r="M533" s="39">
        <f t="shared" ca="1" si="972"/>
        <v>305.92</v>
      </c>
      <c r="O533" s="38"/>
    </row>
    <row r="534" spans="2:15">
      <c r="B534" s="1048">
        <f t="shared" ca="1" si="971"/>
        <v>52222</v>
      </c>
      <c r="C534" s="153">
        <f t="shared" ca="1" si="961"/>
        <v>0</v>
      </c>
      <c r="D534" s="153">
        <f t="shared" ca="1" si="962"/>
        <v>0</v>
      </c>
      <c r="E534" s="153">
        <f t="shared" ca="1" si="963"/>
        <v>0</v>
      </c>
      <c r="F534" s="153">
        <f t="shared" ca="1" si="964"/>
        <v>0</v>
      </c>
      <c r="G534" s="153">
        <f t="shared" ca="1" si="965"/>
        <v>0</v>
      </c>
      <c r="H534" s="39">
        <f t="shared" ca="1" si="966"/>
        <v>0</v>
      </c>
      <c r="I534" s="39">
        <f t="shared" ca="1" si="967"/>
        <v>0</v>
      </c>
      <c r="J534" s="39">
        <f t="shared" ca="1" si="968"/>
        <v>0</v>
      </c>
      <c r="K534" s="39">
        <f t="shared" ca="1" si="969"/>
        <v>25.16</v>
      </c>
      <c r="L534" s="39">
        <f t="shared" ca="1" si="970"/>
        <v>104.6</v>
      </c>
      <c r="M534" s="39">
        <f t="shared" ca="1" si="972"/>
        <v>129.76</v>
      </c>
      <c r="O534" s="38"/>
    </row>
    <row r="535" spans="2:15">
      <c r="B535" s="1048">
        <f t="shared" ca="1" si="971"/>
        <v>52252</v>
      </c>
      <c r="C535" s="153">
        <f t="shared" ca="1" si="961"/>
        <v>0</v>
      </c>
      <c r="D535" s="153">
        <f t="shared" ca="1" si="962"/>
        <v>0</v>
      </c>
      <c r="E535" s="153">
        <f t="shared" ca="1" si="963"/>
        <v>0</v>
      </c>
      <c r="F535" s="153">
        <f t="shared" ca="1" si="964"/>
        <v>0</v>
      </c>
      <c r="G535" s="153">
        <f t="shared" ca="1" si="965"/>
        <v>0</v>
      </c>
      <c r="H535" s="39">
        <f t="shared" ca="1" si="966"/>
        <v>0</v>
      </c>
      <c r="I535" s="39">
        <f t="shared" ca="1" si="967"/>
        <v>100</v>
      </c>
      <c r="J535" s="39">
        <f t="shared" ca="1" si="968"/>
        <v>0</v>
      </c>
      <c r="K535" s="39">
        <f t="shared" ca="1" si="969"/>
        <v>100.64</v>
      </c>
      <c r="L535" s="39">
        <f t="shared" ca="1" si="970"/>
        <v>104.6</v>
      </c>
      <c r="M535" s="39">
        <f t="shared" ca="1" si="972"/>
        <v>305.24</v>
      </c>
      <c r="O535" s="38"/>
    </row>
    <row r="536" spans="2:15">
      <c r="B536" s="1048">
        <f t="shared" ca="1" si="971"/>
        <v>52282</v>
      </c>
      <c r="C536" s="153">
        <f t="shared" ca="1" si="961"/>
        <v>0</v>
      </c>
      <c r="D536" s="153">
        <f t="shared" ca="1" si="962"/>
        <v>0</v>
      </c>
      <c r="E536" s="153">
        <f t="shared" ca="1" si="963"/>
        <v>0</v>
      </c>
      <c r="F536" s="153">
        <f t="shared" ca="1" si="964"/>
        <v>0</v>
      </c>
      <c r="G536" s="153">
        <f t="shared" ca="1" si="965"/>
        <v>0</v>
      </c>
      <c r="H536" s="39">
        <f t="shared" ca="1" si="966"/>
        <v>0</v>
      </c>
      <c r="I536" s="39">
        <f t="shared" ca="1" si="967"/>
        <v>0</v>
      </c>
      <c r="J536" s="39">
        <f t="shared" ca="1" si="968"/>
        <v>200</v>
      </c>
      <c r="K536" s="39">
        <f t="shared" ca="1" si="969"/>
        <v>25.14</v>
      </c>
      <c r="L536" s="39">
        <f t="shared" ca="1" si="970"/>
        <v>130.75</v>
      </c>
      <c r="M536" s="39">
        <f t="shared" ca="1" si="972"/>
        <v>355.89</v>
      </c>
      <c r="O536" s="38"/>
    </row>
    <row r="537" spans="2:15">
      <c r="B537" s="1048">
        <f t="shared" ca="1" si="971"/>
        <v>52312</v>
      </c>
      <c r="C537" s="153">
        <f t="shared" ca="1" si="961"/>
        <v>0</v>
      </c>
      <c r="D537" s="153">
        <f t="shared" ca="1" si="962"/>
        <v>0</v>
      </c>
      <c r="E537" s="153">
        <f t="shared" ca="1" si="963"/>
        <v>0</v>
      </c>
      <c r="F537" s="153">
        <f t="shared" ca="1" si="964"/>
        <v>0</v>
      </c>
      <c r="G537" s="153">
        <f t="shared" ca="1" si="965"/>
        <v>0</v>
      </c>
      <c r="H537" s="39">
        <f t="shared" ca="1" si="966"/>
        <v>0</v>
      </c>
      <c r="I537" s="39">
        <f t="shared" ca="1" si="967"/>
        <v>0</v>
      </c>
      <c r="J537" s="39">
        <f t="shared" ca="1" si="968"/>
        <v>0</v>
      </c>
      <c r="K537" s="39">
        <f t="shared" ca="1" si="969"/>
        <v>25.14</v>
      </c>
      <c r="L537" s="39">
        <f t="shared" ca="1" si="970"/>
        <v>104.56</v>
      </c>
      <c r="M537" s="39">
        <f t="shared" ca="1" si="972"/>
        <v>129.69999999999999</v>
      </c>
      <c r="O537" s="38"/>
    </row>
    <row r="538" spans="2:15">
      <c r="B538" s="1048">
        <f t="shared" ca="1" si="971"/>
        <v>52342</v>
      </c>
      <c r="C538" s="153">
        <f t="shared" ca="1" si="961"/>
        <v>0</v>
      </c>
      <c r="D538" s="153">
        <f t="shared" ca="1" si="962"/>
        <v>0</v>
      </c>
      <c r="E538" s="153">
        <f t="shared" ca="1" si="963"/>
        <v>0</v>
      </c>
      <c r="F538" s="153">
        <f t="shared" ca="1" si="964"/>
        <v>0</v>
      </c>
      <c r="G538" s="153">
        <f t="shared" ca="1" si="965"/>
        <v>0</v>
      </c>
      <c r="H538" s="39">
        <f t="shared" ca="1" si="966"/>
        <v>0</v>
      </c>
      <c r="I538" s="39">
        <f t="shared" ca="1" si="967"/>
        <v>300</v>
      </c>
      <c r="J538" s="39">
        <f t="shared" ca="1" si="968"/>
        <v>0</v>
      </c>
      <c r="K538" s="39">
        <f t="shared" ca="1" si="969"/>
        <v>50.28</v>
      </c>
      <c r="L538" s="39">
        <f t="shared" ca="1" si="970"/>
        <v>155.64000000000001</v>
      </c>
      <c r="M538" s="39">
        <f t="shared" ca="1" si="972"/>
        <v>505.91999999999996</v>
      </c>
      <c r="O538" s="38"/>
    </row>
    <row r="539" spans="2:15">
      <c r="B539" s="1048">
        <f t="shared" ca="1" si="971"/>
        <v>52372</v>
      </c>
      <c r="C539" s="153">
        <f t="shared" ref="C539:C602" ca="1" si="973">SUMIFS(P:P,U:U,"&gt;="&amp;DATE(YEAR(B539),MONTH(B539),DAY(B539)),U:U,"&lt;"&amp;DATE(YEAR(B540),MONTH(B540),DAY(B540)))</f>
        <v>0</v>
      </c>
      <c r="D539" s="153">
        <f t="shared" ref="D539:D602" ca="1" si="974">SUMIFS(Y:Y,AD:AD,"&gt;="&amp;DATE(YEAR(B539),MONTH(B539),DAY(B539)),AD:AD,"&lt;"&amp;DATE(YEAR(B540),MONTH(B540),DAY(B540)))</f>
        <v>0</v>
      </c>
      <c r="E539" s="153">
        <f t="shared" ref="E539:E602" ca="1" si="975">SUMIFS(AI:AI,AN:AN,"&gt;="&amp;DATE(YEAR(B539),MONTH(B539),DAY(B539)),AN:AN,"&lt;"&amp;DATE(YEAR(B540),MONTH(B540),DAY(B540)))</f>
        <v>0</v>
      </c>
      <c r="F539" s="153">
        <f t="shared" ref="F539:F602" ca="1" si="976">SUMIFS(AR:AR,AW:AW,"&gt;="&amp;DATE(YEAR(B539),MONTH(B539),DAY(B539)),AW:AW,"&lt;"&amp;DATE(YEAR(B540),MONTH(B540),DAY(B540)))</f>
        <v>0</v>
      </c>
      <c r="G539" s="153">
        <f t="shared" ref="G539:G602" ca="1" si="977">SUMIFS(BC:BC,BF:BF,"&gt;="&amp;DATE(YEAR(B539),MONTH(B539),DAY(B539)),BF:BF,"&lt;"&amp;DATE(YEAR(B540),MONTH(B540),DAY(B540)))</f>
        <v>0</v>
      </c>
      <c r="H539" s="39">
        <f t="shared" ref="H539:H602" ca="1" si="978">SUMIFS(BW:BW,BZ:BZ,"&gt;="&amp;DATE(YEAR(B539),MONTH(B539),DY(B539)),BZ:BZ,"&lt;"&amp;DATE(YEAR(B540),MONTH(B540),DAY(B540)))</f>
        <v>0</v>
      </c>
      <c r="I539" s="39">
        <f t="shared" ref="I539:I602" ca="1" si="979">SUMIFS(CO:CO,CR:CR,"&gt;="&amp;DATE(YEAR(B539),MONTH(B539),DAY(B539)),CR:CR,"&lt;"&amp;DATE(YEAR(B540),MONTH(B540),DAY(B540)))</f>
        <v>0</v>
      </c>
      <c r="J539" s="39">
        <f t="shared" ref="J539:J602" ca="1" si="980">SUMIFS(DG:DG,DJ:DJ,"&gt;="&amp;DATE(YEAR(B539),MONTH(B539),DAY(B539)),DJ:DJ,"&lt;"&amp;DATE(YEAR(B540),MONTH(B540),DAY(B540)))</f>
        <v>0</v>
      </c>
      <c r="K539" s="39">
        <f t="shared" ref="K539:K602" ca="1" si="981">SUMIFS(EK:EK,EG:EG,"&gt;="&amp;DATE(YEAR(B539),MONTH(B539),DAY(B539)),EG:EG,"&lt;"&amp;DATE(YEAR(B540),MONTH(B540),DAY(B540)))</f>
        <v>25.14</v>
      </c>
      <c r="L539" s="39">
        <f t="shared" ref="L539:L602" ca="1" si="982">SUMIFS(FB:FB,EY:EY,"&gt;="&amp;DATE(YEAR(B539),MONTH(B539),DAY(B539)),EY:EY,"&lt;"&amp;DATE(YEAR(B540),MONTH(B540),DAY(B540)))</f>
        <v>103.76</v>
      </c>
      <c r="M539" s="39">
        <f t="shared" ca="1" si="972"/>
        <v>128.9</v>
      </c>
      <c r="O539" s="38"/>
    </row>
    <row r="540" spans="2:15">
      <c r="B540" s="1048">
        <f t="shared" ref="B540:B603" ca="1" si="983">B539+30</f>
        <v>52402</v>
      </c>
      <c r="C540" s="153">
        <f t="shared" ca="1" si="973"/>
        <v>0</v>
      </c>
      <c r="D540" s="153">
        <f t="shared" ca="1" si="974"/>
        <v>0</v>
      </c>
      <c r="E540" s="153">
        <f t="shared" ca="1" si="975"/>
        <v>0</v>
      </c>
      <c r="F540" s="153">
        <f t="shared" ca="1" si="976"/>
        <v>0</v>
      </c>
      <c r="G540" s="153">
        <f t="shared" ca="1" si="977"/>
        <v>0</v>
      </c>
      <c r="H540" s="39">
        <f t="shared" ca="1" si="978"/>
        <v>0</v>
      </c>
      <c r="I540" s="39">
        <f t="shared" ca="1" si="979"/>
        <v>0</v>
      </c>
      <c r="J540" s="39">
        <f t="shared" ca="1" si="980"/>
        <v>0</v>
      </c>
      <c r="K540" s="39">
        <f t="shared" ca="1" si="981"/>
        <v>25.14</v>
      </c>
      <c r="L540" s="39">
        <f t="shared" ca="1" si="982"/>
        <v>103.72</v>
      </c>
      <c r="M540" s="39">
        <f t="shared" ca="1" si="972"/>
        <v>128.86000000000001</v>
      </c>
      <c r="O540" s="38"/>
    </row>
    <row r="541" spans="2:15">
      <c r="B541" s="1048">
        <f t="shared" ca="1" si="983"/>
        <v>52432</v>
      </c>
      <c r="C541" s="153">
        <f t="shared" ca="1" si="973"/>
        <v>0</v>
      </c>
      <c r="D541" s="153">
        <f t="shared" ca="1" si="974"/>
        <v>0</v>
      </c>
      <c r="E541" s="153">
        <f t="shared" ca="1" si="975"/>
        <v>0</v>
      </c>
      <c r="F541" s="153">
        <f t="shared" ca="1" si="976"/>
        <v>0</v>
      </c>
      <c r="G541" s="153">
        <f t="shared" ca="1" si="977"/>
        <v>0</v>
      </c>
      <c r="H541" s="39">
        <f t="shared" ca="1" si="978"/>
        <v>0</v>
      </c>
      <c r="I541" s="39">
        <f t="shared" ca="1" si="979"/>
        <v>100</v>
      </c>
      <c r="J541" s="39">
        <f t="shared" ca="1" si="980"/>
        <v>0</v>
      </c>
      <c r="K541" s="39">
        <f t="shared" ca="1" si="981"/>
        <v>100.56</v>
      </c>
      <c r="L541" s="39">
        <f t="shared" ca="1" si="982"/>
        <v>181.51</v>
      </c>
      <c r="M541" s="39">
        <f t="shared" ref="M541:M604" ca="1" si="984">SUM(C541:L541)</f>
        <v>382.07</v>
      </c>
      <c r="O541" s="38"/>
    </row>
    <row r="542" spans="2:15">
      <c r="B542" s="1048">
        <f t="shared" ca="1" si="983"/>
        <v>52462</v>
      </c>
      <c r="C542" s="153">
        <f t="shared" ca="1" si="973"/>
        <v>0</v>
      </c>
      <c r="D542" s="153">
        <f t="shared" ca="1" si="974"/>
        <v>0</v>
      </c>
      <c r="E542" s="153">
        <f t="shared" ca="1" si="975"/>
        <v>0</v>
      </c>
      <c r="F542" s="153">
        <f t="shared" ca="1" si="976"/>
        <v>0</v>
      </c>
      <c r="G542" s="153">
        <f t="shared" ca="1" si="977"/>
        <v>0</v>
      </c>
      <c r="H542" s="39">
        <f t="shared" ca="1" si="978"/>
        <v>0</v>
      </c>
      <c r="I542" s="39">
        <f t="shared" ca="1" si="979"/>
        <v>0</v>
      </c>
      <c r="J542" s="39">
        <f t="shared" ca="1" si="980"/>
        <v>0</v>
      </c>
      <c r="K542" s="39">
        <f t="shared" ca="1" si="981"/>
        <v>125.6</v>
      </c>
      <c r="L542" s="39">
        <f t="shared" ca="1" si="982"/>
        <v>311.15999999999997</v>
      </c>
      <c r="M542" s="39">
        <f t="shared" ca="1" si="984"/>
        <v>436.76</v>
      </c>
      <c r="O542" s="38"/>
    </row>
    <row r="543" spans="2:15">
      <c r="B543" s="1048">
        <f t="shared" ca="1" si="983"/>
        <v>52492</v>
      </c>
      <c r="C543" s="153">
        <f t="shared" ca="1" si="973"/>
        <v>0</v>
      </c>
      <c r="D543" s="153">
        <f t="shared" ca="1" si="974"/>
        <v>0</v>
      </c>
      <c r="E543" s="153">
        <f t="shared" ca="1" si="975"/>
        <v>0</v>
      </c>
      <c r="F543" s="153">
        <f t="shared" ca="1" si="976"/>
        <v>0</v>
      </c>
      <c r="G543" s="153">
        <f t="shared" ca="1" si="977"/>
        <v>0</v>
      </c>
      <c r="H543" s="39">
        <f t="shared" ca="1" si="978"/>
        <v>0</v>
      </c>
      <c r="I543" s="39">
        <f t="shared" ca="1" si="979"/>
        <v>0</v>
      </c>
      <c r="J543" s="39">
        <f t="shared" ca="1" si="980"/>
        <v>0</v>
      </c>
      <c r="K543" s="39">
        <f t="shared" ca="1" si="981"/>
        <v>25.12</v>
      </c>
      <c r="L543" s="39">
        <f t="shared" ca="1" si="982"/>
        <v>129.60000000000002</v>
      </c>
      <c r="M543" s="39">
        <f t="shared" ca="1" si="984"/>
        <v>154.72000000000003</v>
      </c>
      <c r="O543" s="38"/>
    </row>
    <row r="544" spans="2:15">
      <c r="B544" s="1048">
        <f t="shared" ca="1" si="983"/>
        <v>52522</v>
      </c>
      <c r="C544" s="153">
        <f t="shared" ca="1" si="973"/>
        <v>0</v>
      </c>
      <c r="D544" s="153">
        <f t="shared" ca="1" si="974"/>
        <v>0</v>
      </c>
      <c r="E544" s="153">
        <f t="shared" ca="1" si="975"/>
        <v>0</v>
      </c>
      <c r="F544" s="153">
        <f t="shared" ca="1" si="976"/>
        <v>0</v>
      </c>
      <c r="G544" s="153">
        <f t="shared" ca="1" si="977"/>
        <v>0</v>
      </c>
      <c r="H544" s="39">
        <f t="shared" ca="1" si="978"/>
        <v>0</v>
      </c>
      <c r="I544" s="39">
        <f t="shared" ca="1" si="979"/>
        <v>300</v>
      </c>
      <c r="J544" s="39">
        <f t="shared" ca="1" si="980"/>
        <v>0</v>
      </c>
      <c r="K544" s="39">
        <f t="shared" ca="1" si="981"/>
        <v>25.12</v>
      </c>
      <c r="L544" s="39">
        <f t="shared" ca="1" si="982"/>
        <v>129.55000000000001</v>
      </c>
      <c r="M544" s="39">
        <f t="shared" ca="1" si="984"/>
        <v>454.67</v>
      </c>
      <c r="O544" s="38"/>
    </row>
    <row r="545" spans="2:15">
      <c r="B545" s="1048">
        <f t="shared" ca="1" si="983"/>
        <v>52552</v>
      </c>
      <c r="C545" s="153">
        <f t="shared" ca="1" si="973"/>
        <v>0</v>
      </c>
      <c r="D545" s="153">
        <f t="shared" ca="1" si="974"/>
        <v>0</v>
      </c>
      <c r="E545" s="153">
        <f t="shared" ca="1" si="975"/>
        <v>0</v>
      </c>
      <c r="F545" s="153">
        <f t="shared" ca="1" si="976"/>
        <v>0</v>
      </c>
      <c r="G545" s="153">
        <f t="shared" ca="1" si="977"/>
        <v>0</v>
      </c>
      <c r="H545" s="39">
        <f t="shared" ca="1" si="978"/>
        <v>0</v>
      </c>
      <c r="I545" s="39">
        <f t="shared" ca="1" si="979"/>
        <v>0</v>
      </c>
      <c r="J545" s="39">
        <f t="shared" ca="1" si="980"/>
        <v>0</v>
      </c>
      <c r="K545" s="39">
        <f t="shared" ca="1" si="981"/>
        <v>50.24</v>
      </c>
      <c r="L545" s="39">
        <f t="shared" ca="1" si="982"/>
        <v>103.6</v>
      </c>
      <c r="M545" s="39">
        <f t="shared" ca="1" si="984"/>
        <v>153.84</v>
      </c>
      <c r="O545" s="38"/>
    </row>
    <row r="546" spans="2:15">
      <c r="B546" s="1048">
        <f t="shared" ca="1" si="983"/>
        <v>52582</v>
      </c>
      <c r="C546" s="153">
        <f t="shared" ca="1" si="973"/>
        <v>0</v>
      </c>
      <c r="D546" s="153">
        <f t="shared" ca="1" si="974"/>
        <v>0</v>
      </c>
      <c r="E546" s="153">
        <f t="shared" ca="1" si="975"/>
        <v>0</v>
      </c>
      <c r="F546" s="153">
        <f t="shared" ca="1" si="976"/>
        <v>0</v>
      </c>
      <c r="G546" s="153">
        <f t="shared" ca="1" si="977"/>
        <v>0</v>
      </c>
      <c r="H546" s="39">
        <f t="shared" ca="1" si="978"/>
        <v>0</v>
      </c>
      <c r="I546" s="39">
        <f t="shared" ca="1" si="979"/>
        <v>0</v>
      </c>
      <c r="J546" s="39">
        <f t="shared" ca="1" si="980"/>
        <v>0</v>
      </c>
      <c r="K546" s="39">
        <f t="shared" ca="1" si="981"/>
        <v>35.14</v>
      </c>
      <c r="L546" s="39">
        <f t="shared" ca="1" si="982"/>
        <v>181.25</v>
      </c>
      <c r="M546" s="39">
        <f t="shared" ca="1" si="984"/>
        <v>216.39</v>
      </c>
      <c r="O546" s="38"/>
    </row>
    <row r="547" spans="2:15">
      <c r="B547" s="1048">
        <f t="shared" ca="1" si="983"/>
        <v>52612</v>
      </c>
      <c r="C547" s="153">
        <f t="shared" ca="1" si="973"/>
        <v>0</v>
      </c>
      <c r="D547" s="153">
        <f t="shared" ca="1" si="974"/>
        <v>0</v>
      </c>
      <c r="E547" s="153">
        <f t="shared" ca="1" si="975"/>
        <v>0</v>
      </c>
      <c r="F547" s="153">
        <f t="shared" ca="1" si="976"/>
        <v>0</v>
      </c>
      <c r="G547" s="153">
        <f t="shared" ca="1" si="977"/>
        <v>0</v>
      </c>
      <c r="H547" s="39">
        <f t="shared" ca="1" si="978"/>
        <v>0</v>
      </c>
      <c r="I547" s="39">
        <f t="shared" ca="1" si="979"/>
        <v>200</v>
      </c>
      <c r="J547" s="39">
        <f t="shared" ca="1" si="980"/>
        <v>0</v>
      </c>
      <c r="K547" s="39">
        <f t="shared" ca="1" si="981"/>
        <v>85.34</v>
      </c>
      <c r="L547" s="39">
        <f t="shared" ca="1" si="982"/>
        <v>144.91999999999999</v>
      </c>
      <c r="M547" s="39">
        <f t="shared" ca="1" si="984"/>
        <v>430.26</v>
      </c>
      <c r="O547" s="38"/>
    </row>
    <row r="548" spans="2:15">
      <c r="B548" s="1048">
        <f t="shared" ca="1" si="983"/>
        <v>52642</v>
      </c>
      <c r="C548" s="153">
        <f t="shared" ca="1" si="973"/>
        <v>0</v>
      </c>
      <c r="D548" s="153">
        <f t="shared" ca="1" si="974"/>
        <v>0</v>
      </c>
      <c r="E548" s="153">
        <f t="shared" ca="1" si="975"/>
        <v>0</v>
      </c>
      <c r="F548" s="153">
        <f t="shared" ca="1" si="976"/>
        <v>0</v>
      </c>
      <c r="G548" s="153">
        <f t="shared" ca="1" si="977"/>
        <v>0</v>
      </c>
      <c r="H548" s="39">
        <f t="shared" ca="1" si="978"/>
        <v>0</v>
      </c>
      <c r="I548" s="39">
        <f t="shared" ca="1" si="979"/>
        <v>300</v>
      </c>
      <c r="J548" s="39">
        <f t="shared" ca="1" si="980"/>
        <v>400</v>
      </c>
      <c r="K548" s="39">
        <f t="shared" ca="1" si="981"/>
        <v>35.14</v>
      </c>
      <c r="L548" s="39">
        <f t="shared" ca="1" si="982"/>
        <v>196.67999999999998</v>
      </c>
      <c r="M548" s="39">
        <f t="shared" ca="1" si="984"/>
        <v>931.81999999999994</v>
      </c>
      <c r="O548" s="38"/>
    </row>
    <row r="549" spans="2:15">
      <c r="B549" s="1048">
        <f t="shared" ca="1" si="983"/>
        <v>52672</v>
      </c>
      <c r="C549" s="153">
        <f t="shared" ca="1" si="973"/>
        <v>0</v>
      </c>
      <c r="D549" s="153">
        <f t="shared" ca="1" si="974"/>
        <v>0</v>
      </c>
      <c r="E549" s="153">
        <f t="shared" ca="1" si="975"/>
        <v>0</v>
      </c>
      <c r="F549" s="153">
        <f t="shared" ca="1" si="976"/>
        <v>0</v>
      </c>
      <c r="G549" s="153">
        <f t="shared" ca="1" si="977"/>
        <v>0</v>
      </c>
      <c r="H549" s="39">
        <f t="shared" ca="1" si="978"/>
        <v>0</v>
      </c>
      <c r="I549" s="39">
        <f t="shared" ca="1" si="979"/>
        <v>0</v>
      </c>
      <c r="J549" s="39">
        <f t="shared" ca="1" si="980"/>
        <v>0</v>
      </c>
      <c r="K549" s="39">
        <f t="shared" ca="1" si="981"/>
        <v>70.28</v>
      </c>
      <c r="L549" s="39">
        <f t="shared" ca="1" si="982"/>
        <v>144.88</v>
      </c>
      <c r="M549" s="39">
        <f t="shared" ca="1" si="984"/>
        <v>215.16</v>
      </c>
      <c r="O549" s="38"/>
    </row>
    <row r="550" spans="2:15">
      <c r="B550" s="1048">
        <f t="shared" ca="1" si="983"/>
        <v>52702</v>
      </c>
      <c r="C550" s="153">
        <f t="shared" ca="1" si="973"/>
        <v>0</v>
      </c>
      <c r="D550" s="153">
        <f t="shared" ca="1" si="974"/>
        <v>0</v>
      </c>
      <c r="E550" s="153">
        <f t="shared" ca="1" si="975"/>
        <v>0</v>
      </c>
      <c r="F550" s="153">
        <f t="shared" ca="1" si="976"/>
        <v>0</v>
      </c>
      <c r="G550" s="153">
        <f t="shared" ca="1" si="977"/>
        <v>0</v>
      </c>
      <c r="H550" s="39">
        <f t="shared" ca="1" si="978"/>
        <v>0</v>
      </c>
      <c r="I550" s="39">
        <f t="shared" ca="1" si="979"/>
        <v>400</v>
      </c>
      <c r="J550" s="39">
        <f t="shared" ca="1" si="980"/>
        <v>0</v>
      </c>
      <c r="K550" s="39">
        <f t="shared" ca="1" si="981"/>
        <v>35.42</v>
      </c>
      <c r="L550" s="39">
        <f t="shared" ca="1" si="982"/>
        <v>179.75</v>
      </c>
      <c r="M550" s="39">
        <f t="shared" ca="1" si="984"/>
        <v>615.17000000000007</v>
      </c>
      <c r="O550" s="38"/>
    </row>
    <row r="551" spans="2:15">
      <c r="B551" s="1048">
        <f t="shared" ca="1" si="983"/>
        <v>52732</v>
      </c>
      <c r="C551" s="153">
        <f t="shared" ca="1" si="973"/>
        <v>0</v>
      </c>
      <c r="D551" s="153">
        <f t="shared" ca="1" si="974"/>
        <v>0</v>
      </c>
      <c r="E551" s="153">
        <f t="shared" ca="1" si="975"/>
        <v>0</v>
      </c>
      <c r="F551" s="153">
        <f t="shared" ca="1" si="976"/>
        <v>0</v>
      </c>
      <c r="G551" s="153">
        <f t="shared" ca="1" si="977"/>
        <v>0</v>
      </c>
      <c r="H551" s="39">
        <f t="shared" ca="1" si="978"/>
        <v>0</v>
      </c>
      <c r="I551" s="39">
        <f t="shared" ca="1" si="979"/>
        <v>300</v>
      </c>
      <c r="J551" s="39">
        <f t="shared" ca="1" si="980"/>
        <v>0</v>
      </c>
      <c r="K551" s="39">
        <f t="shared" ca="1" si="981"/>
        <v>35.42</v>
      </c>
      <c r="L551" s="39">
        <f t="shared" ca="1" si="982"/>
        <v>143.80000000000001</v>
      </c>
      <c r="M551" s="39">
        <f t="shared" ca="1" si="984"/>
        <v>479.22</v>
      </c>
      <c r="O551" s="38"/>
    </row>
    <row r="552" spans="2:15">
      <c r="B552" s="1048">
        <f t="shared" ca="1" si="983"/>
        <v>52762</v>
      </c>
      <c r="C552" s="153">
        <f t="shared" ca="1" si="973"/>
        <v>0</v>
      </c>
      <c r="D552" s="153">
        <f t="shared" ca="1" si="974"/>
        <v>0</v>
      </c>
      <c r="E552" s="153">
        <f t="shared" ca="1" si="975"/>
        <v>0</v>
      </c>
      <c r="F552" s="153">
        <f t="shared" ca="1" si="976"/>
        <v>0</v>
      </c>
      <c r="G552" s="153">
        <f t="shared" ca="1" si="977"/>
        <v>0</v>
      </c>
      <c r="H552" s="39">
        <f t="shared" ca="1" si="978"/>
        <v>0</v>
      </c>
      <c r="I552" s="39">
        <f t="shared" ca="1" si="979"/>
        <v>0</v>
      </c>
      <c r="J552" s="39">
        <f t="shared" ca="1" si="980"/>
        <v>0</v>
      </c>
      <c r="K552" s="39">
        <f t="shared" ca="1" si="981"/>
        <v>35.39</v>
      </c>
      <c r="L552" s="39">
        <f t="shared" ca="1" si="982"/>
        <v>143.76</v>
      </c>
      <c r="M552" s="39">
        <f t="shared" ca="1" si="984"/>
        <v>179.14999999999998</v>
      </c>
      <c r="O552" s="38"/>
    </row>
    <row r="553" spans="2:15">
      <c r="B553" s="1048">
        <f t="shared" ca="1" si="983"/>
        <v>52792</v>
      </c>
      <c r="C553" s="153">
        <f t="shared" ca="1" si="973"/>
        <v>0</v>
      </c>
      <c r="D553" s="153">
        <f t="shared" ca="1" si="974"/>
        <v>0</v>
      </c>
      <c r="E553" s="153">
        <f t="shared" ca="1" si="975"/>
        <v>0</v>
      </c>
      <c r="F553" s="153">
        <f t="shared" ca="1" si="976"/>
        <v>0</v>
      </c>
      <c r="G553" s="153">
        <f t="shared" ca="1" si="977"/>
        <v>0</v>
      </c>
      <c r="H553" s="39">
        <f t="shared" ca="1" si="978"/>
        <v>0</v>
      </c>
      <c r="I553" s="39">
        <f t="shared" ca="1" si="979"/>
        <v>0</v>
      </c>
      <c r="J553" s="39">
        <f t="shared" ca="1" si="980"/>
        <v>0</v>
      </c>
      <c r="K553" s="39">
        <f t="shared" ca="1" si="981"/>
        <v>85.95</v>
      </c>
      <c r="L553" s="39">
        <f t="shared" ca="1" si="982"/>
        <v>590.42000000000007</v>
      </c>
      <c r="M553" s="39">
        <f t="shared" ca="1" si="984"/>
        <v>676.37000000000012</v>
      </c>
      <c r="O553" s="38"/>
    </row>
    <row r="554" spans="2:15">
      <c r="B554" s="1048">
        <f t="shared" ca="1" si="983"/>
        <v>52822</v>
      </c>
      <c r="C554" s="153">
        <f t="shared" ca="1" si="973"/>
        <v>0</v>
      </c>
      <c r="D554" s="153">
        <f t="shared" ca="1" si="974"/>
        <v>0</v>
      </c>
      <c r="E554" s="153">
        <f t="shared" ca="1" si="975"/>
        <v>0</v>
      </c>
      <c r="F554" s="153">
        <f t="shared" ca="1" si="976"/>
        <v>0</v>
      </c>
      <c r="G554" s="153">
        <f t="shared" ca="1" si="977"/>
        <v>0</v>
      </c>
      <c r="H554" s="39">
        <f t="shared" ca="1" si="978"/>
        <v>0</v>
      </c>
      <c r="I554" s="39">
        <f t="shared" ca="1" si="979"/>
        <v>200</v>
      </c>
      <c r="J554" s="39">
        <f t="shared" ca="1" si="980"/>
        <v>0</v>
      </c>
      <c r="K554" s="39">
        <f t="shared" ca="1" si="981"/>
        <v>70.72</v>
      </c>
      <c r="L554" s="39">
        <f t="shared" ca="1" si="982"/>
        <v>143.68</v>
      </c>
      <c r="M554" s="39">
        <f t="shared" ca="1" si="984"/>
        <v>414.40000000000003</v>
      </c>
      <c r="O554" s="38"/>
    </row>
    <row r="555" spans="2:15">
      <c r="B555" s="1048">
        <f t="shared" ca="1" si="983"/>
        <v>52852</v>
      </c>
      <c r="C555" s="153">
        <f t="shared" ca="1" si="973"/>
        <v>0</v>
      </c>
      <c r="D555" s="153">
        <f t="shared" ca="1" si="974"/>
        <v>0</v>
      </c>
      <c r="E555" s="153">
        <f t="shared" ca="1" si="975"/>
        <v>0</v>
      </c>
      <c r="F555" s="153">
        <f t="shared" ca="1" si="976"/>
        <v>0</v>
      </c>
      <c r="G555" s="153">
        <f t="shared" ca="1" si="977"/>
        <v>0</v>
      </c>
      <c r="H555" s="39">
        <f t="shared" ca="1" si="978"/>
        <v>0</v>
      </c>
      <c r="I555" s="39">
        <f t="shared" ca="1" si="979"/>
        <v>0</v>
      </c>
      <c r="J555" s="39">
        <f t="shared" ca="1" si="980"/>
        <v>0</v>
      </c>
      <c r="K555" s="39">
        <f t="shared" ca="1" si="981"/>
        <v>35.36</v>
      </c>
      <c r="L555" s="39">
        <f t="shared" ca="1" si="982"/>
        <v>179.60000000000002</v>
      </c>
      <c r="M555" s="39">
        <f t="shared" ca="1" si="984"/>
        <v>214.96000000000004</v>
      </c>
      <c r="O555" s="38"/>
    </row>
    <row r="556" spans="2:15">
      <c r="B556" s="1048">
        <f t="shared" ca="1" si="983"/>
        <v>52882</v>
      </c>
      <c r="C556" s="153">
        <f t="shared" ca="1" si="973"/>
        <v>0</v>
      </c>
      <c r="D556" s="153">
        <f t="shared" ca="1" si="974"/>
        <v>0</v>
      </c>
      <c r="E556" s="153">
        <f t="shared" ca="1" si="975"/>
        <v>0</v>
      </c>
      <c r="F556" s="153">
        <f t="shared" ca="1" si="976"/>
        <v>0</v>
      </c>
      <c r="G556" s="153">
        <f t="shared" ca="1" si="977"/>
        <v>0</v>
      </c>
      <c r="H556" s="39">
        <f t="shared" ca="1" si="978"/>
        <v>0</v>
      </c>
      <c r="I556" s="39">
        <f t="shared" ca="1" si="979"/>
        <v>0</v>
      </c>
      <c r="J556" s="39">
        <f t="shared" ca="1" si="980"/>
        <v>0</v>
      </c>
      <c r="K556" s="39">
        <f t="shared" ca="1" si="981"/>
        <v>35.11</v>
      </c>
      <c r="L556" s="39">
        <f t="shared" ca="1" si="982"/>
        <v>142.24</v>
      </c>
      <c r="M556" s="39">
        <f t="shared" ca="1" si="984"/>
        <v>177.35000000000002</v>
      </c>
      <c r="O556" s="38"/>
    </row>
    <row r="557" spans="2:15">
      <c r="B557" s="1048">
        <f t="shared" ca="1" si="983"/>
        <v>52912</v>
      </c>
      <c r="C557" s="153">
        <f t="shared" ca="1" si="973"/>
        <v>0</v>
      </c>
      <c r="D557" s="153">
        <f t="shared" ca="1" si="974"/>
        <v>0</v>
      </c>
      <c r="E557" s="153">
        <f t="shared" ca="1" si="975"/>
        <v>0</v>
      </c>
      <c r="F557" s="153">
        <f t="shared" ca="1" si="976"/>
        <v>0</v>
      </c>
      <c r="G557" s="153">
        <f t="shared" ca="1" si="977"/>
        <v>0</v>
      </c>
      <c r="H557" s="39">
        <f t="shared" ca="1" si="978"/>
        <v>0</v>
      </c>
      <c r="I557" s="39">
        <f t="shared" ca="1" si="979"/>
        <v>300</v>
      </c>
      <c r="J557" s="39">
        <f t="shared" ca="1" si="980"/>
        <v>0</v>
      </c>
      <c r="K557" s="39">
        <f t="shared" ca="1" si="981"/>
        <v>35.11</v>
      </c>
      <c r="L557" s="39">
        <f t="shared" ca="1" si="982"/>
        <v>193.04000000000002</v>
      </c>
      <c r="M557" s="39">
        <f t="shared" ca="1" si="984"/>
        <v>528.15000000000009</v>
      </c>
      <c r="O557" s="38"/>
    </row>
    <row r="558" spans="2:15">
      <c r="B558" s="1048">
        <f t="shared" ca="1" si="983"/>
        <v>52942</v>
      </c>
      <c r="C558" s="153">
        <f t="shared" ca="1" si="973"/>
        <v>0</v>
      </c>
      <c r="D558" s="153">
        <f t="shared" ca="1" si="974"/>
        <v>0</v>
      </c>
      <c r="E558" s="153">
        <f t="shared" ca="1" si="975"/>
        <v>0</v>
      </c>
      <c r="F558" s="153">
        <f t="shared" ca="1" si="976"/>
        <v>0</v>
      </c>
      <c r="G558" s="153">
        <f t="shared" ca="1" si="977"/>
        <v>0</v>
      </c>
      <c r="H558" s="39">
        <f t="shared" ca="1" si="978"/>
        <v>0</v>
      </c>
      <c r="I558" s="39">
        <f t="shared" ca="1" si="979"/>
        <v>0</v>
      </c>
      <c r="J558" s="39">
        <f t="shared" ca="1" si="980"/>
        <v>0</v>
      </c>
      <c r="K558" s="39">
        <f t="shared" ca="1" si="981"/>
        <v>40.1</v>
      </c>
      <c r="L558" s="39">
        <f t="shared" ca="1" si="982"/>
        <v>203.1</v>
      </c>
      <c r="M558" s="39">
        <f t="shared" ca="1" si="984"/>
        <v>243.2</v>
      </c>
      <c r="O558" s="38"/>
    </row>
    <row r="559" spans="2:15">
      <c r="B559" s="1048">
        <f t="shared" ca="1" si="983"/>
        <v>52972</v>
      </c>
      <c r="C559" s="153">
        <f t="shared" ca="1" si="973"/>
        <v>0</v>
      </c>
      <c r="D559" s="153">
        <f t="shared" ca="1" si="974"/>
        <v>0</v>
      </c>
      <c r="E559" s="153">
        <f t="shared" ca="1" si="975"/>
        <v>0</v>
      </c>
      <c r="F559" s="153">
        <f t="shared" ca="1" si="976"/>
        <v>0</v>
      </c>
      <c r="G559" s="153">
        <f t="shared" ca="1" si="977"/>
        <v>0</v>
      </c>
      <c r="H559" s="39">
        <f t="shared" ca="1" si="978"/>
        <v>0</v>
      </c>
      <c r="I559" s="39">
        <f t="shared" ca="1" si="979"/>
        <v>0</v>
      </c>
      <c r="J559" s="39">
        <f t="shared" ca="1" si="980"/>
        <v>0</v>
      </c>
      <c r="K559" s="39">
        <f t="shared" ca="1" si="981"/>
        <v>40.1</v>
      </c>
      <c r="L559" s="39">
        <f t="shared" ca="1" si="982"/>
        <v>162.47999999999999</v>
      </c>
      <c r="M559" s="39">
        <f t="shared" ca="1" si="984"/>
        <v>202.57999999999998</v>
      </c>
      <c r="O559" s="38"/>
    </row>
    <row r="560" spans="2:15">
      <c r="B560" s="1048">
        <f t="shared" ca="1" si="983"/>
        <v>53002</v>
      </c>
      <c r="C560" s="153">
        <f t="shared" ca="1" si="973"/>
        <v>0</v>
      </c>
      <c r="D560" s="153">
        <f t="shared" ca="1" si="974"/>
        <v>0</v>
      </c>
      <c r="E560" s="153">
        <f t="shared" ca="1" si="975"/>
        <v>0</v>
      </c>
      <c r="F560" s="153">
        <f t="shared" ca="1" si="976"/>
        <v>0</v>
      </c>
      <c r="G560" s="153">
        <f t="shared" ca="1" si="977"/>
        <v>0</v>
      </c>
      <c r="H560" s="39">
        <f t="shared" ca="1" si="978"/>
        <v>0</v>
      </c>
      <c r="I560" s="39">
        <f t="shared" ca="1" si="979"/>
        <v>500</v>
      </c>
      <c r="J560" s="39">
        <f t="shared" ca="1" si="980"/>
        <v>400</v>
      </c>
      <c r="K560" s="39">
        <f t="shared" ca="1" si="981"/>
        <v>40.1</v>
      </c>
      <c r="L560" s="39">
        <f t="shared" ca="1" si="982"/>
        <v>162.47999999999999</v>
      </c>
      <c r="M560" s="39">
        <f t="shared" ca="1" si="984"/>
        <v>1102.58</v>
      </c>
      <c r="O560" s="38"/>
    </row>
    <row r="561" spans="2:15">
      <c r="B561" s="1048">
        <f t="shared" ca="1" si="983"/>
        <v>53032</v>
      </c>
      <c r="C561" s="153">
        <f t="shared" ca="1" si="973"/>
        <v>0</v>
      </c>
      <c r="D561" s="153">
        <f t="shared" ca="1" si="974"/>
        <v>0</v>
      </c>
      <c r="E561" s="153">
        <f t="shared" ca="1" si="975"/>
        <v>0</v>
      </c>
      <c r="F561" s="153">
        <f t="shared" ca="1" si="976"/>
        <v>0</v>
      </c>
      <c r="G561" s="153">
        <f t="shared" ca="1" si="977"/>
        <v>0</v>
      </c>
      <c r="H561" s="39">
        <f t="shared" ca="1" si="978"/>
        <v>0</v>
      </c>
      <c r="I561" s="39">
        <f t="shared" ca="1" si="979"/>
        <v>0</v>
      </c>
      <c r="J561" s="39">
        <f t="shared" ca="1" si="980"/>
        <v>0</v>
      </c>
      <c r="K561" s="39">
        <f t="shared" ca="1" si="981"/>
        <v>40.1</v>
      </c>
      <c r="L561" s="39">
        <f t="shared" ca="1" si="982"/>
        <v>203.05</v>
      </c>
      <c r="M561" s="39">
        <f t="shared" ca="1" si="984"/>
        <v>243.15</v>
      </c>
      <c r="O561" s="38"/>
    </row>
    <row r="562" spans="2:15">
      <c r="B562" s="1048">
        <f t="shared" ca="1" si="983"/>
        <v>53062</v>
      </c>
      <c r="C562" s="153">
        <f t="shared" ca="1" si="973"/>
        <v>0</v>
      </c>
      <c r="D562" s="153">
        <f t="shared" ca="1" si="974"/>
        <v>0</v>
      </c>
      <c r="E562" s="153">
        <f t="shared" ca="1" si="975"/>
        <v>0</v>
      </c>
      <c r="F562" s="153">
        <f t="shared" ca="1" si="976"/>
        <v>0</v>
      </c>
      <c r="G562" s="153">
        <f t="shared" ca="1" si="977"/>
        <v>0</v>
      </c>
      <c r="H562" s="39">
        <f t="shared" ca="1" si="978"/>
        <v>0</v>
      </c>
      <c r="I562" s="39">
        <f t="shared" ca="1" si="979"/>
        <v>0</v>
      </c>
      <c r="J562" s="39">
        <f t="shared" ca="1" si="980"/>
        <v>0</v>
      </c>
      <c r="K562" s="39">
        <f t="shared" ca="1" si="981"/>
        <v>40.19</v>
      </c>
      <c r="L562" s="39">
        <f t="shared" ca="1" si="982"/>
        <v>161.36000000000001</v>
      </c>
      <c r="M562" s="39">
        <f t="shared" ca="1" si="984"/>
        <v>201.55</v>
      </c>
      <c r="O562" s="38"/>
    </row>
    <row r="563" spans="2:15">
      <c r="B563" s="1048">
        <f t="shared" ca="1" si="983"/>
        <v>53092</v>
      </c>
      <c r="C563" s="153">
        <f t="shared" ca="1" si="973"/>
        <v>0</v>
      </c>
      <c r="D563" s="153">
        <f t="shared" ca="1" si="974"/>
        <v>0</v>
      </c>
      <c r="E563" s="153">
        <f t="shared" ca="1" si="975"/>
        <v>0</v>
      </c>
      <c r="F563" s="153">
        <f t="shared" ca="1" si="976"/>
        <v>0</v>
      </c>
      <c r="G563" s="153">
        <f t="shared" ca="1" si="977"/>
        <v>0</v>
      </c>
      <c r="H563" s="39">
        <f t="shared" ca="1" si="978"/>
        <v>0</v>
      </c>
      <c r="I563" s="39">
        <f t="shared" ca="1" si="979"/>
        <v>600</v>
      </c>
      <c r="J563" s="39">
        <f t="shared" ca="1" si="980"/>
        <v>0</v>
      </c>
      <c r="K563" s="39">
        <f t="shared" ca="1" si="981"/>
        <v>40.19</v>
      </c>
      <c r="L563" s="39">
        <f t="shared" ca="1" si="982"/>
        <v>161.36000000000001</v>
      </c>
      <c r="M563" s="39">
        <f t="shared" ca="1" si="984"/>
        <v>801.55000000000007</v>
      </c>
      <c r="O563" s="38"/>
    </row>
    <row r="564" spans="2:15">
      <c r="B564" s="1048">
        <f t="shared" ca="1" si="983"/>
        <v>53122</v>
      </c>
      <c r="C564" s="153">
        <f t="shared" ca="1" si="973"/>
        <v>0</v>
      </c>
      <c r="D564" s="153">
        <f t="shared" ca="1" si="974"/>
        <v>0</v>
      </c>
      <c r="E564" s="153">
        <f t="shared" ca="1" si="975"/>
        <v>0</v>
      </c>
      <c r="F564" s="153">
        <f t="shared" ca="1" si="976"/>
        <v>0</v>
      </c>
      <c r="G564" s="153">
        <f t="shared" ca="1" si="977"/>
        <v>0</v>
      </c>
      <c r="H564" s="39">
        <f t="shared" ca="1" si="978"/>
        <v>0</v>
      </c>
      <c r="I564" s="39">
        <f t="shared" ca="1" si="979"/>
        <v>0</v>
      </c>
      <c r="J564" s="39">
        <f t="shared" ca="1" si="980"/>
        <v>0</v>
      </c>
      <c r="K564" s="39">
        <f t="shared" ca="1" si="981"/>
        <v>40.159999999999997</v>
      </c>
      <c r="L564" s="39">
        <f t="shared" ca="1" si="982"/>
        <v>201.6</v>
      </c>
      <c r="M564" s="39">
        <f t="shared" ca="1" si="984"/>
        <v>241.76</v>
      </c>
      <c r="O564" s="38"/>
    </row>
    <row r="565" spans="2:15">
      <c r="B565" s="1048">
        <f t="shared" ca="1" si="983"/>
        <v>53152</v>
      </c>
      <c r="C565" s="153">
        <f t="shared" ca="1" si="973"/>
        <v>0</v>
      </c>
      <c r="D565" s="153">
        <f t="shared" ca="1" si="974"/>
        <v>0</v>
      </c>
      <c r="E565" s="153">
        <f t="shared" ca="1" si="975"/>
        <v>0</v>
      </c>
      <c r="F565" s="153">
        <f t="shared" ca="1" si="976"/>
        <v>0</v>
      </c>
      <c r="G565" s="153">
        <f t="shared" ca="1" si="977"/>
        <v>0</v>
      </c>
      <c r="H565" s="39">
        <f t="shared" ca="1" si="978"/>
        <v>0</v>
      </c>
      <c r="I565" s="39">
        <f t="shared" ca="1" si="979"/>
        <v>0</v>
      </c>
      <c r="J565" s="39">
        <f t="shared" ca="1" si="980"/>
        <v>0</v>
      </c>
      <c r="K565" s="39">
        <f t="shared" ca="1" si="981"/>
        <v>90.36</v>
      </c>
      <c r="L565" s="39">
        <f t="shared" ca="1" si="982"/>
        <v>161.28</v>
      </c>
      <c r="M565" s="39">
        <f t="shared" ca="1" si="984"/>
        <v>251.64</v>
      </c>
      <c r="O565" s="38"/>
    </row>
    <row r="566" spans="2:15">
      <c r="B566" s="1048">
        <f t="shared" ca="1" si="983"/>
        <v>53182</v>
      </c>
      <c r="C566" s="153">
        <f t="shared" ca="1" si="973"/>
        <v>0</v>
      </c>
      <c r="D566" s="153">
        <f t="shared" ca="1" si="974"/>
        <v>0</v>
      </c>
      <c r="E566" s="153">
        <f t="shared" ca="1" si="975"/>
        <v>0</v>
      </c>
      <c r="F566" s="153">
        <f t="shared" ca="1" si="976"/>
        <v>0</v>
      </c>
      <c r="G566" s="153">
        <f t="shared" ca="1" si="977"/>
        <v>0</v>
      </c>
      <c r="H566" s="39">
        <f t="shared" ca="1" si="978"/>
        <v>0</v>
      </c>
      <c r="I566" s="39">
        <f t="shared" ca="1" si="979"/>
        <v>400</v>
      </c>
      <c r="J566" s="39">
        <f t="shared" ca="1" si="980"/>
        <v>0</v>
      </c>
      <c r="K566" s="39">
        <f t="shared" ca="1" si="981"/>
        <v>40.159999999999997</v>
      </c>
      <c r="L566" s="39">
        <f t="shared" ca="1" si="982"/>
        <v>161.28</v>
      </c>
      <c r="M566" s="39">
        <f t="shared" ca="1" si="984"/>
        <v>601.43999999999994</v>
      </c>
      <c r="O566" s="38"/>
    </row>
    <row r="567" spans="2:15">
      <c r="B567" s="1048">
        <f t="shared" ca="1" si="983"/>
        <v>53212</v>
      </c>
      <c r="C567" s="153">
        <f t="shared" ca="1" si="973"/>
        <v>0</v>
      </c>
      <c r="D567" s="153">
        <f t="shared" ca="1" si="974"/>
        <v>0</v>
      </c>
      <c r="E567" s="153">
        <f t="shared" ca="1" si="975"/>
        <v>0</v>
      </c>
      <c r="F567" s="153">
        <f t="shared" ca="1" si="976"/>
        <v>0</v>
      </c>
      <c r="G567" s="153">
        <f t="shared" ca="1" si="977"/>
        <v>0</v>
      </c>
      <c r="H567" s="39">
        <f t="shared" ca="1" si="978"/>
        <v>0</v>
      </c>
      <c r="I567" s="39">
        <f t="shared" ca="1" si="979"/>
        <v>0</v>
      </c>
      <c r="J567" s="39">
        <f t="shared" ca="1" si="980"/>
        <v>0</v>
      </c>
      <c r="K567" s="39">
        <f t="shared" ca="1" si="981"/>
        <v>40.130000000000003</v>
      </c>
      <c r="L567" s="39">
        <f t="shared" ca="1" si="982"/>
        <v>201.5</v>
      </c>
      <c r="M567" s="39">
        <f t="shared" ca="1" si="984"/>
        <v>241.63</v>
      </c>
      <c r="O567" s="38"/>
    </row>
    <row r="568" spans="2:15">
      <c r="B568" s="1048">
        <f t="shared" ca="1" si="983"/>
        <v>53242</v>
      </c>
      <c r="C568" s="153">
        <f t="shared" ca="1" si="973"/>
        <v>0</v>
      </c>
      <c r="D568" s="153">
        <f t="shared" ca="1" si="974"/>
        <v>0</v>
      </c>
      <c r="E568" s="153">
        <f t="shared" ca="1" si="975"/>
        <v>0</v>
      </c>
      <c r="F568" s="153">
        <f t="shared" ca="1" si="976"/>
        <v>0</v>
      </c>
      <c r="G568" s="153">
        <f t="shared" ca="1" si="977"/>
        <v>0</v>
      </c>
      <c r="H568" s="39">
        <f t="shared" ca="1" si="978"/>
        <v>0</v>
      </c>
      <c r="I568" s="39">
        <f t="shared" ca="1" si="979"/>
        <v>0</v>
      </c>
      <c r="J568" s="39">
        <f t="shared" ca="1" si="980"/>
        <v>0</v>
      </c>
      <c r="K568" s="39">
        <f t="shared" ca="1" si="981"/>
        <v>40.06</v>
      </c>
      <c r="L568" s="39">
        <f t="shared" ca="1" si="982"/>
        <v>161.52000000000001</v>
      </c>
      <c r="M568" s="39">
        <f t="shared" ca="1" si="984"/>
        <v>201.58</v>
      </c>
      <c r="O568" s="38"/>
    </row>
    <row r="569" spans="2:15">
      <c r="B569" s="1048">
        <f t="shared" ca="1" si="983"/>
        <v>53272</v>
      </c>
      <c r="C569" s="153">
        <f t="shared" ca="1" si="973"/>
        <v>0</v>
      </c>
      <c r="D569" s="153">
        <f t="shared" ca="1" si="974"/>
        <v>0</v>
      </c>
      <c r="E569" s="153">
        <f t="shared" ca="1" si="975"/>
        <v>0</v>
      </c>
      <c r="F569" s="153">
        <f t="shared" ca="1" si="976"/>
        <v>0</v>
      </c>
      <c r="G569" s="153">
        <f t="shared" ca="1" si="977"/>
        <v>0</v>
      </c>
      <c r="H569" s="39">
        <f t="shared" ca="1" si="978"/>
        <v>0</v>
      </c>
      <c r="I569" s="39">
        <f t="shared" ca="1" si="979"/>
        <v>300</v>
      </c>
      <c r="J569" s="39">
        <f t="shared" ca="1" si="980"/>
        <v>0</v>
      </c>
      <c r="K569" s="39">
        <f t="shared" ca="1" si="981"/>
        <v>40.06</v>
      </c>
      <c r="L569" s="39">
        <f t="shared" ca="1" si="982"/>
        <v>302.86</v>
      </c>
      <c r="M569" s="39">
        <f t="shared" ca="1" si="984"/>
        <v>642.92000000000007</v>
      </c>
      <c r="O569" s="38"/>
    </row>
    <row r="570" spans="2:15">
      <c r="B570" s="1048">
        <f t="shared" ca="1" si="983"/>
        <v>53302</v>
      </c>
      <c r="C570" s="153">
        <f t="shared" ca="1" si="973"/>
        <v>0</v>
      </c>
      <c r="D570" s="153">
        <f t="shared" ca="1" si="974"/>
        <v>0</v>
      </c>
      <c r="E570" s="153">
        <f t="shared" ca="1" si="975"/>
        <v>0</v>
      </c>
      <c r="F570" s="153">
        <f t="shared" ca="1" si="976"/>
        <v>0</v>
      </c>
      <c r="G570" s="153">
        <f t="shared" ca="1" si="977"/>
        <v>0</v>
      </c>
      <c r="H570" s="39">
        <f t="shared" ca="1" si="978"/>
        <v>0</v>
      </c>
      <c r="I570" s="39">
        <f t="shared" ca="1" si="979"/>
        <v>0</v>
      </c>
      <c r="J570" s="39">
        <f t="shared" ca="1" si="980"/>
        <v>0</v>
      </c>
      <c r="K570" s="39">
        <f t="shared" ca="1" si="981"/>
        <v>60.05</v>
      </c>
      <c r="L570" s="39">
        <f t="shared" ca="1" si="982"/>
        <v>302.75</v>
      </c>
      <c r="M570" s="39">
        <f t="shared" ca="1" si="984"/>
        <v>362.8</v>
      </c>
      <c r="O570" s="38"/>
    </row>
    <row r="571" spans="2:15">
      <c r="B571" s="1048">
        <f t="shared" ca="1" si="983"/>
        <v>53332</v>
      </c>
      <c r="C571" s="153">
        <f t="shared" ca="1" si="973"/>
        <v>0</v>
      </c>
      <c r="D571" s="153">
        <f t="shared" ca="1" si="974"/>
        <v>0</v>
      </c>
      <c r="E571" s="153">
        <f t="shared" ca="1" si="975"/>
        <v>0</v>
      </c>
      <c r="F571" s="153">
        <f t="shared" ca="1" si="976"/>
        <v>0</v>
      </c>
      <c r="G571" s="153">
        <f t="shared" ca="1" si="977"/>
        <v>0</v>
      </c>
      <c r="H571" s="39">
        <f t="shared" ca="1" si="978"/>
        <v>0</v>
      </c>
      <c r="I571" s="39">
        <f t="shared" ca="1" si="979"/>
        <v>0</v>
      </c>
      <c r="J571" s="39">
        <f t="shared" ca="1" si="980"/>
        <v>0</v>
      </c>
      <c r="K571" s="39">
        <f t="shared" ca="1" si="981"/>
        <v>60.05</v>
      </c>
      <c r="L571" s="39">
        <f t="shared" ca="1" si="982"/>
        <v>242.2</v>
      </c>
      <c r="M571" s="39">
        <f t="shared" ca="1" si="984"/>
        <v>302.25</v>
      </c>
      <c r="O571" s="38"/>
    </row>
    <row r="572" spans="2:15">
      <c r="B572" s="1048">
        <f t="shared" ca="1" si="983"/>
        <v>53362</v>
      </c>
      <c r="C572" s="153">
        <f t="shared" ca="1" si="973"/>
        <v>0</v>
      </c>
      <c r="D572" s="153">
        <f t="shared" ca="1" si="974"/>
        <v>0</v>
      </c>
      <c r="E572" s="153">
        <f t="shared" ca="1" si="975"/>
        <v>0</v>
      </c>
      <c r="F572" s="153">
        <f t="shared" ca="1" si="976"/>
        <v>0</v>
      </c>
      <c r="G572" s="153">
        <f t="shared" ca="1" si="977"/>
        <v>0</v>
      </c>
      <c r="H572" s="39">
        <f t="shared" ca="1" si="978"/>
        <v>0</v>
      </c>
      <c r="I572" s="39">
        <f t="shared" ca="1" si="979"/>
        <v>500</v>
      </c>
      <c r="J572" s="39">
        <f t="shared" ca="1" si="980"/>
        <v>500</v>
      </c>
      <c r="K572" s="39">
        <f t="shared" ca="1" si="981"/>
        <v>60.05</v>
      </c>
      <c r="L572" s="39">
        <f t="shared" ca="1" si="982"/>
        <v>242.12</v>
      </c>
      <c r="M572" s="39">
        <f t="shared" ca="1" si="984"/>
        <v>1302.17</v>
      </c>
      <c r="O572" s="38"/>
    </row>
    <row r="573" spans="2:15">
      <c r="B573" s="1048">
        <f t="shared" ca="1" si="983"/>
        <v>53392</v>
      </c>
      <c r="C573" s="153">
        <f t="shared" ca="1" si="973"/>
        <v>0</v>
      </c>
      <c r="D573" s="153">
        <f t="shared" ca="1" si="974"/>
        <v>0</v>
      </c>
      <c r="E573" s="153">
        <f t="shared" ca="1" si="975"/>
        <v>0</v>
      </c>
      <c r="F573" s="153">
        <f t="shared" ca="1" si="976"/>
        <v>0</v>
      </c>
      <c r="G573" s="153">
        <f t="shared" ca="1" si="977"/>
        <v>0</v>
      </c>
      <c r="H573" s="39">
        <f t="shared" ca="1" si="978"/>
        <v>0</v>
      </c>
      <c r="I573" s="39">
        <f t="shared" ca="1" si="979"/>
        <v>0</v>
      </c>
      <c r="J573" s="39">
        <f t="shared" ca="1" si="980"/>
        <v>0</v>
      </c>
      <c r="K573" s="39">
        <f t="shared" ca="1" si="981"/>
        <v>60.05</v>
      </c>
      <c r="L573" s="39">
        <f t="shared" ca="1" si="982"/>
        <v>302.64999999999998</v>
      </c>
      <c r="M573" s="39">
        <f t="shared" ca="1" si="984"/>
        <v>362.7</v>
      </c>
      <c r="O573" s="38"/>
    </row>
    <row r="574" spans="2:15">
      <c r="B574" s="1048">
        <f t="shared" ca="1" si="983"/>
        <v>53422</v>
      </c>
      <c r="C574" s="153">
        <f t="shared" ca="1" si="973"/>
        <v>0</v>
      </c>
      <c r="D574" s="153">
        <f t="shared" ca="1" si="974"/>
        <v>0</v>
      </c>
      <c r="E574" s="153">
        <f t="shared" ca="1" si="975"/>
        <v>0</v>
      </c>
      <c r="F574" s="153">
        <f t="shared" ca="1" si="976"/>
        <v>0</v>
      </c>
      <c r="G574" s="153">
        <f t="shared" ca="1" si="977"/>
        <v>0</v>
      </c>
      <c r="H574" s="39">
        <f t="shared" ca="1" si="978"/>
        <v>0</v>
      </c>
      <c r="I574" s="39">
        <f t="shared" ca="1" si="979"/>
        <v>0</v>
      </c>
      <c r="J574" s="39">
        <f t="shared" ca="1" si="980"/>
        <v>0</v>
      </c>
      <c r="K574" s="39">
        <f t="shared" ca="1" si="981"/>
        <v>60.05</v>
      </c>
      <c r="L574" s="39">
        <f t="shared" ca="1" si="982"/>
        <v>240.28</v>
      </c>
      <c r="M574" s="39">
        <f t="shared" ca="1" si="984"/>
        <v>300.33</v>
      </c>
      <c r="O574" s="38"/>
    </row>
    <row r="575" spans="2:15">
      <c r="B575" s="1048">
        <f t="shared" ca="1" si="983"/>
        <v>53452</v>
      </c>
      <c r="C575" s="153">
        <f t="shared" ca="1" si="973"/>
        <v>0</v>
      </c>
      <c r="D575" s="153">
        <f t="shared" ca="1" si="974"/>
        <v>0</v>
      </c>
      <c r="E575" s="153">
        <f t="shared" ca="1" si="975"/>
        <v>0</v>
      </c>
      <c r="F575" s="153">
        <f t="shared" ca="1" si="976"/>
        <v>0</v>
      </c>
      <c r="G575" s="153">
        <f t="shared" ca="1" si="977"/>
        <v>0</v>
      </c>
      <c r="H575" s="39">
        <f t="shared" ca="1" si="978"/>
        <v>0</v>
      </c>
      <c r="I575" s="39">
        <f t="shared" ca="1" si="979"/>
        <v>400</v>
      </c>
      <c r="J575" s="39">
        <f t="shared" ca="1" si="980"/>
        <v>0</v>
      </c>
      <c r="K575" s="39">
        <f t="shared" ca="1" si="981"/>
        <v>60.05</v>
      </c>
      <c r="L575" s="39">
        <f t="shared" ca="1" si="982"/>
        <v>340.4</v>
      </c>
      <c r="M575" s="39">
        <f t="shared" ca="1" si="984"/>
        <v>800.45</v>
      </c>
      <c r="O575" s="38"/>
    </row>
    <row r="576" spans="2:15">
      <c r="B576" s="1048">
        <f t="shared" ca="1" si="983"/>
        <v>53482</v>
      </c>
      <c r="C576" s="153">
        <f t="shared" ca="1" si="973"/>
        <v>0</v>
      </c>
      <c r="D576" s="153">
        <f t="shared" ca="1" si="974"/>
        <v>0</v>
      </c>
      <c r="E576" s="153">
        <f t="shared" ca="1" si="975"/>
        <v>0</v>
      </c>
      <c r="F576" s="153">
        <f t="shared" ca="1" si="976"/>
        <v>0</v>
      </c>
      <c r="G576" s="153">
        <f t="shared" ca="1" si="977"/>
        <v>0</v>
      </c>
      <c r="H576" s="39">
        <f t="shared" ca="1" si="978"/>
        <v>0</v>
      </c>
      <c r="I576" s="39">
        <f t="shared" ca="1" si="979"/>
        <v>0</v>
      </c>
      <c r="J576" s="39">
        <f t="shared" ca="1" si="980"/>
        <v>0</v>
      </c>
      <c r="K576" s="39">
        <f t="shared" ca="1" si="981"/>
        <v>60</v>
      </c>
      <c r="L576" s="39">
        <f t="shared" ca="1" si="982"/>
        <v>300.25</v>
      </c>
      <c r="M576" s="39">
        <f t="shared" ca="1" si="984"/>
        <v>360.25</v>
      </c>
      <c r="O576" s="38"/>
    </row>
    <row r="577" spans="2:15">
      <c r="B577" s="1048">
        <f t="shared" ca="1" si="983"/>
        <v>53512</v>
      </c>
      <c r="C577" s="153">
        <f t="shared" ca="1" si="973"/>
        <v>0</v>
      </c>
      <c r="D577" s="153">
        <f t="shared" ca="1" si="974"/>
        <v>0</v>
      </c>
      <c r="E577" s="153">
        <f t="shared" ca="1" si="975"/>
        <v>0</v>
      </c>
      <c r="F577" s="153">
        <f t="shared" ca="1" si="976"/>
        <v>0</v>
      </c>
      <c r="G577" s="153">
        <f t="shared" ca="1" si="977"/>
        <v>0</v>
      </c>
      <c r="H577" s="39">
        <f t="shared" ca="1" si="978"/>
        <v>0</v>
      </c>
      <c r="I577" s="39">
        <f t="shared" ca="1" si="979"/>
        <v>0</v>
      </c>
      <c r="J577" s="39">
        <f t="shared" ca="1" si="980"/>
        <v>0</v>
      </c>
      <c r="K577" s="39">
        <f t="shared" ca="1" si="981"/>
        <v>110</v>
      </c>
      <c r="L577" s="39">
        <f t="shared" ca="1" si="982"/>
        <v>240.2</v>
      </c>
      <c r="M577" s="39">
        <f t="shared" ca="1" si="984"/>
        <v>350.2</v>
      </c>
      <c r="O577" s="38"/>
    </row>
    <row r="578" spans="2:15">
      <c r="B578" s="1048">
        <f t="shared" ca="1" si="983"/>
        <v>53542</v>
      </c>
      <c r="C578" s="153">
        <f t="shared" ca="1" si="973"/>
        <v>0</v>
      </c>
      <c r="D578" s="153">
        <f t="shared" ca="1" si="974"/>
        <v>0</v>
      </c>
      <c r="E578" s="153">
        <f t="shared" ca="1" si="975"/>
        <v>0</v>
      </c>
      <c r="F578" s="153">
        <f t="shared" ca="1" si="976"/>
        <v>0</v>
      </c>
      <c r="G578" s="153">
        <f t="shared" ca="1" si="977"/>
        <v>0</v>
      </c>
      <c r="H578" s="39">
        <f t="shared" ca="1" si="978"/>
        <v>0</v>
      </c>
      <c r="I578" s="39">
        <f t="shared" ca="1" si="979"/>
        <v>700</v>
      </c>
      <c r="J578" s="39">
        <f t="shared" ca="1" si="980"/>
        <v>0</v>
      </c>
      <c r="K578" s="39">
        <f t="shared" ca="1" si="981"/>
        <v>60</v>
      </c>
      <c r="L578" s="39">
        <f t="shared" ca="1" si="982"/>
        <v>300.10000000000002</v>
      </c>
      <c r="M578" s="39">
        <f t="shared" ca="1" si="984"/>
        <v>1060.0999999999999</v>
      </c>
      <c r="O578" s="38"/>
    </row>
    <row r="579" spans="2:15">
      <c r="B579" s="1048">
        <f t="shared" ca="1" si="983"/>
        <v>53572</v>
      </c>
      <c r="C579" s="153">
        <f t="shared" ca="1" si="973"/>
        <v>0</v>
      </c>
      <c r="D579" s="153">
        <f t="shared" ca="1" si="974"/>
        <v>0</v>
      </c>
      <c r="E579" s="153">
        <f t="shared" ca="1" si="975"/>
        <v>0</v>
      </c>
      <c r="F579" s="153">
        <f t="shared" ca="1" si="976"/>
        <v>0</v>
      </c>
      <c r="G579" s="153">
        <f t="shared" ca="1" si="977"/>
        <v>0</v>
      </c>
      <c r="H579" s="39">
        <f t="shared" ca="1" si="978"/>
        <v>0</v>
      </c>
      <c r="I579" s="39">
        <f t="shared" ca="1" si="979"/>
        <v>0</v>
      </c>
      <c r="J579" s="39">
        <f t="shared" ca="1" si="980"/>
        <v>0</v>
      </c>
      <c r="K579" s="39">
        <f t="shared" ca="1" si="981"/>
        <v>60</v>
      </c>
      <c r="L579" s="39">
        <f t="shared" ca="1" si="982"/>
        <v>240.08</v>
      </c>
      <c r="M579" s="39">
        <f t="shared" ca="1" si="984"/>
        <v>300.08000000000004</v>
      </c>
      <c r="O579" s="38"/>
    </row>
    <row r="580" spans="2:15">
      <c r="B580" s="1048">
        <f t="shared" ca="1" si="983"/>
        <v>53602</v>
      </c>
      <c r="C580" s="153">
        <f t="shared" ca="1" si="973"/>
        <v>0</v>
      </c>
      <c r="D580" s="153">
        <f t="shared" ca="1" si="974"/>
        <v>0</v>
      </c>
      <c r="E580" s="153">
        <f t="shared" ca="1" si="975"/>
        <v>0</v>
      </c>
      <c r="F580" s="153">
        <f t="shared" ca="1" si="976"/>
        <v>0</v>
      </c>
      <c r="G580" s="153">
        <f t="shared" ca="1" si="977"/>
        <v>0</v>
      </c>
      <c r="H580" s="39">
        <f t="shared" ca="1" si="978"/>
        <v>0</v>
      </c>
      <c r="I580" s="39">
        <f t="shared" ca="1" si="979"/>
        <v>0</v>
      </c>
      <c r="J580" s="39">
        <f t="shared" ca="1" si="980"/>
        <v>0</v>
      </c>
      <c r="K580" s="39">
        <f t="shared" ca="1" si="981"/>
        <v>0</v>
      </c>
      <c r="L580" s="39">
        <f t="shared" ca="1" si="982"/>
        <v>0</v>
      </c>
      <c r="M580" s="39">
        <f t="shared" ca="1" si="984"/>
        <v>0</v>
      </c>
      <c r="O580" s="38"/>
    </row>
    <row r="581" spans="2:15">
      <c r="B581" s="1048">
        <f t="shared" ca="1" si="983"/>
        <v>53632</v>
      </c>
      <c r="C581" s="153">
        <f t="shared" ca="1" si="973"/>
        <v>0</v>
      </c>
      <c r="D581" s="153">
        <f t="shared" ca="1" si="974"/>
        <v>0</v>
      </c>
      <c r="E581" s="153">
        <f t="shared" ca="1" si="975"/>
        <v>0</v>
      </c>
      <c r="F581" s="153">
        <f t="shared" ca="1" si="976"/>
        <v>0</v>
      </c>
      <c r="G581" s="153">
        <f t="shared" ca="1" si="977"/>
        <v>0</v>
      </c>
      <c r="H581" s="39">
        <f t="shared" ca="1" si="978"/>
        <v>0</v>
      </c>
      <c r="I581" s="39">
        <f t="shared" ca="1" si="979"/>
        <v>800</v>
      </c>
      <c r="J581" s="39">
        <f t="shared" ca="1" si="980"/>
        <v>0</v>
      </c>
      <c r="K581" s="39">
        <f t="shared" ca="1" si="981"/>
        <v>60</v>
      </c>
      <c r="L581" s="39">
        <f t="shared" ca="1" si="982"/>
        <v>240</v>
      </c>
      <c r="M581" s="39">
        <f t="shared" ca="1" si="984"/>
        <v>1100</v>
      </c>
      <c r="O581" s="38"/>
    </row>
    <row r="582" spans="2:15">
      <c r="B582" s="1048">
        <f t="shared" ca="1" si="983"/>
        <v>53662</v>
      </c>
      <c r="C582" s="153">
        <f t="shared" ca="1" si="973"/>
        <v>0</v>
      </c>
      <c r="D582" s="153">
        <f t="shared" ca="1" si="974"/>
        <v>0</v>
      </c>
      <c r="E582" s="153">
        <f t="shared" ca="1" si="975"/>
        <v>0</v>
      </c>
      <c r="F582" s="153">
        <f t="shared" ca="1" si="976"/>
        <v>0</v>
      </c>
      <c r="G582" s="153">
        <f t="shared" ca="1" si="977"/>
        <v>0</v>
      </c>
      <c r="H582" s="39">
        <f t="shared" ca="1" si="978"/>
        <v>0</v>
      </c>
      <c r="I582" s="39">
        <f t="shared" ca="1" si="979"/>
        <v>0</v>
      </c>
      <c r="J582" s="39">
        <f t="shared" ca="1" si="980"/>
        <v>0</v>
      </c>
      <c r="K582" s="39">
        <f t="shared" ca="1" si="981"/>
        <v>60</v>
      </c>
      <c r="L582" s="39">
        <f t="shared" ca="1" si="982"/>
        <v>300</v>
      </c>
      <c r="M582" s="39">
        <f t="shared" ca="1" si="984"/>
        <v>360</v>
      </c>
      <c r="O582" s="38"/>
    </row>
    <row r="583" spans="2:15">
      <c r="B583" s="1048">
        <f t="shared" ca="1" si="983"/>
        <v>53692</v>
      </c>
      <c r="C583" s="153">
        <f t="shared" ca="1" si="973"/>
        <v>0</v>
      </c>
      <c r="D583" s="153">
        <f t="shared" ca="1" si="974"/>
        <v>0</v>
      </c>
      <c r="E583" s="153">
        <f t="shared" ca="1" si="975"/>
        <v>0</v>
      </c>
      <c r="F583" s="153">
        <f t="shared" ca="1" si="976"/>
        <v>0</v>
      </c>
      <c r="G583" s="153">
        <f t="shared" ca="1" si="977"/>
        <v>0</v>
      </c>
      <c r="H583" s="39">
        <f t="shared" ca="1" si="978"/>
        <v>0</v>
      </c>
      <c r="I583" s="39">
        <f t="shared" ca="1" si="979"/>
        <v>0</v>
      </c>
      <c r="J583" s="39">
        <f t="shared" ca="1" si="980"/>
        <v>0</v>
      </c>
      <c r="K583" s="39">
        <f t="shared" ca="1" si="981"/>
        <v>70</v>
      </c>
      <c r="L583" s="39">
        <f t="shared" ca="1" si="982"/>
        <v>350</v>
      </c>
      <c r="M583" s="39">
        <f t="shared" ca="1" si="984"/>
        <v>420</v>
      </c>
      <c r="O583" s="38"/>
    </row>
    <row r="584" spans="2:15">
      <c r="B584" s="1048">
        <f t="shared" ca="1" si="983"/>
        <v>53722</v>
      </c>
      <c r="C584" s="153">
        <f t="shared" ca="1" si="973"/>
        <v>0</v>
      </c>
      <c r="D584" s="153">
        <f t="shared" ca="1" si="974"/>
        <v>0</v>
      </c>
      <c r="E584" s="153">
        <f t="shared" ca="1" si="975"/>
        <v>0</v>
      </c>
      <c r="F584" s="153">
        <f t="shared" ca="1" si="976"/>
        <v>0</v>
      </c>
      <c r="G584" s="153">
        <f t="shared" ca="1" si="977"/>
        <v>0</v>
      </c>
      <c r="H584" s="39">
        <f t="shared" ca="1" si="978"/>
        <v>0</v>
      </c>
      <c r="I584" s="39">
        <f t="shared" ca="1" si="979"/>
        <v>400</v>
      </c>
      <c r="J584" s="39">
        <f t="shared" ca="1" si="980"/>
        <v>100</v>
      </c>
      <c r="K584" s="39">
        <f t="shared" ca="1" si="981"/>
        <v>70</v>
      </c>
      <c r="L584" s="39">
        <f t="shared" ca="1" si="982"/>
        <v>280</v>
      </c>
      <c r="M584" s="39">
        <f t="shared" ca="1" si="984"/>
        <v>850</v>
      </c>
      <c r="O584" s="38"/>
    </row>
    <row r="585" spans="2:15">
      <c r="B585" s="1048">
        <f t="shared" ca="1" si="983"/>
        <v>53752</v>
      </c>
      <c r="C585" s="153">
        <f t="shared" ca="1" si="973"/>
        <v>0</v>
      </c>
      <c r="D585" s="153">
        <f t="shared" ca="1" si="974"/>
        <v>0</v>
      </c>
      <c r="E585" s="153">
        <f t="shared" ca="1" si="975"/>
        <v>0</v>
      </c>
      <c r="F585" s="153">
        <f t="shared" ca="1" si="976"/>
        <v>0</v>
      </c>
      <c r="G585" s="153">
        <f t="shared" ca="1" si="977"/>
        <v>0</v>
      </c>
      <c r="H585" s="39">
        <f t="shared" ca="1" si="978"/>
        <v>0</v>
      </c>
      <c r="I585" s="39">
        <f t="shared" ca="1" si="979"/>
        <v>0</v>
      </c>
      <c r="J585" s="39">
        <f t="shared" ca="1" si="980"/>
        <v>0</v>
      </c>
      <c r="K585" s="39">
        <f t="shared" ca="1" si="981"/>
        <v>0</v>
      </c>
      <c r="L585" s="39">
        <f t="shared" ca="1" si="982"/>
        <v>0</v>
      </c>
      <c r="M585" s="39">
        <f t="shared" ca="1" si="984"/>
        <v>0</v>
      </c>
      <c r="O585" s="38"/>
    </row>
    <row r="586" spans="2:15">
      <c r="B586" s="1048">
        <f t="shared" ca="1" si="983"/>
        <v>53782</v>
      </c>
      <c r="C586" s="153">
        <f t="shared" ca="1" si="973"/>
        <v>0</v>
      </c>
      <c r="D586" s="153">
        <f t="shared" ca="1" si="974"/>
        <v>0</v>
      </c>
      <c r="E586" s="153">
        <f t="shared" ca="1" si="975"/>
        <v>0</v>
      </c>
      <c r="F586" s="153">
        <f t="shared" ca="1" si="976"/>
        <v>0</v>
      </c>
      <c r="G586" s="153">
        <f t="shared" ca="1" si="977"/>
        <v>0</v>
      </c>
      <c r="H586" s="39">
        <f t="shared" ca="1" si="978"/>
        <v>0</v>
      </c>
      <c r="I586" s="39">
        <f t="shared" ca="1" si="979"/>
        <v>0</v>
      </c>
      <c r="J586" s="39">
        <f t="shared" ca="1" si="980"/>
        <v>0</v>
      </c>
      <c r="K586" s="39">
        <f t="shared" ca="1" si="981"/>
        <v>0</v>
      </c>
      <c r="L586" s="39">
        <f t="shared" ca="1" si="982"/>
        <v>0</v>
      </c>
      <c r="M586" s="39">
        <f t="shared" ca="1" si="984"/>
        <v>0</v>
      </c>
      <c r="O586" s="38"/>
    </row>
    <row r="587" spans="2:15">
      <c r="B587" s="1048">
        <f t="shared" ca="1" si="983"/>
        <v>53812</v>
      </c>
      <c r="C587" s="153">
        <f t="shared" ca="1" si="973"/>
        <v>0</v>
      </c>
      <c r="D587" s="153">
        <f t="shared" ca="1" si="974"/>
        <v>0</v>
      </c>
      <c r="E587" s="153">
        <f t="shared" ca="1" si="975"/>
        <v>0</v>
      </c>
      <c r="F587" s="153">
        <f t="shared" ca="1" si="976"/>
        <v>0</v>
      </c>
      <c r="G587" s="153">
        <f t="shared" ca="1" si="977"/>
        <v>0</v>
      </c>
      <c r="H587" s="39">
        <f t="shared" ca="1" si="978"/>
        <v>0</v>
      </c>
      <c r="I587" s="39">
        <f t="shared" ca="1" si="979"/>
        <v>0</v>
      </c>
      <c r="J587" s="39">
        <f t="shared" ca="1" si="980"/>
        <v>0</v>
      </c>
      <c r="K587" s="39">
        <f t="shared" ca="1" si="981"/>
        <v>0</v>
      </c>
      <c r="L587" s="39">
        <f t="shared" ca="1" si="982"/>
        <v>0</v>
      </c>
      <c r="M587" s="39">
        <f t="shared" ca="1" si="984"/>
        <v>0</v>
      </c>
      <c r="O587" s="38"/>
    </row>
    <row r="588" spans="2:15">
      <c r="B588" s="1048">
        <f t="shared" ca="1" si="983"/>
        <v>53842</v>
      </c>
      <c r="C588" s="153">
        <f t="shared" ca="1" si="973"/>
        <v>0</v>
      </c>
      <c r="D588" s="153">
        <f t="shared" ca="1" si="974"/>
        <v>0</v>
      </c>
      <c r="E588" s="153">
        <f t="shared" ca="1" si="975"/>
        <v>0</v>
      </c>
      <c r="F588" s="153">
        <f t="shared" ca="1" si="976"/>
        <v>0</v>
      </c>
      <c r="G588" s="153">
        <f t="shared" ca="1" si="977"/>
        <v>0</v>
      </c>
      <c r="H588" s="39">
        <f t="shared" ca="1" si="978"/>
        <v>0</v>
      </c>
      <c r="I588" s="39">
        <f t="shared" ca="1" si="979"/>
        <v>0</v>
      </c>
      <c r="J588" s="39">
        <f t="shared" ca="1" si="980"/>
        <v>0</v>
      </c>
      <c r="K588" s="39">
        <f t="shared" ca="1" si="981"/>
        <v>0</v>
      </c>
      <c r="L588" s="39">
        <f t="shared" ca="1" si="982"/>
        <v>0</v>
      </c>
      <c r="M588" s="39">
        <f t="shared" ca="1" si="984"/>
        <v>0</v>
      </c>
      <c r="O588" s="38"/>
    </row>
    <row r="589" spans="2:15">
      <c r="B589" s="1048">
        <f t="shared" ca="1" si="983"/>
        <v>53872</v>
      </c>
      <c r="C589" s="153">
        <f t="shared" ca="1" si="973"/>
        <v>0</v>
      </c>
      <c r="D589" s="153">
        <f t="shared" ca="1" si="974"/>
        <v>0</v>
      </c>
      <c r="E589" s="153">
        <f t="shared" ca="1" si="975"/>
        <v>0</v>
      </c>
      <c r="F589" s="153">
        <f t="shared" ca="1" si="976"/>
        <v>0</v>
      </c>
      <c r="G589" s="153">
        <f t="shared" ca="1" si="977"/>
        <v>0</v>
      </c>
      <c r="H589" s="39">
        <f t="shared" ca="1" si="978"/>
        <v>0</v>
      </c>
      <c r="I589" s="39">
        <f t="shared" ca="1" si="979"/>
        <v>0</v>
      </c>
      <c r="J589" s="39">
        <f t="shared" ca="1" si="980"/>
        <v>0</v>
      </c>
      <c r="K589" s="39">
        <f t="shared" ca="1" si="981"/>
        <v>0</v>
      </c>
      <c r="L589" s="39">
        <f t="shared" ca="1" si="982"/>
        <v>0</v>
      </c>
      <c r="M589" s="39">
        <f t="shared" ca="1" si="984"/>
        <v>0</v>
      </c>
      <c r="O589" s="38"/>
    </row>
    <row r="590" spans="2:15">
      <c r="B590" s="1048">
        <f t="shared" ca="1" si="983"/>
        <v>53902</v>
      </c>
      <c r="C590" s="153">
        <f t="shared" ca="1" si="973"/>
        <v>0</v>
      </c>
      <c r="D590" s="153">
        <f t="shared" ca="1" si="974"/>
        <v>0</v>
      </c>
      <c r="E590" s="153">
        <f t="shared" ca="1" si="975"/>
        <v>0</v>
      </c>
      <c r="F590" s="153">
        <f t="shared" ca="1" si="976"/>
        <v>0</v>
      </c>
      <c r="G590" s="153">
        <f t="shared" ca="1" si="977"/>
        <v>0</v>
      </c>
      <c r="H590" s="39">
        <f t="shared" ca="1" si="978"/>
        <v>0</v>
      </c>
      <c r="I590" s="39">
        <f t="shared" ca="1" si="979"/>
        <v>0</v>
      </c>
      <c r="J590" s="39">
        <f t="shared" ca="1" si="980"/>
        <v>0</v>
      </c>
      <c r="K590" s="39">
        <f t="shared" ca="1" si="981"/>
        <v>0</v>
      </c>
      <c r="L590" s="39">
        <f t="shared" ca="1" si="982"/>
        <v>0</v>
      </c>
      <c r="M590" s="39">
        <f t="shared" ca="1" si="984"/>
        <v>0</v>
      </c>
      <c r="O590" s="38"/>
    </row>
    <row r="591" spans="2:15">
      <c r="B591" s="1048">
        <f t="shared" ca="1" si="983"/>
        <v>53932</v>
      </c>
      <c r="C591" s="153">
        <f t="shared" ca="1" si="973"/>
        <v>0</v>
      </c>
      <c r="D591" s="153">
        <f t="shared" ca="1" si="974"/>
        <v>0</v>
      </c>
      <c r="E591" s="153">
        <f t="shared" ca="1" si="975"/>
        <v>0</v>
      </c>
      <c r="F591" s="153">
        <f t="shared" ca="1" si="976"/>
        <v>0</v>
      </c>
      <c r="G591" s="153">
        <f t="shared" ca="1" si="977"/>
        <v>0</v>
      </c>
      <c r="H591" s="39">
        <f t="shared" ca="1" si="978"/>
        <v>0</v>
      </c>
      <c r="I591" s="39">
        <f t="shared" ca="1" si="979"/>
        <v>0</v>
      </c>
      <c r="J591" s="39">
        <f t="shared" ca="1" si="980"/>
        <v>0</v>
      </c>
      <c r="K591" s="39">
        <f t="shared" ca="1" si="981"/>
        <v>0</v>
      </c>
      <c r="L591" s="39">
        <f t="shared" ca="1" si="982"/>
        <v>0</v>
      </c>
      <c r="M591" s="39">
        <f t="shared" ca="1" si="984"/>
        <v>0</v>
      </c>
      <c r="O591" s="38"/>
    </row>
    <row r="592" spans="2:15">
      <c r="B592" s="1048">
        <f t="shared" ca="1" si="983"/>
        <v>53962</v>
      </c>
      <c r="C592" s="153">
        <f t="shared" ca="1" si="973"/>
        <v>0</v>
      </c>
      <c r="D592" s="153">
        <f t="shared" ca="1" si="974"/>
        <v>0</v>
      </c>
      <c r="E592" s="153">
        <f t="shared" ca="1" si="975"/>
        <v>0</v>
      </c>
      <c r="F592" s="153">
        <f t="shared" ca="1" si="976"/>
        <v>0</v>
      </c>
      <c r="G592" s="153">
        <f t="shared" ca="1" si="977"/>
        <v>0</v>
      </c>
      <c r="H592" s="39">
        <f t="shared" ca="1" si="978"/>
        <v>0</v>
      </c>
      <c r="I592" s="39">
        <f t="shared" ca="1" si="979"/>
        <v>0</v>
      </c>
      <c r="J592" s="39">
        <f t="shared" ca="1" si="980"/>
        <v>0</v>
      </c>
      <c r="K592" s="39">
        <f t="shared" ca="1" si="981"/>
        <v>0</v>
      </c>
      <c r="L592" s="39">
        <f t="shared" ca="1" si="982"/>
        <v>0</v>
      </c>
      <c r="M592" s="39">
        <f t="shared" ca="1" si="984"/>
        <v>0</v>
      </c>
      <c r="O592" s="38"/>
    </row>
    <row r="593" spans="2:15">
      <c r="B593" s="1048">
        <f t="shared" ca="1" si="983"/>
        <v>53992</v>
      </c>
      <c r="C593" s="153">
        <f t="shared" ca="1" si="973"/>
        <v>0</v>
      </c>
      <c r="D593" s="153">
        <f t="shared" ca="1" si="974"/>
        <v>0</v>
      </c>
      <c r="E593" s="153">
        <f t="shared" ca="1" si="975"/>
        <v>0</v>
      </c>
      <c r="F593" s="153">
        <f t="shared" ca="1" si="976"/>
        <v>0</v>
      </c>
      <c r="G593" s="153">
        <f t="shared" ca="1" si="977"/>
        <v>0</v>
      </c>
      <c r="H593" s="39">
        <f t="shared" ca="1" si="978"/>
        <v>0</v>
      </c>
      <c r="I593" s="39">
        <f t="shared" ca="1" si="979"/>
        <v>0</v>
      </c>
      <c r="J593" s="39">
        <f t="shared" ca="1" si="980"/>
        <v>0</v>
      </c>
      <c r="K593" s="39">
        <f t="shared" ca="1" si="981"/>
        <v>0</v>
      </c>
      <c r="L593" s="39">
        <f t="shared" ca="1" si="982"/>
        <v>0</v>
      </c>
      <c r="M593" s="39">
        <f t="shared" ca="1" si="984"/>
        <v>0</v>
      </c>
      <c r="O593" s="38"/>
    </row>
    <row r="594" spans="2:15">
      <c r="B594" s="1048">
        <f t="shared" ca="1" si="983"/>
        <v>54022</v>
      </c>
      <c r="C594" s="153">
        <f t="shared" ca="1" si="973"/>
        <v>0</v>
      </c>
      <c r="D594" s="153">
        <f t="shared" ca="1" si="974"/>
        <v>0</v>
      </c>
      <c r="E594" s="153">
        <f t="shared" ca="1" si="975"/>
        <v>0</v>
      </c>
      <c r="F594" s="153">
        <f t="shared" ca="1" si="976"/>
        <v>0</v>
      </c>
      <c r="G594" s="153">
        <f t="shared" ca="1" si="977"/>
        <v>0</v>
      </c>
      <c r="H594" s="39">
        <f t="shared" ca="1" si="978"/>
        <v>0</v>
      </c>
      <c r="I594" s="39">
        <f t="shared" ca="1" si="979"/>
        <v>0</v>
      </c>
      <c r="J594" s="39">
        <f t="shared" ca="1" si="980"/>
        <v>0</v>
      </c>
      <c r="K594" s="39">
        <f t="shared" ca="1" si="981"/>
        <v>0</v>
      </c>
      <c r="L594" s="39">
        <f t="shared" ca="1" si="982"/>
        <v>0</v>
      </c>
      <c r="M594" s="39">
        <f t="shared" ca="1" si="984"/>
        <v>0</v>
      </c>
      <c r="O594" s="38"/>
    </row>
    <row r="595" spans="2:15">
      <c r="B595" s="1048">
        <f t="shared" ca="1" si="983"/>
        <v>54052</v>
      </c>
      <c r="C595" s="153">
        <f t="shared" ca="1" si="973"/>
        <v>0</v>
      </c>
      <c r="D595" s="153">
        <f t="shared" ca="1" si="974"/>
        <v>0</v>
      </c>
      <c r="E595" s="153">
        <f t="shared" ca="1" si="975"/>
        <v>0</v>
      </c>
      <c r="F595" s="153">
        <f t="shared" ca="1" si="976"/>
        <v>0</v>
      </c>
      <c r="G595" s="153">
        <f t="shared" ca="1" si="977"/>
        <v>0</v>
      </c>
      <c r="H595" s="39">
        <f t="shared" ca="1" si="978"/>
        <v>0</v>
      </c>
      <c r="I595" s="39">
        <f t="shared" ca="1" si="979"/>
        <v>0</v>
      </c>
      <c r="J595" s="39">
        <f t="shared" ca="1" si="980"/>
        <v>0</v>
      </c>
      <c r="K595" s="39">
        <f t="shared" ca="1" si="981"/>
        <v>0</v>
      </c>
      <c r="L595" s="39">
        <f t="shared" ca="1" si="982"/>
        <v>0</v>
      </c>
      <c r="M595" s="39">
        <f t="shared" ca="1" si="984"/>
        <v>0</v>
      </c>
      <c r="O595" s="38"/>
    </row>
    <row r="596" spans="2:15">
      <c r="B596" s="1048">
        <f t="shared" ca="1" si="983"/>
        <v>54082</v>
      </c>
      <c r="C596" s="153">
        <f t="shared" ca="1" si="973"/>
        <v>0</v>
      </c>
      <c r="D596" s="153">
        <f t="shared" ca="1" si="974"/>
        <v>0</v>
      </c>
      <c r="E596" s="153">
        <f t="shared" ca="1" si="975"/>
        <v>0</v>
      </c>
      <c r="F596" s="153">
        <f t="shared" ca="1" si="976"/>
        <v>0</v>
      </c>
      <c r="G596" s="153">
        <f t="shared" ca="1" si="977"/>
        <v>0</v>
      </c>
      <c r="H596" s="39">
        <f t="shared" ca="1" si="978"/>
        <v>0</v>
      </c>
      <c r="I596" s="39">
        <f t="shared" ca="1" si="979"/>
        <v>0</v>
      </c>
      <c r="J596" s="39">
        <f t="shared" ca="1" si="980"/>
        <v>0</v>
      </c>
      <c r="K596" s="39">
        <f t="shared" ca="1" si="981"/>
        <v>0</v>
      </c>
      <c r="L596" s="39">
        <f t="shared" ca="1" si="982"/>
        <v>0</v>
      </c>
      <c r="M596" s="39">
        <f t="shared" ca="1" si="984"/>
        <v>0</v>
      </c>
      <c r="O596" s="38"/>
    </row>
    <row r="597" spans="2:15">
      <c r="B597" s="1048">
        <f t="shared" ca="1" si="983"/>
        <v>54112</v>
      </c>
      <c r="C597" s="153">
        <f t="shared" ca="1" si="973"/>
        <v>0</v>
      </c>
      <c r="D597" s="153">
        <f t="shared" ca="1" si="974"/>
        <v>0</v>
      </c>
      <c r="E597" s="153">
        <f t="shared" ca="1" si="975"/>
        <v>0</v>
      </c>
      <c r="F597" s="153">
        <f t="shared" ca="1" si="976"/>
        <v>0</v>
      </c>
      <c r="G597" s="153">
        <f t="shared" ca="1" si="977"/>
        <v>0</v>
      </c>
      <c r="H597" s="39">
        <f t="shared" ca="1" si="978"/>
        <v>0</v>
      </c>
      <c r="I597" s="39">
        <f t="shared" ca="1" si="979"/>
        <v>0</v>
      </c>
      <c r="J597" s="39">
        <f t="shared" ca="1" si="980"/>
        <v>0</v>
      </c>
      <c r="K597" s="39">
        <f t="shared" ca="1" si="981"/>
        <v>0</v>
      </c>
      <c r="L597" s="39">
        <f t="shared" ca="1" si="982"/>
        <v>0</v>
      </c>
      <c r="M597" s="39">
        <f t="shared" ca="1" si="984"/>
        <v>0</v>
      </c>
      <c r="O597" s="38"/>
    </row>
    <row r="598" spans="2:15">
      <c r="B598" s="1048">
        <f t="shared" ca="1" si="983"/>
        <v>54142</v>
      </c>
      <c r="C598" s="153">
        <f t="shared" ca="1" si="973"/>
        <v>0</v>
      </c>
      <c r="D598" s="153">
        <f t="shared" ca="1" si="974"/>
        <v>0</v>
      </c>
      <c r="E598" s="153">
        <f t="shared" ca="1" si="975"/>
        <v>0</v>
      </c>
      <c r="F598" s="153">
        <f t="shared" ca="1" si="976"/>
        <v>0</v>
      </c>
      <c r="G598" s="153">
        <f t="shared" ca="1" si="977"/>
        <v>0</v>
      </c>
      <c r="H598" s="39">
        <f t="shared" ca="1" si="978"/>
        <v>0</v>
      </c>
      <c r="I598" s="39">
        <f t="shared" ca="1" si="979"/>
        <v>0</v>
      </c>
      <c r="J598" s="39">
        <f t="shared" ca="1" si="980"/>
        <v>0</v>
      </c>
      <c r="K598" s="39">
        <f t="shared" ca="1" si="981"/>
        <v>0</v>
      </c>
      <c r="L598" s="39">
        <f t="shared" ca="1" si="982"/>
        <v>0</v>
      </c>
      <c r="M598" s="39">
        <f t="shared" ca="1" si="984"/>
        <v>0</v>
      </c>
      <c r="O598" s="38"/>
    </row>
    <row r="599" spans="2:15">
      <c r="B599" s="1048">
        <f t="shared" ca="1" si="983"/>
        <v>54172</v>
      </c>
      <c r="C599" s="153">
        <f t="shared" ca="1" si="973"/>
        <v>0</v>
      </c>
      <c r="D599" s="153">
        <f t="shared" ca="1" si="974"/>
        <v>0</v>
      </c>
      <c r="E599" s="153">
        <f t="shared" ca="1" si="975"/>
        <v>0</v>
      </c>
      <c r="F599" s="153">
        <f t="shared" ca="1" si="976"/>
        <v>0</v>
      </c>
      <c r="G599" s="153">
        <f t="shared" ca="1" si="977"/>
        <v>0</v>
      </c>
      <c r="H599" s="39">
        <f t="shared" ca="1" si="978"/>
        <v>0</v>
      </c>
      <c r="I599" s="39">
        <f t="shared" ca="1" si="979"/>
        <v>0</v>
      </c>
      <c r="J599" s="39">
        <f t="shared" ca="1" si="980"/>
        <v>0</v>
      </c>
      <c r="K599" s="39">
        <f t="shared" ca="1" si="981"/>
        <v>0</v>
      </c>
      <c r="L599" s="39">
        <f t="shared" ca="1" si="982"/>
        <v>0</v>
      </c>
      <c r="M599" s="39">
        <f t="shared" ca="1" si="984"/>
        <v>0</v>
      </c>
      <c r="O599" s="38"/>
    </row>
    <row r="600" spans="2:15">
      <c r="B600" s="1048">
        <f t="shared" ca="1" si="983"/>
        <v>54202</v>
      </c>
      <c r="C600" s="153">
        <f t="shared" ca="1" si="973"/>
        <v>0</v>
      </c>
      <c r="D600" s="153">
        <f t="shared" ca="1" si="974"/>
        <v>0</v>
      </c>
      <c r="E600" s="153">
        <f t="shared" ca="1" si="975"/>
        <v>0</v>
      </c>
      <c r="F600" s="153">
        <f t="shared" ca="1" si="976"/>
        <v>0</v>
      </c>
      <c r="G600" s="153">
        <f t="shared" ca="1" si="977"/>
        <v>0</v>
      </c>
      <c r="H600" s="39">
        <f t="shared" ca="1" si="978"/>
        <v>0</v>
      </c>
      <c r="I600" s="39">
        <f t="shared" ca="1" si="979"/>
        <v>0</v>
      </c>
      <c r="J600" s="39">
        <f t="shared" ca="1" si="980"/>
        <v>0</v>
      </c>
      <c r="K600" s="39">
        <f t="shared" ca="1" si="981"/>
        <v>0</v>
      </c>
      <c r="L600" s="39">
        <f t="shared" ca="1" si="982"/>
        <v>0</v>
      </c>
      <c r="M600" s="39">
        <f t="shared" ca="1" si="984"/>
        <v>0</v>
      </c>
      <c r="O600" s="38"/>
    </row>
    <row r="601" spans="2:15">
      <c r="B601" s="1048">
        <f t="shared" ca="1" si="983"/>
        <v>54232</v>
      </c>
      <c r="C601" s="153">
        <f t="shared" ca="1" si="973"/>
        <v>0</v>
      </c>
      <c r="D601" s="153">
        <f t="shared" ca="1" si="974"/>
        <v>0</v>
      </c>
      <c r="E601" s="153">
        <f t="shared" ca="1" si="975"/>
        <v>0</v>
      </c>
      <c r="F601" s="153">
        <f t="shared" ca="1" si="976"/>
        <v>0</v>
      </c>
      <c r="G601" s="153">
        <f t="shared" ca="1" si="977"/>
        <v>0</v>
      </c>
      <c r="H601" s="39">
        <f t="shared" ca="1" si="978"/>
        <v>0</v>
      </c>
      <c r="I601" s="39">
        <f t="shared" ca="1" si="979"/>
        <v>0</v>
      </c>
      <c r="J601" s="39">
        <f t="shared" ca="1" si="980"/>
        <v>0</v>
      </c>
      <c r="K601" s="39">
        <f t="shared" ca="1" si="981"/>
        <v>0</v>
      </c>
      <c r="L601" s="39">
        <f t="shared" ca="1" si="982"/>
        <v>0</v>
      </c>
      <c r="M601" s="39">
        <f t="shared" ca="1" si="984"/>
        <v>0</v>
      </c>
      <c r="O601" s="38"/>
    </row>
    <row r="602" spans="2:15">
      <c r="B602" s="1048">
        <f t="shared" ca="1" si="983"/>
        <v>54262</v>
      </c>
      <c r="C602" s="153">
        <f t="shared" ca="1" si="973"/>
        <v>0</v>
      </c>
      <c r="D602" s="153">
        <f t="shared" ca="1" si="974"/>
        <v>0</v>
      </c>
      <c r="E602" s="153">
        <f t="shared" ca="1" si="975"/>
        <v>0</v>
      </c>
      <c r="F602" s="153">
        <f t="shared" ca="1" si="976"/>
        <v>0</v>
      </c>
      <c r="G602" s="153">
        <f t="shared" ca="1" si="977"/>
        <v>0</v>
      </c>
      <c r="H602" s="39">
        <f t="shared" ca="1" si="978"/>
        <v>0</v>
      </c>
      <c r="I602" s="39">
        <f t="shared" ca="1" si="979"/>
        <v>0</v>
      </c>
      <c r="J602" s="39">
        <f t="shared" ca="1" si="980"/>
        <v>0</v>
      </c>
      <c r="K602" s="39">
        <f t="shared" ca="1" si="981"/>
        <v>0</v>
      </c>
      <c r="L602" s="39">
        <f t="shared" ca="1" si="982"/>
        <v>0</v>
      </c>
      <c r="M602" s="39">
        <f t="shared" ca="1" si="984"/>
        <v>0</v>
      </c>
      <c r="O602" s="38"/>
    </row>
    <row r="603" spans="2:15">
      <c r="B603" s="1048">
        <f t="shared" ca="1" si="983"/>
        <v>54292</v>
      </c>
      <c r="C603" s="153">
        <f t="shared" ref="C603:C628" ca="1" si="985">SUMIFS(P:P,U:U,"&gt;="&amp;DATE(YEAR(B603),MONTH(B603),DAY(B603)),U:U,"&lt;"&amp;DATE(YEAR(B604),MONTH(B604),DAY(B604)))</f>
        <v>0</v>
      </c>
      <c r="D603" s="153">
        <f t="shared" ref="D603:D628" ca="1" si="986">SUMIFS(Y:Y,AD:AD,"&gt;="&amp;DATE(YEAR(B603),MONTH(B603),DAY(B603)),AD:AD,"&lt;"&amp;DATE(YEAR(B604),MONTH(B604),DAY(B604)))</f>
        <v>0</v>
      </c>
      <c r="E603" s="153">
        <f t="shared" ref="E603:E628" ca="1" si="987">SUMIFS(AI:AI,AN:AN,"&gt;="&amp;DATE(YEAR(B603),MONTH(B603),DAY(B603)),AN:AN,"&lt;"&amp;DATE(YEAR(B604),MONTH(B604),DAY(B604)))</f>
        <v>0</v>
      </c>
      <c r="F603" s="153">
        <f t="shared" ref="F603:F628" ca="1" si="988">SUMIFS(AR:AR,AW:AW,"&gt;="&amp;DATE(YEAR(B603),MONTH(B603),DAY(B603)),AW:AW,"&lt;"&amp;DATE(YEAR(B604),MONTH(B604),DAY(B604)))</f>
        <v>0</v>
      </c>
      <c r="G603" s="153">
        <f t="shared" ref="G603:G628" ca="1" si="989">SUMIFS(BC:BC,BF:BF,"&gt;="&amp;DATE(YEAR(B603),MONTH(B603),DAY(B603)),BF:BF,"&lt;"&amp;DATE(YEAR(B604),MONTH(B604),DAY(B604)))</f>
        <v>0</v>
      </c>
      <c r="H603" s="39">
        <f t="shared" ref="H603:H628" ca="1" si="990">SUMIFS(BW:BW,BZ:BZ,"&gt;="&amp;DATE(YEAR(B603),MONTH(B603),DY(B603)),BZ:BZ,"&lt;"&amp;DATE(YEAR(B604),MONTH(B604),DAY(B604)))</f>
        <v>0</v>
      </c>
      <c r="I603" s="39">
        <f t="shared" ref="I603:I628" ca="1" si="991">SUMIFS(CO:CO,CR:CR,"&gt;="&amp;DATE(YEAR(B603),MONTH(B603),DAY(B603)),CR:CR,"&lt;"&amp;DATE(YEAR(B604),MONTH(B604),DAY(B604)))</f>
        <v>0</v>
      </c>
      <c r="J603" s="39">
        <f t="shared" ref="J603:J628" ca="1" si="992">SUMIFS(DG:DG,DJ:DJ,"&gt;="&amp;DATE(YEAR(B603),MONTH(B603),DAY(B603)),DJ:DJ,"&lt;"&amp;DATE(YEAR(B604),MONTH(B604),DAY(B604)))</f>
        <v>0</v>
      </c>
      <c r="K603" s="39">
        <f t="shared" ref="K603:K628" ca="1" si="993">SUMIFS(EK:EK,EG:EG,"&gt;="&amp;DATE(YEAR(B603),MONTH(B603),DAY(B603)),EG:EG,"&lt;"&amp;DATE(YEAR(B604),MONTH(B604),DAY(B604)))</f>
        <v>0</v>
      </c>
      <c r="L603" s="39">
        <f t="shared" ref="L603:L628" ca="1" si="994">SUMIFS(FB:FB,EY:EY,"&gt;="&amp;DATE(YEAR(B603),MONTH(B603),DAY(B603)),EY:EY,"&lt;"&amp;DATE(YEAR(B604),MONTH(B604),DAY(B604)))</f>
        <v>0</v>
      </c>
      <c r="M603" s="39">
        <f t="shared" ca="1" si="984"/>
        <v>0</v>
      </c>
      <c r="O603" s="38"/>
    </row>
    <row r="604" spans="2:15">
      <c r="B604" s="1048">
        <f t="shared" ref="B604:B628" ca="1" si="995">B603+30</f>
        <v>54322</v>
      </c>
      <c r="C604" s="153">
        <f t="shared" ca="1" si="985"/>
        <v>0</v>
      </c>
      <c r="D604" s="153">
        <f t="shared" ca="1" si="986"/>
        <v>0</v>
      </c>
      <c r="E604" s="153">
        <f t="shared" ca="1" si="987"/>
        <v>0</v>
      </c>
      <c r="F604" s="153">
        <f t="shared" ca="1" si="988"/>
        <v>0</v>
      </c>
      <c r="G604" s="153">
        <f t="shared" ca="1" si="989"/>
        <v>0</v>
      </c>
      <c r="H604" s="39">
        <f t="shared" ca="1" si="990"/>
        <v>0</v>
      </c>
      <c r="I604" s="39">
        <f t="shared" ca="1" si="991"/>
        <v>0</v>
      </c>
      <c r="J604" s="39">
        <f t="shared" ca="1" si="992"/>
        <v>0</v>
      </c>
      <c r="K604" s="39">
        <f t="shared" ca="1" si="993"/>
        <v>0</v>
      </c>
      <c r="L604" s="39">
        <f t="shared" ca="1" si="994"/>
        <v>0</v>
      </c>
      <c r="M604" s="39">
        <f t="shared" ca="1" si="984"/>
        <v>0</v>
      </c>
      <c r="O604" s="38"/>
    </row>
    <row r="605" spans="2:15">
      <c r="B605" s="1048">
        <f t="shared" ca="1" si="995"/>
        <v>54352</v>
      </c>
      <c r="C605" s="153">
        <f t="shared" ca="1" si="985"/>
        <v>0</v>
      </c>
      <c r="D605" s="153">
        <f t="shared" ca="1" si="986"/>
        <v>0</v>
      </c>
      <c r="E605" s="153">
        <f t="shared" ca="1" si="987"/>
        <v>0</v>
      </c>
      <c r="F605" s="153">
        <f t="shared" ca="1" si="988"/>
        <v>0</v>
      </c>
      <c r="G605" s="153">
        <f t="shared" ca="1" si="989"/>
        <v>0</v>
      </c>
      <c r="H605" s="39">
        <f t="shared" ca="1" si="990"/>
        <v>0</v>
      </c>
      <c r="I605" s="39">
        <f t="shared" ca="1" si="991"/>
        <v>0</v>
      </c>
      <c r="J605" s="39">
        <f t="shared" ca="1" si="992"/>
        <v>0</v>
      </c>
      <c r="K605" s="39">
        <f t="shared" ca="1" si="993"/>
        <v>0</v>
      </c>
      <c r="L605" s="39">
        <f t="shared" ca="1" si="994"/>
        <v>0</v>
      </c>
      <c r="M605" s="39">
        <f t="shared" ref="M605:M628" ca="1" si="996">SUM(C605:L605)</f>
        <v>0</v>
      </c>
      <c r="O605" s="38"/>
    </row>
    <row r="606" spans="2:15">
      <c r="B606" s="1048">
        <f t="shared" ca="1" si="995"/>
        <v>54382</v>
      </c>
      <c r="C606" s="153">
        <f t="shared" ca="1" si="985"/>
        <v>0</v>
      </c>
      <c r="D606" s="153">
        <f t="shared" ca="1" si="986"/>
        <v>0</v>
      </c>
      <c r="E606" s="153">
        <f t="shared" ca="1" si="987"/>
        <v>0</v>
      </c>
      <c r="F606" s="153">
        <f t="shared" ca="1" si="988"/>
        <v>0</v>
      </c>
      <c r="G606" s="153">
        <f t="shared" ca="1" si="989"/>
        <v>0</v>
      </c>
      <c r="H606" s="39">
        <f t="shared" ca="1" si="990"/>
        <v>0</v>
      </c>
      <c r="I606" s="39">
        <f t="shared" ca="1" si="991"/>
        <v>0</v>
      </c>
      <c r="J606" s="39">
        <f t="shared" ca="1" si="992"/>
        <v>0</v>
      </c>
      <c r="K606" s="39">
        <f t="shared" ca="1" si="993"/>
        <v>0</v>
      </c>
      <c r="L606" s="39">
        <f t="shared" ca="1" si="994"/>
        <v>0</v>
      </c>
      <c r="M606" s="39">
        <f t="shared" ca="1" si="996"/>
        <v>0</v>
      </c>
      <c r="O606" s="38"/>
    </row>
    <row r="607" spans="2:15">
      <c r="B607" s="1048">
        <f t="shared" ca="1" si="995"/>
        <v>54412</v>
      </c>
      <c r="C607" s="153">
        <f t="shared" ca="1" si="985"/>
        <v>0</v>
      </c>
      <c r="D607" s="153">
        <f t="shared" ca="1" si="986"/>
        <v>0</v>
      </c>
      <c r="E607" s="153">
        <f t="shared" ca="1" si="987"/>
        <v>0</v>
      </c>
      <c r="F607" s="153">
        <f t="shared" ca="1" si="988"/>
        <v>0</v>
      </c>
      <c r="G607" s="153">
        <f t="shared" ca="1" si="989"/>
        <v>0</v>
      </c>
      <c r="H607" s="39">
        <f t="shared" ca="1" si="990"/>
        <v>0</v>
      </c>
      <c r="I607" s="39">
        <f t="shared" ca="1" si="991"/>
        <v>0</v>
      </c>
      <c r="J607" s="39">
        <f t="shared" ca="1" si="992"/>
        <v>0</v>
      </c>
      <c r="K607" s="39">
        <f t="shared" ca="1" si="993"/>
        <v>0</v>
      </c>
      <c r="L607" s="39">
        <f t="shared" ca="1" si="994"/>
        <v>0</v>
      </c>
      <c r="M607" s="39">
        <f t="shared" ca="1" si="996"/>
        <v>0</v>
      </c>
      <c r="O607" s="38"/>
    </row>
    <row r="608" spans="2:15">
      <c r="B608" s="1048">
        <f t="shared" ca="1" si="995"/>
        <v>54442</v>
      </c>
      <c r="C608" s="153">
        <f t="shared" ca="1" si="985"/>
        <v>0</v>
      </c>
      <c r="D608" s="153">
        <f t="shared" ca="1" si="986"/>
        <v>0</v>
      </c>
      <c r="E608" s="153">
        <f t="shared" ca="1" si="987"/>
        <v>0</v>
      </c>
      <c r="F608" s="153">
        <f t="shared" ca="1" si="988"/>
        <v>0</v>
      </c>
      <c r="G608" s="153">
        <f t="shared" ca="1" si="989"/>
        <v>0</v>
      </c>
      <c r="H608" s="39">
        <f t="shared" ca="1" si="990"/>
        <v>0</v>
      </c>
      <c r="I608" s="39">
        <f t="shared" ca="1" si="991"/>
        <v>0</v>
      </c>
      <c r="J608" s="39">
        <f t="shared" ca="1" si="992"/>
        <v>0</v>
      </c>
      <c r="K608" s="39">
        <f t="shared" ca="1" si="993"/>
        <v>0</v>
      </c>
      <c r="L608" s="39">
        <f t="shared" ca="1" si="994"/>
        <v>0</v>
      </c>
      <c r="M608" s="39">
        <f t="shared" ca="1" si="996"/>
        <v>0</v>
      </c>
      <c r="O608" s="38"/>
    </row>
    <row r="609" spans="2:149">
      <c r="B609" s="1048">
        <f t="shared" ca="1" si="995"/>
        <v>54472</v>
      </c>
      <c r="C609" s="153">
        <f t="shared" ca="1" si="985"/>
        <v>0</v>
      </c>
      <c r="D609" s="153">
        <f t="shared" ca="1" si="986"/>
        <v>0</v>
      </c>
      <c r="E609" s="153">
        <f t="shared" ca="1" si="987"/>
        <v>0</v>
      </c>
      <c r="F609" s="153">
        <f t="shared" ca="1" si="988"/>
        <v>0</v>
      </c>
      <c r="G609" s="153">
        <f t="shared" ca="1" si="989"/>
        <v>0</v>
      </c>
      <c r="H609" s="39">
        <f t="shared" ca="1" si="990"/>
        <v>0</v>
      </c>
      <c r="I609" s="39">
        <f t="shared" ca="1" si="991"/>
        <v>0</v>
      </c>
      <c r="J609" s="39">
        <f t="shared" ca="1" si="992"/>
        <v>0</v>
      </c>
      <c r="K609" s="39">
        <f t="shared" ca="1" si="993"/>
        <v>0</v>
      </c>
      <c r="L609" s="39">
        <f t="shared" ca="1" si="994"/>
        <v>0</v>
      </c>
      <c r="M609" s="39">
        <f t="shared" ca="1" si="996"/>
        <v>0</v>
      </c>
      <c r="O609" s="38"/>
    </row>
    <row r="610" spans="2:149">
      <c r="B610" s="1048">
        <f t="shared" ca="1" si="995"/>
        <v>54502</v>
      </c>
      <c r="C610" s="153">
        <f t="shared" ca="1" si="985"/>
        <v>0</v>
      </c>
      <c r="D610" s="153">
        <f t="shared" ca="1" si="986"/>
        <v>0</v>
      </c>
      <c r="E610" s="153">
        <f t="shared" ca="1" si="987"/>
        <v>0</v>
      </c>
      <c r="F610" s="153">
        <f t="shared" ca="1" si="988"/>
        <v>0</v>
      </c>
      <c r="G610" s="153">
        <f t="shared" ca="1" si="989"/>
        <v>0</v>
      </c>
      <c r="H610" s="39">
        <f t="shared" ca="1" si="990"/>
        <v>0</v>
      </c>
      <c r="I610" s="39">
        <f t="shared" ca="1" si="991"/>
        <v>0</v>
      </c>
      <c r="J610" s="39">
        <f t="shared" ca="1" si="992"/>
        <v>0</v>
      </c>
      <c r="K610" s="39">
        <f t="shared" ca="1" si="993"/>
        <v>0</v>
      </c>
      <c r="L610" s="39">
        <f t="shared" ca="1" si="994"/>
        <v>0</v>
      </c>
      <c r="M610" s="39">
        <f t="shared" ca="1" si="996"/>
        <v>0</v>
      </c>
      <c r="O610" s="38"/>
    </row>
    <row r="611" spans="2:149">
      <c r="B611" s="1048">
        <f t="shared" ca="1" si="995"/>
        <v>54532</v>
      </c>
      <c r="C611" s="153">
        <f t="shared" ca="1" si="985"/>
        <v>0</v>
      </c>
      <c r="D611" s="153">
        <f t="shared" ca="1" si="986"/>
        <v>0</v>
      </c>
      <c r="E611" s="153">
        <f t="shared" ca="1" si="987"/>
        <v>0</v>
      </c>
      <c r="F611" s="153">
        <f t="shared" ca="1" si="988"/>
        <v>0</v>
      </c>
      <c r="G611" s="153">
        <f t="shared" ca="1" si="989"/>
        <v>0</v>
      </c>
      <c r="H611" s="39">
        <f t="shared" ca="1" si="990"/>
        <v>0</v>
      </c>
      <c r="I611" s="39">
        <f t="shared" ca="1" si="991"/>
        <v>0</v>
      </c>
      <c r="J611" s="39">
        <f t="shared" ca="1" si="992"/>
        <v>0</v>
      </c>
      <c r="K611" s="39">
        <f t="shared" ca="1" si="993"/>
        <v>0</v>
      </c>
      <c r="L611" s="39">
        <f t="shared" ca="1" si="994"/>
        <v>0</v>
      </c>
      <c r="M611" s="39">
        <f t="shared" ca="1" si="996"/>
        <v>0</v>
      </c>
      <c r="O611" s="38"/>
    </row>
    <row r="612" spans="2:149">
      <c r="B612" s="1048">
        <f t="shared" ca="1" si="995"/>
        <v>54562</v>
      </c>
      <c r="C612" s="153">
        <f t="shared" ca="1" si="985"/>
        <v>0</v>
      </c>
      <c r="D612" s="153">
        <f t="shared" ca="1" si="986"/>
        <v>0</v>
      </c>
      <c r="E612" s="153">
        <f t="shared" ca="1" si="987"/>
        <v>0</v>
      </c>
      <c r="F612" s="153">
        <f t="shared" ca="1" si="988"/>
        <v>0</v>
      </c>
      <c r="G612" s="153">
        <f t="shared" ca="1" si="989"/>
        <v>0</v>
      </c>
      <c r="H612" s="39">
        <f t="shared" ca="1" si="990"/>
        <v>0</v>
      </c>
      <c r="I612" s="39">
        <f t="shared" ca="1" si="991"/>
        <v>0</v>
      </c>
      <c r="J612" s="39">
        <f t="shared" ca="1" si="992"/>
        <v>0</v>
      </c>
      <c r="K612" s="39">
        <f t="shared" ca="1" si="993"/>
        <v>0</v>
      </c>
      <c r="L612" s="39">
        <f t="shared" ca="1" si="994"/>
        <v>0</v>
      </c>
      <c r="M612" s="39">
        <f t="shared" ca="1" si="996"/>
        <v>0</v>
      </c>
      <c r="O612" s="38"/>
    </row>
    <row r="613" spans="2:149">
      <c r="B613" s="1048">
        <f t="shared" ca="1" si="995"/>
        <v>54592</v>
      </c>
      <c r="C613" s="153">
        <f t="shared" ca="1" si="985"/>
        <v>0</v>
      </c>
      <c r="D613" s="153">
        <f t="shared" ca="1" si="986"/>
        <v>0</v>
      </c>
      <c r="E613" s="153">
        <f t="shared" ca="1" si="987"/>
        <v>0</v>
      </c>
      <c r="F613" s="153">
        <f t="shared" ca="1" si="988"/>
        <v>0</v>
      </c>
      <c r="G613" s="153">
        <f t="shared" ca="1" si="989"/>
        <v>0</v>
      </c>
      <c r="H613" s="39">
        <f t="shared" ca="1" si="990"/>
        <v>0</v>
      </c>
      <c r="I613" s="39">
        <f t="shared" ca="1" si="991"/>
        <v>0</v>
      </c>
      <c r="J613" s="39">
        <f t="shared" ca="1" si="992"/>
        <v>0</v>
      </c>
      <c r="K613" s="39">
        <f t="shared" ca="1" si="993"/>
        <v>0</v>
      </c>
      <c r="L613" s="39">
        <f t="shared" ca="1" si="994"/>
        <v>0</v>
      </c>
      <c r="M613" s="39">
        <f t="shared" ca="1" si="996"/>
        <v>0</v>
      </c>
      <c r="O613" s="38"/>
    </row>
    <row r="614" spans="2:149">
      <c r="B614" s="1048">
        <f t="shared" ca="1" si="995"/>
        <v>54622</v>
      </c>
      <c r="C614" s="153">
        <f t="shared" ca="1" si="985"/>
        <v>0</v>
      </c>
      <c r="D614" s="153">
        <f t="shared" ca="1" si="986"/>
        <v>0</v>
      </c>
      <c r="E614" s="153">
        <f t="shared" ca="1" si="987"/>
        <v>0</v>
      </c>
      <c r="F614" s="153">
        <f t="shared" ca="1" si="988"/>
        <v>0</v>
      </c>
      <c r="G614" s="153">
        <f t="shared" ca="1" si="989"/>
        <v>0</v>
      </c>
      <c r="H614" s="39">
        <f t="shared" ca="1" si="990"/>
        <v>0</v>
      </c>
      <c r="I614" s="39">
        <f t="shared" ca="1" si="991"/>
        <v>0</v>
      </c>
      <c r="J614" s="39">
        <f t="shared" ca="1" si="992"/>
        <v>0</v>
      </c>
      <c r="K614" s="39">
        <f t="shared" ca="1" si="993"/>
        <v>0</v>
      </c>
      <c r="L614" s="39">
        <f t="shared" ca="1" si="994"/>
        <v>0</v>
      </c>
      <c r="M614" s="39">
        <f t="shared" ca="1" si="996"/>
        <v>0</v>
      </c>
      <c r="O614" s="38"/>
    </row>
    <row r="615" spans="2:149">
      <c r="B615" s="1048">
        <f t="shared" ca="1" si="995"/>
        <v>54652</v>
      </c>
      <c r="C615" s="153">
        <f t="shared" ca="1" si="985"/>
        <v>0</v>
      </c>
      <c r="D615" s="153">
        <f t="shared" ca="1" si="986"/>
        <v>0</v>
      </c>
      <c r="E615" s="153">
        <f t="shared" ca="1" si="987"/>
        <v>0</v>
      </c>
      <c r="F615" s="153">
        <f t="shared" ca="1" si="988"/>
        <v>0</v>
      </c>
      <c r="G615" s="153">
        <f t="shared" ca="1" si="989"/>
        <v>0</v>
      </c>
      <c r="H615" s="39">
        <f t="shared" ca="1" si="990"/>
        <v>0</v>
      </c>
      <c r="I615" s="39">
        <f t="shared" ca="1" si="991"/>
        <v>0</v>
      </c>
      <c r="J615" s="39">
        <f t="shared" ca="1" si="992"/>
        <v>0</v>
      </c>
      <c r="K615" s="39">
        <f t="shared" ca="1" si="993"/>
        <v>0</v>
      </c>
      <c r="L615" s="39">
        <f t="shared" ca="1" si="994"/>
        <v>0</v>
      </c>
      <c r="M615" s="39">
        <f t="shared" ca="1" si="996"/>
        <v>0</v>
      </c>
      <c r="O615" s="38"/>
    </row>
    <row r="616" spans="2:149">
      <c r="B616" s="1048">
        <f t="shared" ca="1" si="995"/>
        <v>54682</v>
      </c>
      <c r="C616" s="153">
        <f t="shared" ca="1" si="985"/>
        <v>0</v>
      </c>
      <c r="D616" s="153">
        <f t="shared" ca="1" si="986"/>
        <v>0</v>
      </c>
      <c r="E616" s="153">
        <f t="shared" ca="1" si="987"/>
        <v>0</v>
      </c>
      <c r="F616" s="153">
        <f t="shared" ca="1" si="988"/>
        <v>0</v>
      </c>
      <c r="G616" s="153">
        <f t="shared" ca="1" si="989"/>
        <v>0</v>
      </c>
      <c r="H616" s="39">
        <f t="shared" ca="1" si="990"/>
        <v>0</v>
      </c>
      <c r="I616" s="39">
        <f t="shared" ca="1" si="991"/>
        <v>0</v>
      </c>
      <c r="J616" s="39">
        <f t="shared" ca="1" si="992"/>
        <v>0</v>
      </c>
      <c r="K616" s="39">
        <f t="shared" ca="1" si="993"/>
        <v>0</v>
      </c>
      <c r="L616" s="39">
        <f t="shared" ca="1" si="994"/>
        <v>0</v>
      </c>
      <c r="M616" s="39">
        <f t="shared" ca="1" si="996"/>
        <v>0</v>
      </c>
      <c r="O616" s="38"/>
    </row>
    <row r="617" spans="2:149">
      <c r="B617" s="1048">
        <f t="shared" ca="1" si="995"/>
        <v>54712</v>
      </c>
      <c r="C617" s="153">
        <f t="shared" ca="1" si="985"/>
        <v>0</v>
      </c>
      <c r="D617" s="153">
        <f t="shared" ca="1" si="986"/>
        <v>0</v>
      </c>
      <c r="E617" s="153">
        <f t="shared" ca="1" si="987"/>
        <v>0</v>
      </c>
      <c r="F617" s="153">
        <f t="shared" ca="1" si="988"/>
        <v>0</v>
      </c>
      <c r="G617" s="153">
        <f t="shared" ca="1" si="989"/>
        <v>0</v>
      </c>
      <c r="H617" s="39">
        <f t="shared" ca="1" si="990"/>
        <v>0</v>
      </c>
      <c r="I617" s="39">
        <f t="shared" ca="1" si="991"/>
        <v>0</v>
      </c>
      <c r="J617" s="39">
        <f t="shared" ca="1" si="992"/>
        <v>0</v>
      </c>
      <c r="K617" s="39">
        <f t="shared" ca="1" si="993"/>
        <v>0</v>
      </c>
      <c r="L617" s="39">
        <f t="shared" ca="1" si="994"/>
        <v>0</v>
      </c>
      <c r="M617" s="39">
        <f t="shared" ca="1" si="996"/>
        <v>0</v>
      </c>
      <c r="O617" s="38"/>
    </row>
    <row r="618" spans="2:149">
      <c r="B618" s="1048">
        <f t="shared" ca="1" si="995"/>
        <v>54742</v>
      </c>
      <c r="C618" s="153">
        <f t="shared" ca="1" si="985"/>
        <v>0</v>
      </c>
      <c r="D618" s="153">
        <f t="shared" ca="1" si="986"/>
        <v>0</v>
      </c>
      <c r="E618" s="153">
        <f t="shared" ca="1" si="987"/>
        <v>0</v>
      </c>
      <c r="F618" s="153">
        <f t="shared" ca="1" si="988"/>
        <v>0</v>
      </c>
      <c r="G618" s="153">
        <f t="shared" ca="1" si="989"/>
        <v>0</v>
      </c>
      <c r="H618" s="39">
        <f t="shared" ca="1" si="990"/>
        <v>0</v>
      </c>
      <c r="I618" s="39">
        <f t="shared" ca="1" si="991"/>
        <v>0</v>
      </c>
      <c r="J618" s="39">
        <f t="shared" ca="1" si="992"/>
        <v>0</v>
      </c>
      <c r="K618" s="39">
        <f t="shared" ca="1" si="993"/>
        <v>0</v>
      </c>
      <c r="L618" s="39">
        <f t="shared" ca="1" si="994"/>
        <v>0</v>
      </c>
      <c r="M618" s="39">
        <f t="shared" ca="1" si="996"/>
        <v>0</v>
      </c>
      <c r="O618" s="38"/>
    </row>
    <row r="619" spans="2:149">
      <c r="B619" s="1048">
        <f t="shared" ca="1" si="995"/>
        <v>54772</v>
      </c>
      <c r="C619" s="153">
        <f t="shared" ca="1" si="985"/>
        <v>0</v>
      </c>
      <c r="D619" s="153">
        <f t="shared" ca="1" si="986"/>
        <v>0</v>
      </c>
      <c r="E619" s="153">
        <f t="shared" ca="1" si="987"/>
        <v>0</v>
      </c>
      <c r="F619" s="153">
        <f t="shared" ca="1" si="988"/>
        <v>0</v>
      </c>
      <c r="G619" s="153">
        <f t="shared" ca="1" si="989"/>
        <v>0</v>
      </c>
      <c r="H619" s="39">
        <f t="shared" ca="1" si="990"/>
        <v>0</v>
      </c>
      <c r="I619" s="39">
        <f t="shared" ca="1" si="991"/>
        <v>0</v>
      </c>
      <c r="J619" s="39">
        <f t="shared" ca="1" si="992"/>
        <v>0</v>
      </c>
      <c r="K619" s="39">
        <f t="shared" ca="1" si="993"/>
        <v>0</v>
      </c>
      <c r="L619" s="39">
        <f t="shared" ca="1" si="994"/>
        <v>0</v>
      </c>
      <c r="M619" s="39">
        <f t="shared" ca="1" si="996"/>
        <v>0</v>
      </c>
      <c r="O619" s="38"/>
    </row>
    <row r="620" spans="2:149">
      <c r="B620" s="1048">
        <f t="shared" ca="1" si="995"/>
        <v>54802</v>
      </c>
      <c r="C620" s="153">
        <f t="shared" ca="1" si="985"/>
        <v>0</v>
      </c>
      <c r="D620" s="153">
        <f t="shared" ca="1" si="986"/>
        <v>0</v>
      </c>
      <c r="E620" s="153">
        <f t="shared" ca="1" si="987"/>
        <v>0</v>
      </c>
      <c r="F620" s="153">
        <f t="shared" ca="1" si="988"/>
        <v>0</v>
      </c>
      <c r="G620" s="153">
        <f t="shared" ca="1" si="989"/>
        <v>0</v>
      </c>
      <c r="H620" s="39">
        <f t="shared" ca="1" si="990"/>
        <v>0</v>
      </c>
      <c r="I620" s="39">
        <f t="shared" ca="1" si="991"/>
        <v>0</v>
      </c>
      <c r="J620" s="39">
        <f t="shared" ca="1" si="992"/>
        <v>0</v>
      </c>
      <c r="K620" s="39">
        <f t="shared" ca="1" si="993"/>
        <v>0</v>
      </c>
      <c r="L620" s="39">
        <f t="shared" ca="1" si="994"/>
        <v>0</v>
      </c>
      <c r="M620" s="39">
        <f t="shared" ca="1" si="996"/>
        <v>0</v>
      </c>
      <c r="O620" s="38"/>
    </row>
    <row r="621" spans="2:149">
      <c r="B621" s="1048">
        <f t="shared" ca="1" si="995"/>
        <v>54832</v>
      </c>
      <c r="C621" s="153">
        <f t="shared" ca="1" si="985"/>
        <v>0</v>
      </c>
      <c r="D621" s="153">
        <f t="shared" ca="1" si="986"/>
        <v>0</v>
      </c>
      <c r="E621" s="153">
        <f t="shared" ca="1" si="987"/>
        <v>0</v>
      </c>
      <c r="F621" s="153">
        <f t="shared" ca="1" si="988"/>
        <v>0</v>
      </c>
      <c r="G621" s="153">
        <f t="shared" ca="1" si="989"/>
        <v>0</v>
      </c>
      <c r="H621" s="39">
        <f t="shared" ca="1" si="990"/>
        <v>0</v>
      </c>
      <c r="I621" s="39">
        <f t="shared" ca="1" si="991"/>
        <v>0</v>
      </c>
      <c r="J621" s="39">
        <f t="shared" ca="1" si="992"/>
        <v>0</v>
      </c>
      <c r="K621" s="39">
        <f t="shared" ca="1" si="993"/>
        <v>0</v>
      </c>
      <c r="L621" s="39">
        <f t="shared" ca="1" si="994"/>
        <v>0</v>
      </c>
      <c r="M621" s="39">
        <f t="shared" ca="1" si="996"/>
        <v>0</v>
      </c>
      <c r="O621" s="38"/>
      <c r="ES621" s="38"/>
    </row>
    <row r="622" spans="2:149">
      <c r="B622" s="1048">
        <f t="shared" ca="1" si="995"/>
        <v>54862</v>
      </c>
      <c r="C622" s="153">
        <f t="shared" ca="1" si="985"/>
        <v>0</v>
      </c>
      <c r="D622" s="153">
        <f t="shared" ca="1" si="986"/>
        <v>0</v>
      </c>
      <c r="E622" s="153">
        <f t="shared" ca="1" si="987"/>
        <v>0</v>
      </c>
      <c r="F622" s="153">
        <f t="shared" ca="1" si="988"/>
        <v>0</v>
      </c>
      <c r="G622" s="153">
        <f t="shared" ca="1" si="989"/>
        <v>0</v>
      </c>
      <c r="H622" s="39">
        <f t="shared" ca="1" si="990"/>
        <v>0</v>
      </c>
      <c r="I622" s="39">
        <f t="shared" ca="1" si="991"/>
        <v>0</v>
      </c>
      <c r="J622" s="39">
        <f t="shared" ca="1" si="992"/>
        <v>0</v>
      </c>
      <c r="K622" s="39">
        <f t="shared" ca="1" si="993"/>
        <v>0</v>
      </c>
      <c r="L622" s="39">
        <f t="shared" ca="1" si="994"/>
        <v>0</v>
      </c>
      <c r="M622" s="39">
        <f t="shared" ca="1" si="996"/>
        <v>0</v>
      </c>
      <c r="O622" s="38"/>
      <c r="ES622" s="38"/>
    </row>
    <row r="623" spans="2:149">
      <c r="B623" s="1048">
        <f t="shared" ca="1" si="995"/>
        <v>54892</v>
      </c>
      <c r="C623" s="153">
        <f t="shared" ca="1" si="985"/>
        <v>0</v>
      </c>
      <c r="D623" s="153">
        <f t="shared" ca="1" si="986"/>
        <v>0</v>
      </c>
      <c r="E623" s="153">
        <f t="shared" ca="1" si="987"/>
        <v>0</v>
      </c>
      <c r="F623" s="153">
        <f t="shared" ca="1" si="988"/>
        <v>0</v>
      </c>
      <c r="G623" s="153">
        <f t="shared" ca="1" si="989"/>
        <v>0</v>
      </c>
      <c r="H623" s="39">
        <f t="shared" ca="1" si="990"/>
        <v>0</v>
      </c>
      <c r="I623" s="39">
        <f t="shared" ca="1" si="991"/>
        <v>0</v>
      </c>
      <c r="J623" s="39">
        <f t="shared" ca="1" si="992"/>
        <v>0</v>
      </c>
      <c r="K623" s="39">
        <f t="shared" ca="1" si="993"/>
        <v>0</v>
      </c>
      <c r="L623" s="39">
        <f t="shared" ca="1" si="994"/>
        <v>0</v>
      </c>
      <c r="M623" s="39">
        <f t="shared" ca="1" si="996"/>
        <v>0</v>
      </c>
      <c r="O623" s="38"/>
      <c r="ES623" s="38"/>
    </row>
    <row r="624" spans="2:149">
      <c r="B624" s="1048">
        <f t="shared" ca="1" si="995"/>
        <v>54922</v>
      </c>
      <c r="C624" s="153">
        <f t="shared" ca="1" si="985"/>
        <v>0</v>
      </c>
      <c r="D624" s="153">
        <f t="shared" ca="1" si="986"/>
        <v>0</v>
      </c>
      <c r="E624" s="153">
        <f t="shared" ca="1" si="987"/>
        <v>0</v>
      </c>
      <c r="F624" s="153">
        <f t="shared" ca="1" si="988"/>
        <v>0</v>
      </c>
      <c r="G624" s="153">
        <f t="shared" ca="1" si="989"/>
        <v>0</v>
      </c>
      <c r="H624" s="39">
        <f t="shared" ca="1" si="990"/>
        <v>0</v>
      </c>
      <c r="I624" s="39">
        <f t="shared" ca="1" si="991"/>
        <v>0</v>
      </c>
      <c r="J624" s="39">
        <f t="shared" ca="1" si="992"/>
        <v>0</v>
      </c>
      <c r="K624" s="39">
        <f t="shared" ca="1" si="993"/>
        <v>0</v>
      </c>
      <c r="L624" s="39">
        <f t="shared" ca="1" si="994"/>
        <v>0</v>
      </c>
      <c r="M624" s="39">
        <f t="shared" ca="1" si="996"/>
        <v>0</v>
      </c>
      <c r="O624" s="38"/>
      <c r="ES624" s="38"/>
    </row>
    <row r="625" spans="2:177">
      <c r="B625" s="1048">
        <f t="shared" ca="1" si="995"/>
        <v>54952</v>
      </c>
      <c r="C625" s="153">
        <f t="shared" ca="1" si="985"/>
        <v>0</v>
      </c>
      <c r="D625" s="153">
        <f t="shared" ca="1" si="986"/>
        <v>0</v>
      </c>
      <c r="E625" s="153">
        <f t="shared" ca="1" si="987"/>
        <v>0</v>
      </c>
      <c r="F625" s="153">
        <f t="shared" ca="1" si="988"/>
        <v>0</v>
      </c>
      <c r="G625" s="153">
        <f t="shared" ca="1" si="989"/>
        <v>0</v>
      </c>
      <c r="H625" s="39">
        <f t="shared" ca="1" si="990"/>
        <v>0</v>
      </c>
      <c r="I625" s="39">
        <f t="shared" ca="1" si="991"/>
        <v>0</v>
      </c>
      <c r="J625" s="39">
        <f t="shared" ca="1" si="992"/>
        <v>0</v>
      </c>
      <c r="K625" s="39">
        <f t="shared" ca="1" si="993"/>
        <v>0</v>
      </c>
      <c r="L625" s="39">
        <f t="shared" ca="1" si="994"/>
        <v>0</v>
      </c>
      <c r="M625" s="39">
        <f t="shared" ca="1" si="996"/>
        <v>0</v>
      </c>
      <c r="O625" s="38"/>
      <c r="ES625" s="38"/>
    </row>
    <row r="626" spans="2:177">
      <c r="B626" s="1048">
        <f t="shared" ca="1" si="995"/>
        <v>54982</v>
      </c>
      <c r="C626" s="153">
        <f t="shared" ca="1" si="985"/>
        <v>0</v>
      </c>
      <c r="D626" s="153">
        <f t="shared" ca="1" si="986"/>
        <v>0</v>
      </c>
      <c r="E626" s="153">
        <f t="shared" ca="1" si="987"/>
        <v>0</v>
      </c>
      <c r="F626" s="153">
        <f t="shared" ca="1" si="988"/>
        <v>0</v>
      </c>
      <c r="G626" s="153">
        <f t="shared" ca="1" si="989"/>
        <v>0</v>
      </c>
      <c r="H626" s="39">
        <f t="shared" ca="1" si="990"/>
        <v>0</v>
      </c>
      <c r="I626" s="39">
        <f t="shared" ca="1" si="991"/>
        <v>0</v>
      </c>
      <c r="J626" s="39">
        <f t="shared" ca="1" si="992"/>
        <v>0</v>
      </c>
      <c r="K626" s="39">
        <f t="shared" ca="1" si="993"/>
        <v>0</v>
      </c>
      <c r="L626" s="39">
        <f t="shared" ca="1" si="994"/>
        <v>0</v>
      </c>
      <c r="M626" s="39">
        <f t="shared" ca="1" si="996"/>
        <v>0</v>
      </c>
      <c r="O626" s="38"/>
      <c r="ES626" s="38"/>
    </row>
    <row r="627" spans="2:177">
      <c r="B627" s="1048">
        <f t="shared" ca="1" si="995"/>
        <v>55012</v>
      </c>
      <c r="C627" s="153">
        <f t="shared" ca="1" si="985"/>
        <v>0</v>
      </c>
      <c r="D627" s="153">
        <f t="shared" ca="1" si="986"/>
        <v>0</v>
      </c>
      <c r="E627" s="153">
        <f t="shared" ca="1" si="987"/>
        <v>0</v>
      </c>
      <c r="F627" s="153">
        <f t="shared" ca="1" si="988"/>
        <v>0</v>
      </c>
      <c r="G627" s="153">
        <f t="shared" ca="1" si="989"/>
        <v>0</v>
      </c>
      <c r="H627" s="39">
        <f t="shared" ca="1" si="990"/>
        <v>0</v>
      </c>
      <c r="I627" s="39">
        <f t="shared" ca="1" si="991"/>
        <v>0</v>
      </c>
      <c r="J627" s="39">
        <f t="shared" ca="1" si="992"/>
        <v>0</v>
      </c>
      <c r="K627" s="39">
        <f t="shared" ca="1" si="993"/>
        <v>0</v>
      </c>
      <c r="L627" s="39">
        <f t="shared" ca="1" si="994"/>
        <v>0</v>
      </c>
      <c r="M627" s="39">
        <f t="shared" ca="1" si="996"/>
        <v>0</v>
      </c>
      <c r="O627" s="38"/>
      <c r="ES627" s="38"/>
    </row>
    <row r="628" spans="2:177">
      <c r="B628" s="1048">
        <f t="shared" ca="1" si="995"/>
        <v>55042</v>
      </c>
      <c r="C628" s="153">
        <f t="shared" ca="1" si="985"/>
        <v>0</v>
      </c>
      <c r="D628" s="153">
        <f t="shared" ca="1" si="986"/>
        <v>0</v>
      </c>
      <c r="E628" s="153">
        <f t="shared" ca="1" si="987"/>
        <v>0</v>
      </c>
      <c r="F628" s="153">
        <f t="shared" ca="1" si="988"/>
        <v>0</v>
      </c>
      <c r="G628" s="153">
        <f t="shared" ca="1" si="989"/>
        <v>0</v>
      </c>
      <c r="H628" s="39">
        <f t="shared" ca="1" si="990"/>
        <v>0</v>
      </c>
      <c r="I628" s="39">
        <f t="shared" ca="1" si="991"/>
        <v>0</v>
      </c>
      <c r="J628" s="39">
        <f t="shared" ca="1" si="992"/>
        <v>0</v>
      </c>
      <c r="K628" s="39">
        <f t="shared" ca="1" si="993"/>
        <v>0</v>
      </c>
      <c r="L628" s="39">
        <f t="shared" ca="1" si="994"/>
        <v>0</v>
      </c>
      <c r="M628" s="39">
        <f t="shared" ca="1" si="996"/>
        <v>0</v>
      </c>
      <c r="BR628" s="38"/>
      <c r="BS628" s="38"/>
      <c r="BT628" s="154"/>
      <c r="BU628" s="38"/>
      <c r="CL628" s="171"/>
      <c r="DD628" s="171"/>
      <c r="DE628" s="53"/>
      <c r="ES628" s="38"/>
      <c r="FG628" s="58"/>
      <c r="FH628" s="38"/>
      <c r="FJ628" s="53"/>
      <c r="FK628" s="53"/>
      <c r="FL628" s="53"/>
      <c r="FN628" s="67"/>
      <c r="FO628" s="38"/>
      <c r="FP628" s="43"/>
      <c r="FQ628" s="548"/>
      <c r="FR628" s="53"/>
      <c r="FS628" s="53"/>
      <c r="FT628" s="53"/>
      <c r="FU628" s="53"/>
    </row>
    <row r="629" spans="2:177">
      <c r="B629" s="1048"/>
      <c r="P629" s="214"/>
      <c r="R629" s="205"/>
      <c r="T629" s="53"/>
      <c r="V629" s="53"/>
      <c r="BR629" s="38"/>
      <c r="BS629" s="38"/>
      <c r="BT629" s="154"/>
      <c r="BU629" s="38"/>
      <c r="CL629" s="171"/>
      <c r="DD629" s="171"/>
      <c r="DE629" s="53"/>
      <c r="ES629" s="38"/>
      <c r="FG629" s="58"/>
      <c r="FH629" s="38"/>
      <c r="FJ629" s="53"/>
      <c r="FK629" s="53"/>
      <c r="FL629" s="53"/>
      <c r="FN629" s="67"/>
      <c r="FO629" s="38"/>
      <c r="FP629" s="43"/>
      <c r="FQ629" s="548"/>
      <c r="FR629" s="53"/>
      <c r="FS629" s="53"/>
      <c r="FT629" s="53"/>
      <c r="FU629" s="53"/>
    </row>
    <row r="630" spans="2:177">
      <c r="P630" s="214"/>
      <c r="R630" s="205"/>
      <c r="T630" s="53"/>
      <c r="V630" s="53"/>
      <c r="BR630" s="38"/>
      <c r="BS630" s="38"/>
      <c r="BT630" s="154"/>
      <c r="BU630" s="38"/>
      <c r="CL630" s="171"/>
      <c r="DD630" s="171"/>
      <c r="DE630" s="53"/>
      <c r="ES630" s="38"/>
      <c r="FG630" s="58"/>
      <c r="FH630" s="38"/>
      <c r="FJ630" s="53"/>
      <c r="FK630" s="53"/>
      <c r="FL630" s="53"/>
      <c r="FN630" s="67"/>
      <c r="FO630" s="38"/>
      <c r="FP630" s="43"/>
      <c r="FQ630" s="548"/>
      <c r="FR630" s="53"/>
      <c r="FS630" s="53"/>
      <c r="FT630" s="53"/>
      <c r="FU630" s="53"/>
    </row>
    <row r="631" spans="2:177">
      <c r="P631" s="214"/>
      <c r="R631" s="205"/>
      <c r="T631" s="53"/>
      <c r="V631" s="53"/>
      <c r="BR631" s="38"/>
      <c r="BS631" s="38"/>
      <c r="BT631" s="154"/>
      <c r="BU631" s="38"/>
      <c r="CL631" s="171"/>
      <c r="DD631" s="171"/>
      <c r="DE631" s="53"/>
      <c r="ES631" s="38"/>
      <c r="FG631" s="58"/>
      <c r="FH631" s="38"/>
      <c r="FJ631" s="53"/>
      <c r="FK631" s="53"/>
      <c r="FL631" s="53"/>
      <c r="FN631" s="67"/>
      <c r="FO631" s="38"/>
      <c r="FP631" s="43"/>
      <c r="FQ631" s="548"/>
      <c r="FR631" s="53"/>
      <c r="FS631" s="53"/>
      <c r="FT631" s="53"/>
      <c r="FU631" s="53"/>
    </row>
    <row r="632" spans="2:177">
      <c r="P632" s="214"/>
      <c r="R632" s="205"/>
      <c r="T632" s="53"/>
      <c r="V632" s="53"/>
      <c r="BR632" s="38"/>
      <c r="BS632" s="38"/>
      <c r="BT632" s="154"/>
      <c r="BU632" s="38"/>
      <c r="BX632" s="38"/>
      <c r="BY632" s="162"/>
      <c r="BZ632" s="166"/>
      <c r="CA632" s="53"/>
      <c r="CB632" s="153"/>
      <c r="CC632" s="53"/>
      <c r="CD632" s="53"/>
      <c r="CF632" s="53"/>
      <c r="CL632" s="171"/>
      <c r="CP632" s="53"/>
      <c r="CU632" s="153"/>
      <c r="CV632" s="153"/>
      <c r="CY632" s="53"/>
      <c r="CZ632" s="53"/>
      <c r="DA632" s="392"/>
      <c r="DD632" s="171"/>
      <c r="DE632" s="53"/>
      <c r="DH632" s="53"/>
      <c r="DM632" s="153"/>
      <c r="DN632" s="153"/>
      <c r="DR632" s="53"/>
      <c r="DS632" s="679"/>
      <c r="DT632" s="679"/>
      <c r="DU632" s="548"/>
      <c r="DV632" s="679"/>
      <c r="DW632" s="53"/>
      <c r="DX632" s="53"/>
      <c r="DY632" s="38"/>
      <c r="DZ632" s="53"/>
      <c r="ES632" s="38"/>
      <c r="FG632" s="58"/>
      <c r="FH632" s="38"/>
      <c r="FJ632" s="53"/>
      <c r="FK632" s="53"/>
      <c r="FL632" s="53"/>
      <c r="FN632" s="67"/>
      <c r="FO632" s="38"/>
      <c r="FP632" s="43"/>
      <c r="FQ632" s="548"/>
      <c r="FR632" s="53"/>
      <c r="FS632" s="53"/>
      <c r="FT632" s="53"/>
      <c r="FU632" s="53"/>
    </row>
    <row r="633" spans="2:177" ht="13.5" thickBot="1">
      <c r="P633" s="214"/>
      <c r="R633" s="205"/>
      <c r="T633" s="53"/>
      <c r="V633" s="53"/>
      <c r="BR633" s="38"/>
      <c r="BS633" s="38"/>
      <c r="BT633" s="154"/>
      <c r="BU633" s="38"/>
      <c r="BX633" s="38"/>
      <c r="BY633" s="162"/>
      <c r="BZ633" s="166"/>
      <c r="CA633" s="53"/>
      <c r="CB633" s="153"/>
      <c r="CC633" s="53"/>
      <c r="CD633" s="53"/>
      <c r="CF633" s="53"/>
      <c r="CL633" s="171"/>
      <c r="CP633" s="53"/>
      <c r="CU633" s="153"/>
      <c r="CV633" s="153"/>
      <c r="CY633" s="53"/>
      <c r="CZ633" s="53"/>
      <c r="DA633" s="392"/>
      <c r="DD633" s="171"/>
      <c r="DE633" s="53"/>
      <c r="DH633" s="53"/>
      <c r="DM633" s="153"/>
      <c r="DN633" s="153"/>
      <c r="DR633" s="53"/>
      <c r="DS633" s="679"/>
      <c r="DT633" s="679"/>
      <c r="DU633" s="548"/>
      <c r="DV633" s="679"/>
      <c r="DW633" s="53"/>
      <c r="DX633" s="53"/>
      <c r="DY633" s="38"/>
      <c r="DZ633" s="53"/>
      <c r="ES633" s="38"/>
      <c r="FG633" s="58"/>
      <c r="FH633" s="38"/>
      <c r="FJ633" s="53"/>
      <c r="FK633" s="53"/>
      <c r="FL633" s="53"/>
      <c r="FN633" s="67"/>
      <c r="FO633" s="38"/>
      <c r="FP633" s="43"/>
      <c r="FQ633" s="548"/>
      <c r="FR633" s="53"/>
      <c r="FS633" s="53"/>
      <c r="FT633" s="53"/>
      <c r="FU633" s="53"/>
    </row>
    <row r="634" spans="2:177">
      <c r="C634" s="1137">
        <v>42735</v>
      </c>
      <c r="D634" s="111"/>
      <c r="E634" s="111"/>
      <c r="F634" s="112"/>
      <c r="G634" s="114"/>
      <c r="P634" s="214"/>
      <c r="R634" s="205"/>
      <c r="T634" s="53"/>
      <c r="V634" s="53"/>
      <c r="BR634" s="38"/>
      <c r="BS634" s="38"/>
      <c r="BT634" s="154"/>
      <c r="BU634" s="38"/>
      <c r="BX634" s="38"/>
      <c r="BY634" s="162"/>
      <c r="BZ634" s="166"/>
      <c r="CA634" s="53"/>
      <c r="CB634" s="153"/>
      <c r="CC634" s="53"/>
      <c r="CD634" s="53"/>
      <c r="CF634" s="53"/>
      <c r="CL634" s="171"/>
      <c r="CP634" s="53"/>
      <c r="CU634" s="153"/>
      <c r="CV634" s="153"/>
      <c r="CY634" s="53"/>
      <c r="CZ634" s="53"/>
      <c r="DA634" s="392"/>
      <c r="DD634" s="171"/>
      <c r="DE634" s="53"/>
      <c r="DH634" s="53"/>
      <c r="DM634" s="153"/>
      <c r="DN634" s="153"/>
      <c r="DR634" s="53"/>
      <c r="DS634" s="679"/>
      <c r="DT634" s="679"/>
      <c r="DU634" s="548"/>
      <c r="DV634" s="679"/>
      <c r="DW634" s="53"/>
      <c r="DX634" s="53"/>
      <c r="DY634" s="38"/>
      <c r="DZ634" s="53"/>
      <c r="ES634" s="38"/>
      <c r="FG634" s="58"/>
      <c r="FH634" s="38"/>
      <c r="FJ634" s="53"/>
      <c r="FK634" s="53"/>
      <c r="FL634" s="53"/>
      <c r="FN634" s="67"/>
      <c r="FO634" s="38"/>
      <c r="FP634" s="43"/>
      <c r="FQ634" s="548"/>
      <c r="FR634" s="53"/>
      <c r="FS634" s="53"/>
      <c r="FT634" s="53"/>
      <c r="FU634" s="53"/>
    </row>
    <row r="635" spans="2:177">
      <c r="C635" s="497" t="s">
        <v>1532</v>
      </c>
      <c r="D635" s="114" t="s">
        <v>1491</v>
      </c>
      <c r="E635" s="114" t="s">
        <v>1670</v>
      </c>
      <c r="F635" s="115" t="s">
        <v>445</v>
      </c>
      <c r="G635" s="114"/>
      <c r="P635" s="214"/>
      <c r="R635" s="205"/>
      <c r="T635" s="53"/>
      <c r="V635" s="53"/>
      <c r="BR635" s="38"/>
      <c r="BS635" s="38"/>
      <c r="BT635" s="154"/>
      <c r="BU635" s="38"/>
      <c r="BX635" s="38"/>
      <c r="BY635" s="162"/>
      <c r="BZ635" s="166"/>
      <c r="CA635" s="53"/>
      <c r="CB635" s="153"/>
      <c r="CC635" s="53"/>
      <c r="CD635" s="53"/>
      <c r="CF635" s="53"/>
      <c r="CL635" s="171"/>
      <c r="CP635" s="53"/>
      <c r="CU635" s="153"/>
      <c r="CV635" s="153"/>
      <c r="CY635" s="53"/>
      <c r="CZ635" s="53"/>
      <c r="DA635" s="392"/>
      <c r="DD635" s="171"/>
      <c r="DE635" s="53"/>
      <c r="DH635" s="53"/>
      <c r="DM635" s="153"/>
      <c r="DN635" s="153"/>
      <c r="DR635" s="53"/>
      <c r="DS635" s="679"/>
      <c r="DT635" s="679"/>
      <c r="DU635" s="548"/>
      <c r="DV635" s="679"/>
      <c r="DW635" s="53"/>
      <c r="DX635" s="53"/>
      <c r="DY635" s="38"/>
      <c r="DZ635" s="53"/>
      <c r="ES635" s="38"/>
      <c r="FG635" s="58"/>
      <c r="FH635" s="38"/>
      <c r="FJ635" s="53"/>
      <c r="FK635" s="53"/>
      <c r="FL635" s="53"/>
      <c r="FN635" s="67"/>
      <c r="FO635" s="38"/>
      <c r="FP635" s="43"/>
      <c r="FQ635" s="548"/>
      <c r="FR635" s="53"/>
      <c r="FS635" s="53"/>
      <c r="FT635" s="53"/>
      <c r="FU635" s="53"/>
    </row>
    <row r="636" spans="2:177">
      <c r="C636" s="497" t="s">
        <v>1528</v>
      </c>
      <c r="D636" s="1038">
        <v>2.478652977412879E-2</v>
      </c>
      <c r="E636" s="1038">
        <v>0.75444000000004507</v>
      </c>
      <c r="F636" s="1138">
        <v>9.0532800000005409</v>
      </c>
      <c r="G636" s="1038"/>
      <c r="P636" s="214"/>
      <c r="R636" s="205"/>
      <c r="T636" s="53"/>
      <c r="V636" s="53"/>
      <c r="BR636" s="38"/>
      <c r="BS636" s="38"/>
      <c r="BT636" s="154"/>
      <c r="BU636" s="38"/>
      <c r="BX636" s="38"/>
      <c r="BY636" s="162"/>
      <c r="BZ636" s="166"/>
      <c r="CA636" s="53"/>
      <c r="CB636" s="153"/>
      <c r="CC636" s="53"/>
      <c r="CD636" s="53"/>
      <c r="CF636" s="53"/>
      <c r="CL636" s="171"/>
      <c r="CP636" s="53"/>
      <c r="CU636" s="153"/>
      <c r="CV636" s="153"/>
      <c r="CY636" s="53"/>
      <c r="CZ636" s="53"/>
      <c r="DA636" s="392"/>
      <c r="DD636" s="171"/>
      <c r="DE636" s="53"/>
      <c r="DH636" s="53"/>
      <c r="DM636" s="153"/>
      <c r="DN636" s="153"/>
      <c r="DR636" s="53"/>
      <c r="DS636" s="679"/>
      <c r="DT636" s="679"/>
      <c r="DU636" s="548"/>
      <c r="DV636" s="679"/>
      <c r="DW636" s="53"/>
      <c r="DX636" s="53"/>
      <c r="DY636" s="38"/>
      <c r="DZ636" s="53"/>
      <c r="ES636" s="38"/>
      <c r="FG636" s="58"/>
      <c r="FH636" s="38"/>
      <c r="FJ636" s="53"/>
      <c r="FK636" s="53"/>
      <c r="FL636" s="53"/>
      <c r="FN636" s="67"/>
      <c r="FO636" s="38"/>
      <c r="FP636" s="43"/>
      <c r="FQ636" s="548"/>
      <c r="FR636" s="53"/>
      <c r="FS636" s="53"/>
      <c r="FT636" s="53"/>
      <c r="FU636" s="53"/>
    </row>
    <row r="637" spans="2:177">
      <c r="C637" s="497" t="s">
        <v>1529</v>
      </c>
      <c r="D637" s="1038">
        <v>1.5363942505133722E-3</v>
      </c>
      <c r="E637" s="1038">
        <v>4.676400000000077E-2</v>
      </c>
      <c r="F637" s="1138">
        <v>0.56116800000000922</v>
      </c>
      <c r="G637" s="1038"/>
      <c r="P637" s="214"/>
      <c r="R637" s="205"/>
      <c r="T637" s="53"/>
      <c r="V637" s="53"/>
      <c r="BR637" s="38"/>
      <c r="BS637" s="38"/>
      <c r="BT637" s="154"/>
      <c r="BU637" s="38"/>
      <c r="BX637" s="38"/>
      <c r="BY637" s="162"/>
      <c r="BZ637" s="166"/>
      <c r="CA637" s="53"/>
      <c r="CB637" s="153"/>
      <c r="CC637" s="53"/>
      <c r="CD637" s="53"/>
      <c r="CF637" s="53"/>
      <c r="CL637" s="171"/>
      <c r="CP637" s="53"/>
      <c r="CU637" s="153"/>
      <c r="CV637" s="153"/>
      <c r="CY637" s="53"/>
      <c r="CZ637" s="53"/>
      <c r="DA637" s="392"/>
      <c r="DD637" s="171"/>
      <c r="DE637" s="53"/>
      <c r="DH637" s="53"/>
      <c r="DM637" s="153"/>
      <c r="DN637" s="153"/>
      <c r="DR637" s="53"/>
      <c r="DS637" s="679"/>
      <c r="DT637" s="679"/>
      <c r="DU637" s="548"/>
      <c r="DV637" s="679"/>
      <c r="DW637" s="53"/>
      <c r="DX637" s="53"/>
      <c r="DY637" s="38"/>
      <c r="DZ637" s="53"/>
      <c r="ES637" s="38"/>
      <c r="FG637" s="58"/>
      <c r="FH637" s="38"/>
      <c r="FJ637" s="53"/>
      <c r="FK637" s="53"/>
      <c r="FL637" s="53"/>
      <c r="FN637" s="67"/>
      <c r="FO637" s="38"/>
      <c r="FP637" s="43"/>
      <c r="FQ637" s="548"/>
      <c r="FR637" s="53"/>
      <c r="FS637" s="53"/>
      <c r="FT637" s="53"/>
      <c r="FU637" s="53"/>
    </row>
    <row r="638" spans="2:177">
      <c r="C638" s="497" t="s">
        <v>1530</v>
      </c>
      <c r="D638" s="1038">
        <v>1.8270609171800436E-3</v>
      </c>
      <c r="E638" s="1038">
        <v>5.5611166666667579E-2</v>
      </c>
      <c r="F638" s="1138">
        <v>0.66733400000001097</v>
      </c>
      <c r="G638" s="1038"/>
      <c r="P638" s="214"/>
      <c r="R638" s="205"/>
      <c r="T638" s="53"/>
      <c r="V638" s="53"/>
      <c r="BR638" s="38"/>
      <c r="BS638" s="38"/>
      <c r="BT638" s="154"/>
      <c r="BU638" s="38"/>
      <c r="BX638" s="38"/>
      <c r="BY638" s="162"/>
      <c r="BZ638" s="166"/>
      <c r="CA638" s="53"/>
      <c r="CB638" s="153"/>
      <c r="CC638" s="53"/>
      <c r="CD638" s="53"/>
      <c r="CF638" s="53"/>
      <c r="CL638" s="171"/>
      <c r="CP638" s="53"/>
      <c r="CU638" s="153"/>
      <c r="CV638" s="153"/>
      <c r="CY638" s="53"/>
      <c r="CZ638" s="53"/>
      <c r="DA638" s="392"/>
      <c r="DD638" s="171"/>
      <c r="DE638" s="53"/>
      <c r="DH638" s="53"/>
      <c r="DM638" s="153"/>
      <c r="DN638" s="153"/>
      <c r="DR638" s="53"/>
      <c r="DS638" s="679"/>
      <c r="DT638" s="679"/>
      <c r="DU638" s="548"/>
      <c r="DV638" s="679"/>
      <c r="DW638" s="53"/>
      <c r="DX638" s="53"/>
      <c r="DY638" s="38"/>
      <c r="DZ638" s="53"/>
      <c r="ES638" s="38"/>
      <c r="FG638" s="58"/>
      <c r="FH638" s="38"/>
      <c r="FJ638" s="53"/>
      <c r="FK638" s="53"/>
      <c r="FL638" s="53"/>
      <c r="FN638" s="67"/>
      <c r="FO638" s="38"/>
      <c r="FP638" s="43"/>
      <c r="FQ638" s="548"/>
      <c r="FR638" s="53"/>
      <c r="FS638" s="53"/>
      <c r="FT638" s="53"/>
      <c r="FU638" s="53"/>
    </row>
    <row r="639" spans="2:177">
      <c r="C639" s="497" t="s">
        <v>1531</v>
      </c>
      <c r="D639" s="1038">
        <v>1.3785987679671565E-2</v>
      </c>
      <c r="E639" s="1038">
        <v>0.41961100000000329</v>
      </c>
      <c r="F639" s="1138">
        <v>5.0353320000000394</v>
      </c>
      <c r="G639" s="1038"/>
      <c r="P639" s="214"/>
      <c r="R639" s="205"/>
      <c r="T639" s="53"/>
      <c r="V639" s="53"/>
      <c r="BR639" s="38"/>
      <c r="BS639" s="38"/>
      <c r="BT639" s="154"/>
      <c r="BU639" s="38"/>
      <c r="BX639" s="38"/>
      <c r="BY639" s="162"/>
      <c r="BZ639" s="166"/>
      <c r="CA639" s="53"/>
      <c r="CB639" s="153"/>
      <c r="CC639" s="53"/>
      <c r="CD639" s="53"/>
      <c r="CF639" s="53"/>
      <c r="CL639" s="171"/>
      <c r="CP639" s="53"/>
      <c r="CU639" s="153"/>
      <c r="CV639" s="153"/>
      <c r="CY639" s="53"/>
      <c r="CZ639" s="53"/>
      <c r="DA639" s="392"/>
      <c r="DD639" s="171"/>
      <c r="DE639" s="53"/>
      <c r="DH639" s="53"/>
      <c r="DM639" s="153"/>
      <c r="DN639" s="153"/>
      <c r="DR639" s="53"/>
      <c r="DS639" s="679"/>
      <c r="DT639" s="679"/>
      <c r="DU639" s="548"/>
      <c r="DV639" s="679"/>
      <c r="DW639" s="53"/>
      <c r="DX639" s="53"/>
      <c r="DY639" s="38"/>
      <c r="DZ639" s="53"/>
      <c r="ED639" s="53"/>
      <c r="EF639" s="38"/>
      <c r="EJ639" s="153"/>
      <c r="EK639" s="214"/>
      <c r="EL639" s="153"/>
      <c r="EM639" s="153"/>
      <c r="EO639" s="53"/>
      <c r="EP639" s="38"/>
      <c r="EQ639" s="38"/>
      <c r="ER639" s="38"/>
      <c r="ES639" s="38"/>
      <c r="FG639" s="58"/>
      <c r="FH639" s="38"/>
      <c r="FJ639" s="53"/>
      <c r="FK639" s="53"/>
      <c r="FL639" s="53"/>
      <c r="FN639" s="67"/>
      <c r="FO639" s="38"/>
      <c r="FP639" s="43"/>
      <c r="FQ639" s="548"/>
      <c r="FR639" s="53"/>
      <c r="FS639" s="53"/>
      <c r="FT639" s="53"/>
      <c r="FU639" s="53"/>
    </row>
    <row r="640" spans="2:177">
      <c r="C640" s="497" t="s">
        <v>868</v>
      </c>
      <c r="D640" s="1038">
        <v>1.0951403148528405E-3</v>
      </c>
      <c r="E640" s="1038">
        <v>3.3333333333333333E-2</v>
      </c>
      <c r="F640" s="1138">
        <v>0.39999999999999997</v>
      </c>
      <c r="G640" s="1038"/>
      <c r="P640" s="214"/>
      <c r="R640" s="205"/>
      <c r="T640" s="53"/>
      <c r="V640" s="53"/>
      <c r="BR640" s="38"/>
      <c r="BS640" s="38"/>
      <c r="BT640" s="154"/>
      <c r="BU640" s="38"/>
      <c r="BX640" s="38"/>
      <c r="BY640" s="162"/>
      <c r="BZ640" s="166"/>
      <c r="CA640" s="53"/>
      <c r="CB640" s="153"/>
      <c r="CC640" s="53"/>
      <c r="CD640" s="53"/>
      <c r="CF640" s="53"/>
      <c r="CL640" s="171"/>
      <c r="CP640" s="53"/>
      <c r="CU640" s="153"/>
      <c r="CV640" s="153"/>
      <c r="CY640" s="53"/>
      <c r="CZ640" s="53"/>
      <c r="DA640" s="392"/>
      <c r="DD640" s="171"/>
      <c r="DE640" s="53"/>
      <c r="DH640" s="53"/>
      <c r="DM640" s="153"/>
      <c r="DN640" s="153"/>
      <c r="DR640" s="53"/>
      <c r="DS640" s="679"/>
      <c r="DT640" s="679"/>
      <c r="DU640" s="548"/>
      <c r="DV640" s="679"/>
      <c r="DW640" s="53"/>
      <c r="DX640" s="53"/>
      <c r="DY640" s="38"/>
      <c r="DZ640" s="53"/>
      <c r="ED640" s="53"/>
      <c r="EF640" s="38"/>
      <c r="EJ640" s="153"/>
      <c r="EK640" s="214"/>
      <c r="EL640" s="153"/>
      <c r="EM640" s="153"/>
      <c r="EO640" s="53"/>
      <c r="EP640" s="38"/>
      <c r="EQ640" s="38"/>
      <c r="ER640" s="38"/>
      <c r="ES640" s="38"/>
      <c r="FG640" s="58"/>
      <c r="FH640" s="38"/>
      <c r="FJ640" s="53"/>
      <c r="FK640" s="53"/>
      <c r="FL640" s="53"/>
      <c r="FN640" s="67"/>
      <c r="FO640" s="38"/>
      <c r="FP640" s="43"/>
      <c r="FQ640" s="548"/>
      <c r="FR640" s="53"/>
      <c r="FS640" s="53"/>
      <c r="FT640" s="53"/>
      <c r="FU640" s="53"/>
    </row>
    <row r="641" spans="3:177">
      <c r="C641" s="497" t="s">
        <v>9</v>
      </c>
      <c r="D641" s="1038">
        <v>0.22039698836413416</v>
      </c>
      <c r="E641" s="1038">
        <v>6.708333333333333</v>
      </c>
      <c r="F641" s="1138">
        <v>80.5</v>
      </c>
      <c r="G641" s="1038"/>
      <c r="P641" s="214"/>
      <c r="R641" s="205"/>
      <c r="T641" s="53"/>
      <c r="V641" s="53"/>
      <c r="BR641" s="38"/>
      <c r="BS641" s="38"/>
      <c r="BT641" s="154"/>
      <c r="BU641" s="38"/>
      <c r="BX641" s="38"/>
      <c r="BY641" s="162"/>
      <c r="BZ641" s="166"/>
      <c r="CA641" s="53"/>
      <c r="CB641" s="153"/>
      <c r="CC641" s="53"/>
      <c r="CD641" s="53"/>
      <c r="CF641" s="53"/>
      <c r="CL641" s="171"/>
      <c r="CP641" s="53"/>
      <c r="CU641" s="153"/>
      <c r="CV641" s="153"/>
      <c r="CY641" s="53"/>
      <c r="CZ641" s="53"/>
      <c r="DA641" s="392"/>
      <c r="DD641" s="171"/>
      <c r="DE641" s="53"/>
      <c r="DH641" s="53"/>
      <c r="DM641" s="153"/>
      <c r="DN641" s="153"/>
      <c r="DR641" s="53"/>
      <c r="DS641" s="679"/>
      <c r="DT641" s="679"/>
      <c r="DU641" s="548"/>
      <c r="DV641" s="679"/>
      <c r="DW641" s="53"/>
      <c r="DX641" s="53"/>
      <c r="DY641" s="38"/>
      <c r="DZ641" s="53"/>
      <c r="ED641" s="53"/>
      <c r="EF641" s="38"/>
      <c r="EJ641" s="153"/>
      <c r="EK641" s="214"/>
      <c r="EL641" s="153"/>
      <c r="EM641" s="153"/>
      <c r="EO641" s="53"/>
      <c r="EP641" s="38"/>
      <c r="EQ641" s="38"/>
      <c r="ER641" s="38"/>
      <c r="ES641" s="38"/>
      <c r="FG641" s="58"/>
      <c r="FH641" s="38"/>
      <c r="FJ641" s="53"/>
      <c r="FK641" s="53"/>
      <c r="FL641" s="53"/>
      <c r="FN641" s="67"/>
      <c r="FO641" s="38"/>
      <c r="FP641" s="43"/>
      <c r="FQ641" s="548"/>
      <c r="FR641" s="53"/>
      <c r="FS641" s="53"/>
      <c r="FT641" s="53"/>
      <c r="FU641" s="53"/>
    </row>
    <row r="642" spans="3:177">
      <c r="C642" s="497" t="s">
        <v>867</v>
      </c>
      <c r="D642" s="1038">
        <v>0.54996577686516079</v>
      </c>
      <c r="E642" s="1038">
        <v>16.739583333333332</v>
      </c>
      <c r="F642" s="1138">
        <v>200.87499999999997</v>
      </c>
      <c r="G642" s="1038"/>
      <c r="P642" s="214"/>
      <c r="R642" s="205"/>
      <c r="T642" s="53"/>
      <c r="V642" s="53"/>
      <c r="BR642" s="38"/>
      <c r="BS642" s="38"/>
      <c r="BT642" s="154"/>
      <c r="BU642" s="38"/>
      <c r="BX642" s="38"/>
      <c r="BY642" s="162"/>
      <c r="BZ642" s="166"/>
      <c r="CA642" s="53"/>
      <c r="CB642" s="153"/>
      <c r="CC642" s="53"/>
      <c r="CD642" s="53"/>
      <c r="CF642" s="53"/>
      <c r="CL642" s="171"/>
      <c r="CP642" s="53"/>
      <c r="CU642" s="153"/>
      <c r="CV642" s="153"/>
      <c r="CY642" s="53"/>
      <c r="CZ642" s="53"/>
      <c r="DA642" s="392"/>
      <c r="DD642" s="171"/>
      <c r="DE642" s="53"/>
      <c r="DH642" s="53"/>
      <c r="DM642" s="153"/>
      <c r="DN642" s="153"/>
      <c r="DR642" s="53"/>
      <c r="DS642" s="679"/>
      <c r="DT642" s="679"/>
      <c r="DU642" s="548"/>
      <c r="DV642" s="679"/>
      <c r="DW642" s="53"/>
      <c r="DX642" s="53"/>
      <c r="DY642" s="38"/>
      <c r="DZ642" s="53"/>
      <c r="ED642" s="53"/>
      <c r="EF642" s="38"/>
      <c r="EJ642" s="153"/>
      <c r="EK642" s="214"/>
      <c r="EL642" s="153"/>
      <c r="EM642" s="153"/>
      <c r="EO642" s="53"/>
      <c r="EP642" s="38"/>
      <c r="EQ642" s="38"/>
      <c r="ER642" s="38"/>
      <c r="ES642" s="38"/>
      <c r="FG642" s="58"/>
      <c r="FH642" s="38"/>
      <c r="FJ642" s="53"/>
      <c r="FK642" s="53"/>
      <c r="FL642" s="53"/>
      <c r="FN642" s="67"/>
      <c r="FO642" s="38"/>
      <c r="FP642" s="43"/>
      <c r="FQ642" s="548"/>
      <c r="FR642" s="53"/>
      <c r="FS642" s="53"/>
      <c r="FT642" s="53"/>
      <c r="FU642" s="53"/>
    </row>
    <row r="643" spans="3:177">
      <c r="C643" s="497" t="s">
        <v>300</v>
      </c>
      <c r="D643" s="1038">
        <v>6.1685592060232719E-2</v>
      </c>
      <c r="E643" s="1038">
        <v>1.8775552083333336</v>
      </c>
      <c r="F643" s="1138">
        <v>22.530662500000002</v>
      </c>
      <c r="G643" s="1038"/>
      <c r="P643" s="214"/>
      <c r="R643" s="205"/>
      <c r="T643" s="53"/>
      <c r="V643" s="53"/>
      <c r="BR643" s="38"/>
      <c r="BS643" s="38"/>
      <c r="BT643" s="154"/>
      <c r="BU643" s="38"/>
      <c r="BX643" s="38"/>
      <c r="BY643" s="162"/>
      <c r="BZ643" s="166"/>
      <c r="CA643" s="53"/>
      <c r="CB643" s="153"/>
      <c r="CC643" s="53"/>
      <c r="CD643" s="53"/>
      <c r="CF643" s="53"/>
      <c r="CL643" s="171"/>
      <c r="CP643" s="53"/>
      <c r="CU643" s="153"/>
      <c r="CV643" s="153"/>
      <c r="CY643" s="53"/>
      <c r="CZ643" s="53"/>
      <c r="DA643" s="392"/>
      <c r="DD643" s="171"/>
      <c r="DE643" s="53"/>
      <c r="DH643" s="53"/>
      <c r="DM643" s="153"/>
      <c r="DN643" s="153"/>
      <c r="DR643" s="53"/>
      <c r="DS643" s="679"/>
      <c r="DT643" s="679"/>
      <c r="DU643" s="548"/>
      <c r="DV643" s="679"/>
      <c r="DW643" s="53"/>
      <c r="DX643" s="53"/>
      <c r="DY643" s="38"/>
      <c r="DZ643" s="53"/>
      <c r="ED643" s="53"/>
      <c r="EF643" s="38"/>
      <c r="EJ643" s="153"/>
      <c r="EK643" s="214"/>
      <c r="EL643" s="153"/>
      <c r="EM643" s="153"/>
      <c r="EO643" s="53"/>
      <c r="EP643" s="38"/>
      <c r="EQ643" s="38"/>
      <c r="ER643" s="38"/>
      <c r="ES643" s="38"/>
      <c r="FG643" s="58"/>
      <c r="FH643" s="38"/>
      <c r="FJ643" s="53"/>
      <c r="FK643" s="53"/>
      <c r="FL643" s="53"/>
      <c r="FN643" s="67"/>
      <c r="FO643" s="38"/>
      <c r="FP643" s="43"/>
      <c r="FQ643" s="548"/>
      <c r="FR643" s="53"/>
      <c r="FS643" s="53"/>
      <c r="FT643" s="53"/>
      <c r="FU643" s="53"/>
    </row>
    <row r="644" spans="3:177">
      <c r="C644" s="497" t="s">
        <v>163</v>
      </c>
      <c r="D644" s="1038">
        <v>1.4378875843053189E-2</v>
      </c>
      <c r="E644" s="1038">
        <v>0.43765703347293144</v>
      </c>
      <c r="F644" s="1138">
        <v>5.2518844016751771</v>
      </c>
      <c r="G644" s="1038"/>
      <c r="P644" s="214"/>
      <c r="R644" s="205"/>
      <c r="T644" s="53"/>
      <c r="V644" s="53"/>
      <c r="BR644" s="38"/>
      <c r="BS644" s="38"/>
      <c r="BT644" s="154"/>
      <c r="BU644" s="38"/>
      <c r="BX644" s="38"/>
      <c r="BY644" s="162"/>
      <c r="BZ644" s="166"/>
      <c r="CA644" s="53"/>
      <c r="CB644" s="153"/>
      <c r="CC644" s="53"/>
      <c r="CD644" s="53"/>
      <c r="CF644" s="53"/>
      <c r="CL644" s="171"/>
      <c r="CP644" s="53"/>
      <c r="CU644" s="153"/>
      <c r="CV644" s="153"/>
      <c r="CY644" s="53"/>
      <c r="CZ644" s="53"/>
      <c r="DA644" s="392"/>
      <c r="DD644" s="171"/>
      <c r="DE644" s="53"/>
      <c r="DH644" s="53"/>
      <c r="DM644" s="153"/>
      <c r="DN644" s="153"/>
      <c r="DR644" s="53"/>
      <c r="DS644" s="679"/>
      <c r="DT644" s="679"/>
      <c r="DU644" s="548"/>
      <c r="DV644" s="679"/>
      <c r="DW644" s="53"/>
      <c r="DX644" s="53"/>
      <c r="DY644" s="38"/>
      <c r="DZ644" s="53"/>
      <c r="ED644" s="53"/>
      <c r="EF644" s="38"/>
      <c r="EJ644" s="153"/>
      <c r="EK644" s="214"/>
      <c r="EL644" s="153"/>
      <c r="EM644" s="153"/>
      <c r="EO644" s="53"/>
      <c r="EP644" s="38"/>
      <c r="EQ644" s="38"/>
      <c r="ER644" s="38"/>
      <c r="ES644" s="38"/>
      <c r="FG644" s="58"/>
      <c r="FH644" s="38"/>
      <c r="FJ644" s="53"/>
      <c r="FK644" s="53"/>
      <c r="FL644" s="53"/>
      <c r="FN644" s="67"/>
      <c r="FO644" s="38"/>
      <c r="FP644" s="43"/>
      <c r="FQ644" s="548"/>
      <c r="FR644" s="53"/>
      <c r="FS644" s="53"/>
      <c r="FT644" s="53"/>
      <c r="FU644" s="53"/>
    </row>
    <row r="645" spans="3:177">
      <c r="C645" s="497" t="s">
        <v>164</v>
      </c>
      <c r="D645" s="1038">
        <v>0.22440943162849014</v>
      </c>
      <c r="E645" s="1038">
        <v>6.8304620751921687</v>
      </c>
      <c r="F645" s="1138">
        <v>81.965544902306021</v>
      </c>
      <c r="G645" s="1038"/>
      <c r="P645" s="214"/>
      <c r="R645" s="205"/>
      <c r="T645" s="53"/>
      <c r="V645" s="53"/>
      <c r="BR645" s="38"/>
      <c r="BS645" s="38"/>
      <c r="BT645" s="154"/>
      <c r="BU645" s="38"/>
      <c r="BX645" s="38"/>
      <c r="BY645" s="162"/>
      <c r="BZ645" s="166"/>
      <c r="CA645" s="53"/>
      <c r="CB645" s="153"/>
      <c r="CC645" s="53"/>
      <c r="CD645" s="53"/>
      <c r="CF645" s="53"/>
      <c r="CL645" s="171"/>
      <c r="CP645" s="53"/>
      <c r="CU645" s="153"/>
      <c r="CV645" s="153"/>
      <c r="CY645" s="53"/>
      <c r="CZ645" s="53"/>
      <c r="DA645" s="392"/>
      <c r="DD645" s="171"/>
      <c r="DE645" s="53"/>
      <c r="DH645" s="53"/>
      <c r="DM645" s="153"/>
      <c r="DN645" s="153"/>
      <c r="DR645" s="53"/>
      <c r="DS645" s="679"/>
      <c r="DT645" s="679"/>
      <c r="DU645" s="548"/>
      <c r="DV645" s="679"/>
      <c r="DW645" s="53"/>
      <c r="DX645" s="53"/>
      <c r="DY645" s="38"/>
      <c r="DZ645" s="53"/>
      <c r="ED645" s="53"/>
      <c r="EF645" s="38"/>
      <c r="EJ645" s="153"/>
      <c r="EK645" s="214"/>
      <c r="EL645" s="153"/>
      <c r="EM645" s="153"/>
      <c r="EO645" s="53"/>
      <c r="EP645" s="38"/>
      <c r="EQ645" s="38"/>
      <c r="ER645" s="38"/>
      <c r="ES645" s="38"/>
      <c r="FG645" s="58"/>
      <c r="FH645" s="38"/>
      <c r="FJ645" s="53"/>
      <c r="FK645" s="53"/>
      <c r="FL645" s="53"/>
      <c r="FN645" s="67"/>
      <c r="FO645" s="38"/>
      <c r="FP645" s="43"/>
      <c r="FQ645" s="548"/>
      <c r="FR645" s="53"/>
      <c r="FS645" s="53"/>
      <c r="FT645" s="53"/>
      <c r="FU645" s="53"/>
    </row>
    <row r="646" spans="3:177">
      <c r="C646" s="497" t="s">
        <v>1671</v>
      </c>
      <c r="D646" s="1038">
        <v>1.1138677776974175</v>
      </c>
      <c r="E646" s="1038">
        <v>33.903350483665143</v>
      </c>
      <c r="F646" s="1138">
        <v>406.84020580398175</v>
      </c>
      <c r="G646" s="1038"/>
      <c r="P646" s="214"/>
      <c r="R646" s="205"/>
      <c r="T646" s="53"/>
      <c r="V646" s="53"/>
      <c r="BR646" s="38"/>
      <c r="BS646" s="38"/>
      <c r="BT646" s="154"/>
      <c r="BU646" s="38"/>
      <c r="BX646" s="38"/>
      <c r="BY646" s="162"/>
      <c r="BZ646" s="166"/>
      <c r="CA646" s="53"/>
      <c r="CB646" s="153"/>
      <c r="CC646" s="53"/>
      <c r="CD646" s="53"/>
      <c r="CF646" s="53"/>
      <c r="CL646" s="171"/>
      <c r="CP646" s="53"/>
      <c r="CU646" s="153"/>
      <c r="CV646" s="153"/>
      <c r="CY646" s="53"/>
      <c r="CZ646" s="53"/>
      <c r="DA646" s="392"/>
      <c r="DD646" s="171"/>
      <c r="DE646" s="53"/>
      <c r="DH646" s="53"/>
      <c r="DM646" s="153"/>
      <c r="DN646" s="153"/>
      <c r="DR646" s="53"/>
      <c r="DS646" s="679"/>
      <c r="DT646" s="679"/>
      <c r="DU646" s="548"/>
      <c r="DV646" s="679"/>
      <c r="DW646" s="53"/>
      <c r="DX646" s="53"/>
      <c r="DY646" s="38"/>
      <c r="DZ646" s="53"/>
      <c r="ED646" s="53"/>
      <c r="EF646" s="38"/>
      <c r="EJ646" s="153"/>
      <c r="EK646" s="214"/>
      <c r="EL646" s="153"/>
      <c r="EM646" s="153"/>
      <c r="EO646" s="53"/>
      <c r="EP646" s="38"/>
      <c r="EQ646" s="38"/>
      <c r="ER646" s="38"/>
      <c r="ES646" s="38"/>
      <c r="FG646" s="58"/>
      <c r="FH646" s="38"/>
      <c r="FJ646" s="53"/>
      <c r="FK646" s="53"/>
      <c r="FL646" s="53"/>
      <c r="FN646" s="67"/>
      <c r="FO646" s="38"/>
      <c r="FP646" s="43"/>
      <c r="FQ646" s="548"/>
      <c r="FR646" s="53"/>
      <c r="FS646" s="53"/>
      <c r="FT646" s="53"/>
      <c r="FU646" s="53"/>
    </row>
    <row r="647" spans="3:177">
      <c r="C647" s="497"/>
      <c r="D647" s="114"/>
      <c r="E647" s="114"/>
      <c r="F647" s="115"/>
      <c r="G647" s="114"/>
      <c r="P647" s="214"/>
      <c r="R647" s="205"/>
      <c r="T647" s="53"/>
      <c r="V647" s="53"/>
      <c r="BR647" s="38"/>
      <c r="BS647" s="38"/>
      <c r="BT647" s="154"/>
      <c r="BU647" s="38"/>
      <c r="BX647" s="38"/>
      <c r="BY647" s="162"/>
      <c r="BZ647" s="166"/>
      <c r="CA647" s="53"/>
      <c r="CB647" s="153"/>
      <c r="CC647" s="53"/>
      <c r="CD647" s="53"/>
      <c r="CF647" s="53"/>
      <c r="CL647" s="171"/>
      <c r="CP647" s="53"/>
      <c r="CU647" s="153"/>
      <c r="CV647" s="153"/>
      <c r="CY647" s="53"/>
      <c r="CZ647" s="53"/>
      <c r="DA647" s="392"/>
      <c r="DD647" s="171"/>
      <c r="DE647" s="53"/>
      <c r="DH647" s="53"/>
      <c r="DM647" s="153"/>
      <c r="DN647" s="153"/>
      <c r="DR647" s="53"/>
      <c r="DS647" s="679"/>
      <c r="DT647" s="679"/>
      <c r="DU647" s="548"/>
      <c r="DV647" s="679"/>
      <c r="DW647" s="53"/>
      <c r="DX647" s="53"/>
      <c r="DY647" s="38"/>
      <c r="DZ647" s="53"/>
      <c r="ED647" s="53"/>
      <c r="EF647" s="38"/>
      <c r="EJ647" s="153"/>
      <c r="EK647" s="214"/>
      <c r="EL647" s="153"/>
      <c r="EM647" s="153"/>
      <c r="EO647" s="53"/>
      <c r="EP647" s="38"/>
      <c r="EQ647" s="38"/>
      <c r="ER647" s="38"/>
      <c r="ES647" s="38"/>
      <c r="FG647" s="58"/>
      <c r="FH647" s="38"/>
      <c r="FJ647" s="53"/>
      <c r="FK647" s="53"/>
      <c r="FL647" s="53"/>
      <c r="FN647" s="67"/>
      <c r="FO647" s="38"/>
      <c r="FP647" s="43"/>
      <c r="FQ647" s="548"/>
      <c r="FR647" s="53"/>
      <c r="FS647" s="53"/>
      <c r="FT647" s="53"/>
      <c r="FU647" s="53"/>
    </row>
    <row r="648" spans="3:177">
      <c r="C648" s="1240">
        <f ca="1">TODAY()</f>
        <v>42772</v>
      </c>
      <c r="D648" s="114"/>
      <c r="E648" s="114"/>
      <c r="F648" s="115"/>
      <c r="G648" s="114"/>
      <c r="P648" s="214"/>
      <c r="R648" s="205"/>
      <c r="T648" s="53"/>
      <c r="V648" s="53"/>
      <c r="BR648" s="38"/>
      <c r="BS648" s="38"/>
      <c r="BT648" s="154"/>
      <c r="BU648" s="38"/>
      <c r="BX648" s="38"/>
      <c r="BY648" s="162"/>
      <c r="BZ648" s="166"/>
      <c r="CA648" s="53"/>
      <c r="CB648" s="153"/>
      <c r="CC648" s="53"/>
      <c r="CD648" s="53"/>
      <c r="CF648" s="53"/>
      <c r="CL648" s="171"/>
      <c r="CP648" s="53"/>
      <c r="CU648" s="153"/>
      <c r="CV648" s="153"/>
      <c r="CY648" s="53"/>
      <c r="CZ648" s="53"/>
      <c r="DA648" s="392"/>
      <c r="DD648" s="171"/>
      <c r="DE648" s="53"/>
      <c r="DH648" s="53"/>
      <c r="DM648" s="153"/>
      <c r="DN648" s="153"/>
      <c r="DR648" s="53"/>
      <c r="DS648" s="679"/>
      <c r="DT648" s="679"/>
      <c r="DU648" s="548"/>
      <c r="DV648" s="679"/>
      <c r="DW648" s="53"/>
      <c r="DX648" s="53"/>
      <c r="DY648" s="38"/>
      <c r="DZ648" s="53"/>
      <c r="ED648" s="53"/>
      <c r="EF648" s="38"/>
      <c r="EJ648" s="153"/>
      <c r="EK648" s="214"/>
      <c r="EL648" s="153"/>
      <c r="EM648" s="153"/>
      <c r="EO648" s="53"/>
      <c r="EP648" s="38"/>
      <c r="EQ648" s="38"/>
      <c r="ER648" s="38"/>
      <c r="ES648" s="38"/>
      <c r="FG648" s="58"/>
      <c r="FH648" s="38"/>
      <c r="FJ648" s="53"/>
      <c r="FK648" s="53"/>
      <c r="FL648" s="53"/>
      <c r="FN648" s="67"/>
      <c r="FO648" s="38"/>
      <c r="FP648" s="43"/>
      <c r="FQ648" s="548"/>
      <c r="FR648" s="53"/>
      <c r="FS648" s="53"/>
      <c r="FT648" s="53"/>
      <c r="FU648" s="53"/>
    </row>
    <row r="649" spans="3:177">
      <c r="C649" s="497" t="str">
        <f t="shared" ref="C649:F650" si="997">D39</f>
        <v>Treasury</v>
      </c>
      <c r="D649" s="114" t="str">
        <f t="shared" si="997"/>
        <v>Daily Interest</v>
      </c>
      <c r="E649" s="114" t="str">
        <f t="shared" si="997"/>
        <v>Monthly Interest</v>
      </c>
      <c r="F649" s="115" t="str">
        <f t="shared" si="997"/>
        <v>Yearly Interest</v>
      </c>
      <c r="G649" s="114"/>
      <c r="P649" s="214"/>
      <c r="R649" s="205"/>
      <c r="T649" s="53"/>
      <c r="V649" s="53"/>
      <c r="BR649" s="38"/>
      <c r="BS649" s="38"/>
      <c r="BT649" s="154"/>
      <c r="BU649" s="38"/>
      <c r="BX649" s="38"/>
      <c r="BY649" s="162"/>
      <c r="BZ649" s="166"/>
      <c r="CA649" s="53"/>
      <c r="CB649" s="153"/>
      <c r="CC649" s="53"/>
      <c r="CD649" s="53"/>
      <c r="CF649" s="53"/>
      <c r="CL649" s="171"/>
      <c r="CP649" s="53"/>
      <c r="CU649" s="153"/>
      <c r="CV649" s="153"/>
      <c r="CY649" s="53"/>
      <c r="CZ649" s="53"/>
      <c r="DA649" s="392"/>
      <c r="DD649" s="171"/>
      <c r="DE649" s="53"/>
      <c r="DH649" s="53"/>
      <c r="DM649" s="153"/>
      <c r="DN649" s="153"/>
      <c r="DR649" s="53"/>
      <c r="DS649" s="679"/>
      <c r="DT649" s="679"/>
      <c r="DU649" s="548"/>
      <c r="DV649" s="679"/>
      <c r="DW649" s="53"/>
      <c r="DX649" s="53"/>
      <c r="DY649" s="38"/>
      <c r="DZ649" s="53"/>
      <c r="ED649" s="53"/>
      <c r="EF649" s="38"/>
      <c r="EJ649" s="153"/>
      <c r="EK649" s="214"/>
      <c r="EL649" s="153"/>
      <c r="EM649" s="153"/>
      <c r="EO649" s="53"/>
      <c r="EP649" s="38"/>
      <c r="EQ649" s="38"/>
      <c r="ER649" s="38"/>
      <c r="ES649" s="38"/>
      <c r="FG649" s="58"/>
      <c r="FH649" s="38"/>
      <c r="FJ649" s="53"/>
      <c r="FK649" s="53"/>
      <c r="FL649" s="53"/>
      <c r="FN649" s="67"/>
      <c r="FO649" s="38"/>
      <c r="FP649" s="43"/>
      <c r="FQ649" s="548"/>
      <c r="FR649" s="53"/>
      <c r="FS649" s="53"/>
      <c r="FT649" s="53"/>
      <c r="FU649" s="53"/>
    </row>
    <row r="650" spans="3:177">
      <c r="C650" s="497" t="str">
        <f t="shared" si="997"/>
        <v>28 day bill</v>
      </c>
      <c r="D650" s="1038">
        <f t="shared" si="997"/>
        <v>2.3790028747433686E-2</v>
      </c>
      <c r="E650" s="1038">
        <f t="shared" si="997"/>
        <v>0.72410900000001277</v>
      </c>
      <c r="F650" s="1138">
        <f t="shared" si="997"/>
        <v>8.6893080000001532</v>
      </c>
      <c r="G650" s="1038"/>
      <c r="P650" s="214"/>
      <c r="R650" s="205"/>
      <c r="T650" s="53"/>
      <c r="V650" s="53"/>
      <c r="BR650" s="38"/>
      <c r="BS650" s="38"/>
      <c r="BT650" s="154"/>
      <c r="BU650" s="38"/>
      <c r="BX650" s="38"/>
      <c r="BY650" s="162"/>
      <c r="BZ650" s="166"/>
      <c r="CA650" s="53"/>
      <c r="CB650" s="153"/>
      <c r="CC650" s="53"/>
      <c r="CD650" s="53"/>
      <c r="CF650" s="53"/>
      <c r="CL650" s="171"/>
      <c r="CP650" s="53"/>
      <c r="CU650" s="153"/>
      <c r="CV650" s="153"/>
      <c r="CY650" s="53"/>
      <c r="CZ650" s="53"/>
      <c r="DA650" s="392"/>
      <c r="DD650" s="171"/>
      <c r="DE650" s="53"/>
      <c r="DH650" s="53"/>
      <c r="DM650" s="153"/>
      <c r="DN650" s="153"/>
      <c r="DR650" s="53"/>
      <c r="DS650" s="679"/>
      <c r="DT650" s="679"/>
      <c r="DU650" s="548"/>
      <c r="DV650" s="679"/>
      <c r="DW650" s="53"/>
      <c r="DX650" s="53"/>
      <c r="DY650" s="38"/>
      <c r="DZ650" s="53"/>
      <c r="ED650" s="53"/>
      <c r="EF650" s="38"/>
      <c r="EJ650" s="153"/>
      <c r="EK650" s="214"/>
      <c r="EL650" s="153"/>
      <c r="EM650" s="153"/>
      <c r="EO650" s="53"/>
      <c r="EP650" s="38"/>
      <c r="EQ650" s="38"/>
      <c r="ER650" s="38"/>
      <c r="ES650" s="38"/>
      <c r="FG650" s="58"/>
      <c r="FH650" s="38"/>
      <c r="FJ650" s="53"/>
      <c r="FK650" s="53"/>
      <c r="FL650" s="53"/>
      <c r="FN650" s="67"/>
      <c r="FO650" s="38"/>
      <c r="FP650" s="43"/>
      <c r="FQ650" s="548"/>
      <c r="FR650" s="53"/>
      <c r="FS650" s="53"/>
      <c r="FT650" s="53"/>
      <c r="FU650" s="53"/>
    </row>
    <row r="651" spans="3:177">
      <c r="C651" s="497" t="str">
        <f t="shared" ref="C651:F655" si="998">D41</f>
        <v>13 week bill</v>
      </c>
      <c r="D651" s="1038">
        <f t="shared" si="998"/>
        <v>1.4256646132785021E-3</v>
      </c>
      <c r="E651" s="1038">
        <f t="shared" si="998"/>
        <v>4.3393666666664409E-2</v>
      </c>
      <c r="F651" s="1138">
        <f t="shared" si="998"/>
        <v>0.52072399999997288</v>
      </c>
      <c r="G651" s="1038"/>
      <c r="P651" s="214"/>
      <c r="R651" s="205"/>
      <c r="T651" s="53"/>
      <c r="V651" s="53"/>
      <c r="BR651" s="38"/>
      <c r="BS651" s="38"/>
      <c r="BT651" s="154"/>
      <c r="BU651" s="38"/>
      <c r="BX651" s="38"/>
      <c r="BY651" s="162"/>
      <c r="BZ651" s="166"/>
      <c r="CA651" s="53"/>
      <c r="CB651" s="153"/>
      <c r="CC651" s="53"/>
      <c r="CD651" s="53"/>
      <c r="CF651" s="53"/>
      <c r="CL651" s="171"/>
      <c r="CP651" s="53"/>
      <c r="CU651" s="153"/>
      <c r="CV651" s="153"/>
      <c r="CY651" s="53"/>
      <c r="CZ651" s="53"/>
      <c r="DA651" s="392"/>
      <c r="DD651" s="171"/>
      <c r="DE651" s="53"/>
      <c r="DH651" s="53"/>
      <c r="DM651" s="153"/>
      <c r="DN651" s="153"/>
      <c r="DR651" s="53"/>
      <c r="DS651" s="679"/>
      <c r="DT651" s="679"/>
      <c r="DU651" s="548"/>
      <c r="DV651" s="679"/>
      <c r="DW651" s="53"/>
      <c r="DX651" s="53"/>
      <c r="DY651" s="38"/>
      <c r="DZ651" s="53"/>
      <c r="ED651" s="53"/>
      <c r="EF651" s="38"/>
      <c r="EJ651" s="153"/>
      <c r="EK651" s="214"/>
      <c r="EL651" s="153"/>
      <c r="EM651" s="153"/>
      <c r="EO651" s="53"/>
      <c r="EP651" s="38"/>
      <c r="EQ651" s="38"/>
      <c r="ER651" s="38"/>
      <c r="ES651" s="38"/>
      <c r="FG651" s="58"/>
      <c r="FH651" s="38"/>
      <c r="FJ651" s="53"/>
      <c r="FK651" s="53"/>
      <c r="FL651" s="53"/>
      <c r="FN651" s="67"/>
      <c r="FO651" s="38"/>
      <c r="FP651" s="43"/>
      <c r="FQ651" s="548"/>
      <c r="FR651" s="53"/>
      <c r="FS651" s="53"/>
      <c r="FT651" s="53"/>
      <c r="FU651" s="53"/>
    </row>
    <row r="652" spans="3:177">
      <c r="C652" s="497" t="str">
        <f t="shared" si="998"/>
        <v>26 week bill</v>
      </c>
      <c r="D652" s="1038">
        <f t="shared" si="998"/>
        <v>1.7301683778234204E-3</v>
      </c>
      <c r="E652" s="1038">
        <f t="shared" si="998"/>
        <v>5.2662000000000354E-2</v>
      </c>
      <c r="F652" s="1138">
        <f t="shared" si="998"/>
        <v>0.63194400000000428</v>
      </c>
      <c r="G652" s="1038"/>
      <c r="P652" s="214"/>
      <c r="R652" s="205"/>
      <c r="T652" s="53"/>
      <c r="V652" s="53"/>
      <c r="BR652" s="38"/>
      <c r="BS652" s="38"/>
      <c r="BT652" s="154"/>
      <c r="BU652" s="38"/>
      <c r="BX652" s="38"/>
      <c r="BY652" s="162"/>
      <c r="BZ652" s="166"/>
      <c r="CA652" s="53"/>
      <c r="CB652" s="153"/>
      <c r="CC652" s="53"/>
      <c r="CD652" s="53"/>
      <c r="CF652" s="53"/>
      <c r="CL652" s="171"/>
      <c r="CP652" s="53"/>
      <c r="CU652" s="153"/>
      <c r="CV652" s="153"/>
      <c r="CY652" s="53"/>
      <c r="CZ652" s="53"/>
      <c r="DA652" s="392"/>
      <c r="DD652" s="171"/>
      <c r="DE652" s="53"/>
      <c r="DH652" s="53"/>
      <c r="DM652" s="153"/>
      <c r="DN652" s="153"/>
      <c r="DR652" s="53"/>
      <c r="DS652" s="679"/>
      <c r="DT652" s="679"/>
      <c r="DU652" s="548"/>
      <c r="DV652" s="679"/>
      <c r="DW652" s="53"/>
      <c r="DX652" s="53"/>
      <c r="DY652" s="38"/>
      <c r="DZ652" s="53"/>
      <c r="ED652" s="53"/>
      <c r="EF652" s="38"/>
      <c r="EJ652" s="153"/>
      <c r="EK652" s="214"/>
      <c r="EL652" s="153"/>
      <c r="EM652" s="153"/>
      <c r="EO652" s="53"/>
      <c r="EP652" s="38"/>
      <c r="EQ652" s="38"/>
      <c r="ER652" s="38"/>
      <c r="ES652" s="38"/>
      <c r="FG652" s="58"/>
      <c r="FH652" s="38"/>
      <c r="FJ652" s="53"/>
      <c r="FK652" s="53"/>
      <c r="FL652" s="53"/>
      <c r="FN652" s="67"/>
      <c r="FO652" s="38"/>
      <c r="FP652" s="43"/>
      <c r="FQ652" s="548"/>
      <c r="FR652" s="53"/>
      <c r="FS652" s="53"/>
      <c r="FT652" s="53"/>
      <c r="FU652" s="53"/>
    </row>
    <row r="653" spans="3:177">
      <c r="C653" s="497" t="str">
        <f t="shared" si="998"/>
        <v>52 week bill</v>
      </c>
      <c r="D653" s="1038">
        <f t="shared" si="998"/>
        <v>1.3289527720739179E-2</v>
      </c>
      <c r="E653" s="1038">
        <f t="shared" si="998"/>
        <v>0.40449999999999875</v>
      </c>
      <c r="F653" s="1138">
        <f t="shared" si="998"/>
        <v>4.853999999999985</v>
      </c>
      <c r="G653" s="1038"/>
      <c r="P653" s="214"/>
      <c r="R653" s="205"/>
      <c r="T653" s="53"/>
      <c r="V653" s="53"/>
      <c r="BR653" s="38"/>
      <c r="BS653" s="38"/>
      <c r="BT653" s="154"/>
      <c r="BU653" s="38"/>
      <c r="BX653" s="38"/>
      <c r="BY653" s="162"/>
      <c r="BZ653" s="166"/>
      <c r="CA653" s="53"/>
      <c r="CB653" s="153"/>
      <c r="CC653" s="53"/>
      <c r="CD653" s="53"/>
      <c r="CF653" s="53"/>
      <c r="CL653" s="171"/>
      <c r="CP653" s="53"/>
      <c r="CU653" s="153"/>
      <c r="CV653" s="153"/>
      <c r="CY653" s="53"/>
      <c r="CZ653" s="53"/>
      <c r="DA653" s="392"/>
      <c r="DD653" s="171"/>
      <c r="DE653" s="53"/>
      <c r="DH653" s="53"/>
      <c r="DM653" s="153"/>
      <c r="DN653" s="153"/>
      <c r="DR653" s="53"/>
      <c r="DS653" s="679"/>
      <c r="DT653" s="679"/>
      <c r="DU653" s="548"/>
      <c r="DV653" s="679"/>
      <c r="DW653" s="53"/>
      <c r="DX653" s="53"/>
      <c r="DY653" s="38"/>
      <c r="DZ653" s="53"/>
      <c r="ED653" s="53"/>
      <c r="EF653" s="38"/>
      <c r="EJ653" s="153"/>
      <c r="EK653" s="214"/>
      <c r="EL653" s="153"/>
      <c r="EM653" s="153"/>
      <c r="EO653" s="53"/>
      <c r="EP653" s="38"/>
      <c r="EQ653" s="38"/>
      <c r="ER653" s="38"/>
      <c r="ES653" s="38"/>
      <c r="FG653" s="58"/>
      <c r="FH653" s="38"/>
      <c r="FJ653" s="53"/>
      <c r="FK653" s="53"/>
      <c r="FL653" s="53"/>
      <c r="FN653" s="67"/>
      <c r="FO653" s="38"/>
      <c r="FP653" s="43"/>
      <c r="FQ653" s="548"/>
      <c r="FR653" s="53"/>
      <c r="FS653" s="53"/>
      <c r="FT653" s="53"/>
      <c r="FU653" s="53"/>
    </row>
    <row r="654" spans="3:177">
      <c r="C654" s="497" t="str">
        <f t="shared" si="998"/>
        <v>FRN</v>
      </c>
      <c r="D654" s="1038">
        <f t="shared" si="998"/>
        <v>8.2135523613963049E-4</v>
      </c>
      <c r="E654" s="1038">
        <f t="shared" si="998"/>
        <v>2.5000000000000005E-2</v>
      </c>
      <c r="F654" s="1138">
        <f t="shared" si="998"/>
        <v>0.30000000000000004</v>
      </c>
      <c r="G654" s="1038"/>
      <c r="P654" s="214"/>
      <c r="R654" s="205"/>
      <c r="T654" s="53"/>
      <c r="V654" s="53"/>
      <c r="BR654" s="38"/>
      <c r="BS654" s="38"/>
      <c r="BT654" s="154"/>
      <c r="BU654" s="38"/>
      <c r="BX654" s="38"/>
      <c r="BY654" s="162"/>
      <c r="BZ654" s="166"/>
      <c r="CA654" s="53"/>
      <c r="CB654" s="153"/>
      <c r="CC654" s="53"/>
      <c r="CD654" s="53"/>
      <c r="CF654" s="53"/>
      <c r="CL654" s="171"/>
      <c r="CP654" s="53"/>
      <c r="CU654" s="153"/>
      <c r="CV654" s="153"/>
      <c r="CY654" s="53"/>
      <c r="CZ654" s="53"/>
      <c r="DA654" s="392"/>
      <c r="DD654" s="171"/>
      <c r="DE654" s="53"/>
      <c r="DH654" s="53"/>
      <c r="DM654" s="153"/>
      <c r="DN654" s="153"/>
      <c r="DR654" s="53"/>
      <c r="DS654" s="679"/>
      <c r="DT654" s="679"/>
      <c r="DU654" s="548"/>
      <c r="DV654" s="679"/>
      <c r="DW654" s="53"/>
      <c r="DX654" s="53"/>
      <c r="DY654" s="38"/>
      <c r="DZ654" s="53"/>
      <c r="ED654" s="53"/>
      <c r="EF654" s="38"/>
      <c r="EJ654" s="153"/>
      <c r="EK654" s="214"/>
      <c r="EL654" s="153"/>
      <c r="EM654" s="153"/>
      <c r="EO654" s="53"/>
      <c r="EP654" s="38"/>
      <c r="EQ654" s="38"/>
      <c r="ER654" s="38"/>
      <c r="ES654" s="38"/>
      <c r="FG654" s="58"/>
      <c r="FH654" s="38"/>
      <c r="FJ654" s="53"/>
      <c r="FK654" s="53"/>
      <c r="FL654" s="53"/>
      <c r="FN654" s="67"/>
      <c r="FO654" s="38"/>
      <c r="FP654" s="43"/>
      <c r="FQ654" s="548"/>
      <c r="FR654" s="53"/>
      <c r="FS654" s="53"/>
      <c r="FT654" s="53"/>
      <c r="FU654" s="53"/>
    </row>
    <row r="655" spans="3:177">
      <c r="C655" s="497" t="str">
        <f t="shared" si="998"/>
        <v>Notes</v>
      </c>
      <c r="D655" s="1038">
        <f t="shared" si="998"/>
        <v>0.22724161533196441</v>
      </c>
      <c r="E655" s="1038">
        <f t="shared" si="998"/>
        <v>6.916666666666667</v>
      </c>
      <c r="F655" s="1138">
        <f t="shared" si="998"/>
        <v>83</v>
      </c>
      <c r="G655" s="1038"/>
      <c r="P655" s="214"/>
      <c r="R655" s="205"/>
      <c r="T655" s="53"/>
      <c r="V655" s="53"/>
      <c r="BR655" s="38"/>
      <c r="BS655" s="38"/>
      <c r="BT655" s="154"/>
      <c r="BU655" s="38"/>
      <c r="BX655" s="38"/>
      <c r="BY655" s="162"/>
      <c r="BZ655" s="166"/>
      <c r="CA655" s="53"/>
      <c r="CB655" s="153"/>
      <c r="CC655" s="53"/>
      <c r="CD655" s="53"/>
      <c r="CF655" s="53"/>
      <c r="CL655" s="171"/>
      <c r="CP655" s="53"/>
      <c r="CU655" s="153"/>
      <c r="CV655" s="153"/>
      <c r="CY655" s="53"/>
      <c r="CZ655" s="53"/>
      <c r="DA655" s="392"/>
      <c r="DD655" s="171"/>
      <c r="DE655" s="53"/>
      <c r="DH655" s="53"/>
      <c r="DM655" s="153"/>
      <c r="DN655" s="153"/>
      <c r="DR655" s="53"/>
      <c r="DS655" s="679"/>
      <c r="DT655" s="679"/>
      <c r="DU655" s="548"/>
      <c r="DV655" s="679"/>
      <c r="DW655" s="53"/>
      <c r="DX655" s="53"/>
      <c r="DY655" s="38"/>
      <c r="DZ655" s="53"/>
      <c r="ED655" s="53"/>
      <c r="EF655" s="38"/>
      <c r="EJ655" s="153"/>
      <c r="EK655" s="214"/>
      <c r="EL655" s="153"/>
      <c r="EM655" s="153"/>
      <c r="EO655" s="53"/>
      <c r="EP655" s="38"/>
      <c r="EQ655" s="38"/>
      <c r="ER655" s="38"/>
      <c r="ES655" s="38"/>
      <c r="FG655" s="58"/>
      <c r="FH655" s="38"/>
      <c r="FJ655" s="53"/>
      <c r="FK655" s="53"/>
      <c r="FL655" s="53"/>
      <c r="FN655" s="67"/>
      <c r="FO655" s="38"/>
      <c r="FP655" s="43"/>
      <c r="FQ655" s="548"/>
      <c r="FR655" s="53"/>
      <c r="FS655" s="53"/>
      <c r="FT655" s="53"/>
      <c r="FU655" s="53"/>
    </row>
    <row r="656" spans="3:177">
      <c r="C656" s="497" t="str">
        <f>D46</f>
        <v>Bonds</v>
      </c>
      <c r="D656" s="1038">
        <f t="shared" ref="D656:F657" si="999">E46</f>
        <v>0.56776180698151946</v>
      </c>
      <c r="E656" s="1038">
        <f t="shared" si="999"/>
        <v>17.281249999999996</v>
      </c>
      <c r="F656" s="1138">
        <f t="shared" si="999"/>
        <v>207.37499999999997</v>
      </c>
      <c r="G656" s="1038"/>
      <c r="P656" s="214"/>
      <c r="R656" s="205"/>
      <c r="T656" s="53"/>
      <c r="V656" s="53"/>
      <c r="BR656" s="38"/>
      <c r="BS656" s="38"/>
      <c r="BT656" s="154"/>
      <c r="BU656" s="38"/>
      <c r="BX656" s="38"/>
      <c r="BY656" s="162"/>
      <c r="BZ656" s="166"/>
      <c r="CA656" s="53"/>
      <c r="CB656" s="153"/>
      <c r="CC656" s="53"/>
      <c r="CD656" s="53"/>
      <c r="CF656" s="53"/>
      <c r="CL656" s="171"/>
      <c r="CP656" s="53"/>
      <c r="CU656" s="153"/>
      <c r="CV656" s="153"/>
      <c r="CY656" s="53"/>
      <c r="CZ656" s="53"/>
      <c r="DA656" s="392"/>
      <c r="DD656" s="171"/>
      <c r="DE656" s="53"/>
      <c r="DH656" s="53"/>
      <c r="DM656" s="153"/>
      <c r="DN656" s="153"/>
      <c r="DR656" s="53"/>
      <c r="DS656" s="679"/>
      <c r="DT656" s="679"/>
      <c r="DU656" s="548"/>
      <c r="DV656" s="679"/>
      <c r="DW656" s="53"/>
      <c r="DX656" s="53"/>
      <c r="DY656" s="38"/>
      <c r="DZ656" s="53"/>
      <c r="ED656" s="53"/>
      <c r="EF656" s="38"/>
      <c r="EJ656" s="153"/>
      <c r="EK656" s="214"/>
      <c r="EL656" s="153"/>
      <c r="EM656" s="153"/>
      <c r="EO656" s="53"/>
      <c r="EP656" s="38"/>
      <c r="EQ656" s="38"/>
      <c r="ER656" s="38"/>
      <c r="ES656" s="38"/>
      <c r="FG656" s="58"/>
      <c r="FH656" s="38"/>
      <c r="FJ656" s="53"/>
      <c r="FK656" s="53"/>
      <c r="FL656" s="53"/>
      <c r="FN656" s="67"/>
      <c r="FO656" s="38"/>
      <c r="FP656" s="43"/>
      <c r="FQ656" s="548"/>
      <c r="FR656" s="53"/>
      <c r="FS656" s="53"/>
      <c r="FT656" s="53"/>
      <c r="FU656" s="53"/>
    </row>
    <row r="657" spans="3:177">
      <c r="C657" s="497" t="str">
        <f>D47</f>
        <v>TIPS</v>
      </c>
      <c r="D657" s="1038">
        <f t="shared" si="999"/>
        <v>6.3532238193018467E-2</v>
      </c>
      <c r="E657" s="1038">
        <f t="shared" ref="E657:F657" si="1000">F47</f>
        <v>1.9337624999999996</v>
      </c>
      <c r="F657" s="1138">
        <f t="shared" si="1000"/>
        <v>23.205149999999996</v>
      </c>
      <c r="G657" s="1038"/>
      <c r="P657" s="214"/>
      <c r="R657" s="205"/>
      <c r="T657" s="53"/>
      <c r="V657" s="53"/>
      <c r="BR657" s="38"/>
      <c r="BS657" s="38"/>
      <c r="BT657" s="154"/>
      <c r="BU657" s="38"/>
      <c r="BX657" s="38"/>
      <c r="BY657" s="162"/>
      <c r="BZ657" s="166"/>
      <c r="CA657" s="53"/>
      <c r="CB657" s="153"/>
      <c r="CC657" s="53"/>
      <c r="CD657" s="53"/>
      <c r="CF657" s="53"/>
      <c r="CL657" s="171"/>
      <c r="CP657" s="53"/>
      <c r="CU657" s="153"/>
      <c r="CV657" s="153"/>
      <c r="CY657" s="53"/>
      <c r="CZ657" s="53"/>
      <c r="DA657" s="392"/>
      <c r="DD657" s="171"/>
      <c r="DE657" s="53"/>
      <c r="DH657" s="53"/>
      <c r="DM657" s="153"/>
      <c r="DN657" s="153"/>
      <c r="DR657" s="53"/>
      <c r="DS657" s="679"/>
      <c r="DT657" s="679"/>
      <c r="DU657" s="548"/>
      <c r="DV657" s="679"/>
      <c r="DW657" s="53"/>
      <c r="DX657" s="53"/>
      <c r="DY657" s="38"/>
      <c r="DZ657" s="53"/>
      <c r="ED657" s="53"/>
      <c r="EF657" s="38"/>
      <c r="EJ657" s="153"/>
      <c r="EK657" s="214"/>
      <c r="EL657" s="153"/>
      <c r="EM657" s="153"/>
      <c r="EO657" s="53"/>
      <c r="EP657" s="38"/>
      <c r="EQ657" s="38"/>
      <c r="ER657" s="38"/>
      <c r="ES657" s="38"/>
      <c r="FG657" s="58"/>
      <c r="FH657" s="38"/>
      <c r="FJ657" s="53"/>
      <c r="FK657" s="53"/>
      <c r="FL657" s="53"/>
      <c r="FN657" s="67"/>
      <c r="FO657" s="38"/>
      <c r="FP657" s="43"/>
      <c r="FQ657" s="548"/>
      <c r="FR657" s="53"/>
      <c r="FS657" s="53"/>
      <c r="FT657" s="53"/>
      <c r="FU657" s="53"/>
    </row>
    <row r="658" spans="3:177">
      <c r="C658" s="497" t="str">
        <f>D48</f>
        <v>EE savings bonds</v>
      </c>
      <c r="D658" s="1038">
        <f t="shared" ref="D658:F660" ca="1" si="1001">E48</f>
        <v>1.4785361821173905E-2</v>
      </c>
      <c r="E658" s="1038">
        <f t="shared" ca="1" si="1001"/>
        <v>0.45002945043198078</v>
      </c>
      <c r="F658" s="1138">
        <f t="shared" ca="1" si="1001"/>
        <v>5.4003534051837692</v>
      </c>
      <c r="G658" s="1038"/>
      <c r="P658" s="214"/>
      <c r="R658" s="205"/>
      <c r="T658" s="53"/>
      <c r="V658" s="53"/>
      <c r="BR658" s="38"/>
      <c r="BS658" s="38"/>
      <c r="BT658" s="154"/>
      <c r="BU658" s="38"/>
      <c r="BX658" s="38"/>
      <c r="BY658" s="162"/>
      <c r="BZ658" s="166"/>
      <c r="CA658" s="53"/>
      <c r="CB658" s="153"/>
      <c r="CC658" s="53"/>
      <c r="CD658" s="53"/>
      <c r="CF658" s="53"/>
      <c r="CL658" s="171"/>
      <c r="CP658" s="53"/>
      <c r="CU658" s="153"/>
      <c r="CV658" s="153"/>
      <c r="CY658" s="53"/>
      <c r="CZ658" s="53"/>
      <c r="DA658" s="392"/>
      <c r="DD658" s="171"/>
      <c r="DE658" s="53"/>
      <c r="DH658" s="53"/>
      <c r="DM658" s="153"/>
      <c r="DN658" s="153"/>
      <c r="DR658" s="53"/>
      <c r="DS658" s="679"/>
      <c r="DT658" s="679"/>
      <c r="DU658" s="548"/>
      <c r="DV658" s="679"/>
      <c r="DW658" s="53"/>
      <c r="DX658" s="53"/>
      <c r="DY658" s="38"/>
      <c r="DZ658" s="53"/>
      <c r="ED658" s="53"/>
      <c r="EF658" s="38"/>
      <c r="EJ658" s="153"/>
      <c r="EK658" s="214"/>
      <c r="EL658" s="153"/>
      <c r="EM658" s="153"/>
      <c r="EO658" s="53"/>
      <c r="EP658" s="38"/>
      <c r="EQ658" s="38"/>
      <c r="ER658" s="38"/>
      <c r="ES658" s="38"/>
      <c r="FG658" s="58"/>
      <c r="FH658" s="38"/>
      <c r="FJ658" s="53"/>
      <c r="FK658" s="53"/>
      <c r="FL658" s="53"/>
      <c r="FN658" s="67"/>
      <c r="FO658" s="38"/>
      <c r="FP658" s="43"/>
      <c r="FQ658" s="548"/>
      <c r="FR658" s="53"/>
      <c r="FS658" s="53"/>
      <c r="FT658" s="53"/>
      <c r="FU658" s="53"/>
    </row>
    <row r="659" spans="3:177">
      <c r="C659" s="497" t="str">
        <f>D49</f>
        <v>I savings bonds</v>
      </c>
      <c r="D659" s="1038">
        <f t="shared" ca="1" si="1001"/>
        <v>0.2159825823146406</v>
      </c>
      <c r="E659" s="1038">
        <f t="shared" ca="1" si="1001"/>
        <v>6.5739698492018732</v>
      </c>
      <c r="F659" s="1138">
        <f t="shared" ca="1" si="1001"/>
        <v>78.887638190422479</v>
      </c>
      <c r="G659" s="1038"/>
      <c r="P659" s="214"/>
      <c r="R659" s="205"/>
      <c r="T659" s="53"/>
      <c r="V659" s="53"/>
      <c r="BR659" s="38"/>
      <c r="BS659" s="38"/>
      <c r="BT659" s="154"/>
      <c r="BU659" s="38"/>
      <c r="BX659" s="38"/>
      <c r="BY659" s="162"/>
      <c r="BZ659" s="166"/>
      <c r="CA659" s="53"/>
      <c r="CB659" s="153"/>
      <c r="CC659" s="53"/>
      <c r="CD659" s="53"/>
      <c r="CF659" s="53"/>
      <c r="CL659" s="171"/>
      <c r="CP659" s="53"/>
      <c r="CU659" s="153"/>
      <c r="CV659" s="153"/>
      <c r="CY659" s="53"/>
      <c r="CZ659" s="53"/>
      <c r="DA659" s="392"/>
      <c r="DD659" s="171"/>
      <c r="DE659" s="53"/>
      <c r="DH659" s="53"/>
      <c r="DM659" s="153"/>
      <c r="DN659" s="153"/>
      <c r="DR659" s="53"/>
      <c r="DS659" s="679"/>
      <c r="DT659" s="679"/>
      <c r="DU659" s="548"/>
      <c r="DV659" s="679"/>
      <c r="DW659" s="53"/>
      <c r="DX659" s="53"/>
      <c r="DY659" s="38"/>
      <c r="DZ659" s="53"/>
      <c r="ED659" s="53"/>
      <c r="EF659" s="38"/>
      <c r="EJ659" s="153"/>
      <c r="EK659" s="214"/>
      <c r="EL659" s="153"/>
      <c r="EM659" s="153"/>
      <c r="EO659" s="53"/>
      <c r="EP659" s="38"/>
      <c r="EQ659" s="38"/>
      <c r="ER659" s="38"/>
      <c r="ES659" s="38"/>
      <c r="FG659" s="58"/>
      <c r="FH659" s="38"/>
      <c r="FJ659" s="53"/>
      <c r="FK659" s="53"/>
      <c r="FL659" s="53"/>
      <c r="FN659" s="67"/>
      <c r="FO659" s="38"/>
      <c r="FP659" s="43"/>
      <c r="FQ659" s="548"/>
      <c r="FR659" s="53"/>
      <c r="FS659" s="53"/>
      <c r="FT659" s="53"/>
      <c r="FU659" s="53"/>
    </row>
    <row r="660" spans="3:177">
      <c r="C660" s="497" t="str">
        <f>D50</f>
        <v>All</v>
      </c>
      <c r="D660" s="1038">
        <f t="shared" ca="1" si="1001"/>
        <v>1.1303603493377312</v>
      </c>
      <c r="E660" s="1038">
        <f t="shared" ca="1" si="1001"/>
        <v>34.405343132967197</v>
      </c>
      <c r="F660" s="1138">
        <f t="shared" ca="1" si="1001"/>
        <v>412.86411759560633</v>
      </c>
      <c r="G660" s="1038"/>
      <c r="P660" s="214"/>
      <c r="R660" s="205"/>
      <c r="T660" s="53"/>
      <c r="V660" s="53"/>
      <c r="BR660" s="38"/>
      <c r="BS660" s="38"/>
      <c r="BT660" s="154"/>
      <c r="BU660" s="38"/>
      <c r="BX660" s="38"/>
      <c r="BY660" s="162"/>
      <c r="BZ660" s="166"/>
      <c r="CA660" s="53"/>
      <c r="CB660" s="153"/>
      <c r="CC660" s="53"/>
      <c r="CD660" s="53"/>
      <c r="CF660" s="53"/>
      <c r="CL660" s="171"/>
      <c r="CP660" s="53"/>
      <c r="CU660" s="153"/>
      <c r="CV660" s="153"/>
      <c r="CY660" s="53"/>
      <c r="CZ660" s="53"/>
      <c r="DA660" s="392"/>
      <c r="DD660" s="171"/>
      <c r="DE660" s="53"/>
      <c r="DH660" s="53"/>
      <c r="DM660" s="153"/>
      <c r="DN660" s="153"/>
      <c r="DR660" s="53"/>
      <c r="DS660" s="679"/>
      <c r="DT660" s="679"/>
      <c r="DU660" s="548"/>
      <c r="DV660" s="679"/>
      <c r="DW660" s="53"/>
      <c r="DX660" s="53"/>
      <c r="DY660" s="38"/>
      <c r="DZ660" s="53"/>
      <c r="ED660" s="53"/>
      <c r="EF660" s="38"/>
      <c r="EJ660" s="153"/>
      <c r="EK660" s="214"/>
      <c r="EL660" s="153"/>
      <c r="EM660" s="153"/>
      <c r="EO660" s="53"/>
      <c r="EP660" s="38"/>
      <c r="EQ660" s="38"/>
      <c r="ER660" s="38"/>
      <c r="ES660" s="38"/>
      <c r="FG660" s="58"/>
      <c r="FH660" s="38"/>
      <c r="FJ660" s="53"/>
      <c r="FK660" s="53"/>
      <c r="FL660" s="53"/>
      <c r="FN660" s="67"/>
      <c r="FO660" s="38"/>
      <c r="FP660" s="43"/>
      <c r="FQ660" s="548"/>
      <c r="FR660" s="53"/>
      <c r="FS660" s="53"/>
      <c r="FT660" s="53"/>
      <c r="FU660" s="53"/>
    </row>
    <row r="661" spans="3:177">
      <c r="C661" s="497"/>
      <c r="D661" s="114"/>
      <c r="E661" s="114"/>
      <c r="F661" s="115"/>
      <c r="G661" s="114"/>
      <c r="P661" s="214"/>
      <c r="R661" s="205"/>
      <c r="T661" s="53"/>
      <c r="V661" s="53"/>
      <c r="BR661" s="38"/>
      <c r="BS661" s="38"/>
      <c r="BT661" s="154"/>
      <c r="BU661" s="38"/>
      <c r="BX661" s="38"/>
      <c r="BY661" s="162"/>
      <c r="BZ661" s="166"/>
      <c r="CA661" s="53"/>
      <c r="CB661" s="153"/>
      <c r="CC661" s="53"/>
      <c r="CD661" s="53"/>
      <c r="CF661" s="53"/>
      <c r="CL661" s="171"/>
      <c r="CP661" s="53"/>
      <c r="CU661" s="153"/>
      <c r="CV661" s="153"/>
      <c r="CY661" s="53"/>
      <c r="CZ661" s="53"/>
      <c r="DA661" s="392"/>
      <c r="DD661" s="171"/>
      <c r="DE661" s="53"/>
      <c r="DH661" s="53"/>
      <c r="DM661" s="153"/>
      <c r="DN661" s="153"/>
      <c r="DR661" s="53"/>
      <c r="DS661" s="679"/>
      <c r="DT661" s="679"/>
      <c r="DU661" s="548"/>
      <c r="DV661" s="679"/>
      <c r="DW661" s="53"/>
      <c r="DX661" s="53"/>
      <c r="DY661" s="38"/>
      <c r="DZ661" s="53"/>
      <c r="ED661" s="53"/>
      <c r="EF661" s="38"/>
      <c r="EJ661" s="153"/>
      <c r="EK661" s="214"/>
      <c r="EL661" s="153"/>
      <c r="EM661" s="153"/>
      <c r="EO661" s="53"/>
      <c r="EP661" s="38"/>
      <c r="EQ661" s="38"/>
      <c r="ER661" s="38"/>
      <c r="ES661" s="38"/>
      <c r="FG661" s="58"/>
      <c r="FH661" s="38"/>
      <c r="FJ661" s="53"/>
      <c r="FK661" s="53"/>
      <c r="FL661" s="53"/>
      <c r="FN661" s="67"/>
      <c r="FO661" s="38"/>
      <c r="FP661" s="43"/>
      <c r="FQ661" s="548"/>
      <c r="FR661" s="53"/>
      <c r="FS661" s="53"/>
      <c r="FT661" s="53"/>
      <c r="FU661" s="53"/>
    </row>
    <row r="662" spans="3:177">
      <c r="C662" s="133" t="s">
        <v>2184</v>
      </c>
      <c r="D662" s="38">
        <f ca="1">DATEDIF(C634,C648,"D")</f>
        <v>37</v>
      </c>
      <c r="E662" s="747" t="s">
        <v>423</v>
      </c>
      <c r="F662" s="115"/>
      <c r="G662" s="114"/>
      <c r="P662" s="214"/>
      <c r="R662" s="205"/>
      <c r="T662" s="53"/>
      <c r="V662" s="53"/>
      <c r="BR662" s="38"/>
      <c r="BS662" s="38"/>
      <c r="BT662" s="154"/>
      <c r="BU662" s="38"/>
      <c r="BX662" s="38"/>
      <c r="BY662" s="162"/>
      <c r="BZ662" s="166"/>
      <c r="CA662" s="53"/>
      <c r="CB662" s="153"/>
      <c r="CC662" s="53"/>
      <c r="CD662" s="53"/>
      <c r="CF662" s="53"/>
      <c r="CL662" s="171"/>
      <c r="CP662" s="53"/>
      <c r="CU662" s="153"/>
      <c r="CV662" s="153"/>
      <c r="CY662" s="53"/>
      <c r="CZ662" s="53"/>
      <c r="DA662" s="392"/>
      <c r="DD662" s="171"/>
      <c r="DE662" s="53"/>
      <c r="DH662" s="53"/>
      <c r="DM662" s="153"/>
      <c r="DN662" s="153"/>
      <c r="DR662" s="53"/>
      <c r="DS662" s="679"/>
      <c r="DT662" s="679"/>
      <c r="DU662" s="548"/>
      <c r="DV662" s="679"/>
      <c r="DW662" s="53"/>
      <c r="DX662" s="53"/>
      <c r="DY662" s="38"/>
      <c r="DZ662" s="53"/>
      <c r="ED662" s="53"/>
      <c r="EF662" s="38"/>
      <c r="EJ662" s="153"/>
      <c r="EK662" s="214"/>
      <c r="EL662" s="153"/>
      <c r="EM662" s="153"/>
      <c r="EO662" s="53"/>
      <c r="EP662" s="38"/>
      <c r="EQ662" s="38"/>
      <c r="ER662" s="38"/>
      <c r="ES662" s="38"/>
      <c r="FG662" s="58"/>
      <c r="FH662" s="38"/>
      <c r="FJ662" s="53"/>
      <c r="FK662" s="53"/>
      <c r="FL662" s="53"/>
      <c r="FN662" s="67"/>
      <c r="FO662" s="38"/>
      <c r="FP662" s="43"/>
      <c r="FQ662" s="548"/>
      <c r="FR662" s="53"/>
      <c r="FS662" s="53"/>
      <c r="FT662" s="53"/>
      <c r="FU662" s="53"/>
    </row>
    <row r="663" spans="3:177">
      <c r="C663" s="497" t="s">
        <v>1532</v>
      </c>
      <c r="D663" s="1038" t="s">
        <v>1491</v>
      </c>
      <c r="E663" s="1038" t="s">
        <v>1670</v>
      </c>
      <c r="F663" s="1138" t="s">
        <v>445</v>
      </c>
      <c r="G663" s="1038"/>
      <c r="P663" s="214"/>
      <c r="R663" s="205"/>
      <c r="T663" s="53"/>
      <c r="V663" s="53"/>
      <c r="BR663" s="38"/>
      <c r="BS663" s="38"/>
      <c r="BT663" s="154"/>
      <c r="BU663" s="38"/>
      <c r="BX663" s="38"/>
      <c r="BY663" s="162"/>
      <c r="BZ663" s="166"/>
      <c r="CA663" s="53"/>
      <c r="CB663" s="153"/>
      <c r="CC663" s="53"/>
      <c r="CD663" s="53"/>
      <c r="CF663" s="53"/>
      <c r="CL663" s="171"/>
      <c r="CP663" s="53"/>
      <c r="CU663" s="153"/>
      <c r="CV663" s="153"/>
      <c r="CY663" s="53"/>
      <c r="CZ663" s="53"/>
      <c r="DA663" s="392"/>
      <c r="DD663" s="171"/>
      <c r="DE663" s="53"/>
      <c r="DH663" s="53"/>
      <c r="DM663" s="153"/>
      <c r="DN663" s="153"/>
      <c r="DR663" s="53"/>
      <c r="DS663" s="679"/>
      <c r="DT663" s="679"/>
      <c r="DU663" s="548"/>
      <c r="DV663" s="679"/>
      <c r="DW663" s="53"/>
      <c r="DX663" s="53"/>
      <c r="DY663" s="38"/>
      <c r="DZ663" s="53"/>
      <c r="ED663" s="53"/>
      <c r="EF663" s="38"/>
      <c r="EJ663" s="153"/>
      <c r="EK663" s="214"/>
      <c r="EL663" s="153"/>
      <c r="EM663" s="153"/>
      <c r="EO663" s="53"/>
      <c r="EP663" s="38"/>
      <c r="EQ663" s="38"/>
      <c r="ER663" s="38"/>
      <c r="ES663" s="38"/>
      <c r="FG663" s="58"/>
      <c r="FH663" s="38"/>
      <c r="FJ663" s="53"/>
      <c r="FK663" s="53"/>
      <c r="FL663" s="53"/>
      <c r="FN663" s="67"/>
      <c r="FO663" s="38"/>
      <c r="FP663" s="43"/>
      <c r="FQ663" s="548"/>
      <c r="FR663" s="53"/>
      <c r="FS663" s="53"/>
      <c r="FT663" s="53"/>
      <c r="FU663" s="53"/>
    </row>
    <row r="664" spans="3:177">
      <c r="C664" s="497" t="s">
        <v>1528</v>
      </c>
      <c r="D664" s="1038">
        <f>D650-D636</f>
        <v>-9.9650102669510479E-4</v>
      </c>
      <c r="E664" s="1038">
        <f t="shared" ref="E664:F664" si="1002">E650-E636</f>
        <v>-3.0331000000032304E-2</v>
      </c>
      <c r="F664" s="1138">
        <f t="shared" si="1002"/>
        <v>-0.36397200000038765</v>
      </c>
      <c r="G664" s="1038"/>
      <c r="P664" s="214"/>
      <c r="R664" s="205"/>
      <c r="T664" s="53"/>
      <c r="V664" s="53"/>
      <c r="BR664" s="38"/>
      <c r="BS664" s="38"/>
      <c r="BT664" s="154"/>
      <c r="BU664" s="38"/>
      <c r="BX664" s="38"/>
      <c r="BY664" s="162"/>
      <c r="BZ664" s="166"/>
      <c r="CA664" s="53"/>
      <c r="CB664" s="153"/>
      <c r="CC664" s="53"/>
      <c r="CD664" s="53"/>
      <c r="CF664" s="53"/>
      <c r="CL664" s="171"/>
      <c r="CP664" s="53"/>
      <c r="CU664" s="153"/>
      <c r="CV664" s="153"/>
      <c r="CY664" s="53"/>
      <c r="CZ664" s="53"/>
      <c r="DA664" s="392"/>
      <c r="DD664" s="171"/>
      <c r="DE664" s="53"/>
      <c r="DH664" s="53"/>
      <c r="DM664" s="153"/>
      <c r="DN664" s="153"/>
      <c r="DR664" s="53"/>
      <c r="DS664" s="679"/>
      <c r="DT664" s="679"/>
      <c r="DU664" s="548"/>
      <c r="DV664" s="679"/>
      <c r="DW664" s="53"/>
      <c r="DX664" s="53"/>
      <c r="DY664" s="38"/>
      <c r="DZ664" s="53"/>
      <c r="ED664" s="53"/>
      <c r="EF664" s="38"/>
      <c r="EJ664" s="153"/>
      <c r="EK664" s="214"/>
      <c r="EL664" s="153"/>
      <c r="EM664" s="153"/>
      <c r="EO664" s="53"/>
      <c r="EP664" s="38"/>
      <c r="EQ664" s="38"/>
      <c r="ER664" s="38"/>
      <c r="ES664" s="38"/>
      <c r="FG664" s="58"/>
      <c r="FH664" s="38"/>
      <c r="FJ664" s="53"/>
      <c r="FK664" s="53"/>
      <c r="FL664" s="53"/>
      <c r="FN664" s="67"/>
      <c r="FO664" s="38"/>
      <c r="FP664" s="43"/>
      <c r="FQ664" s="548"/>
      <c r="FR664" s="53"/>
      <c r="FS664" s="53"/>
      <c r="FT664" s="53"/>
      <c r="FU664" s="53"/>
    </row>
    <row r="665" spans="3:177">
      <c r="C665" s="497" t="s">
        <v>1529</v>
      </c>
      <c r="D665" s="1038">
        <f t="shared" ref="D665:F665" si="1003">D651-D637</f>
        <v>-1.1072963723487007E-4</v>
      </c>
      <c r="E665" s="1038">
        <f t="shared" si="1003"/>
        <v>-3.3703333333363616E-3</v>
      </c>
      <c r="F665" s="1138">
        <f t="shared" si="1003"/>
        <v>-4.044400000003634E-2</v>
      </c>
      <c r="G665" s="1038"/>
      <c r="P665" s="214"/>
      <c r="R665" s="205"/>
      <c r="T665" s="53"/>
      <c r="V665" s="53"/>
      <c r="BR665" s="38"/>
      <c r="BS665" s="38"/>
      <c r="BT665" s="154"/>
      <c r="BU665" s="38"/>
      <c r="BX665" s="38"/>
      <c r="BY665" s="162"/>
      <c r="BZ665" s="166"/>
      <c r="CA665" s="53"/>
      <c r="CB665" s="153"/>
      <c r="CC665" s="53"/>
      <c r="CD665" s="53"/>
      <c r="CF665" s="53"/>
      <c r="CL665" s="171"/>
      <c r="CP665" s="53"/>
      <c r="CU665" s="153"/>
      <c r="CV665" s="153"/>
      <c r="CY665" s="53"/>
      <c r="CZ665" s="53"/>
      <c r="DA665" s="392"/>
      <c r="DD665" s="171"/>
      <c r="DE665" s="53"/>
      <c r="DH665" s="53"/>
      <c r="DM665" s="153"/>
      <c r="DN665" s="153"/>
      <c r="DR665" s="53"/>
      <c r="DS665" s="679"/>
      <c r="DT665" s="679"/>
      <c r="DU665" s="548"/>
      <c r="DV665" s="679"/>
      <c r="DW665" s="53"/>
      <c r="DX665" s="53"/>
      <c r="DY665" s="38"/>
      <c r="DZ665" s="53"/>
      <c r="ED665" s="53"/>
      <c r="EF665" s="38"/>
      <c r="EJ665" s="153"/>
      <c r="EK665" s="214"/>
      <c r="EL665" s="153"/>
      <c r="EM665" s="153"/>
      <c r="EO665" s="53"/>
      <c r="EP665" s="38"/>
      <c r="EQ665" s="38"/>
      <c r="ER665" s="38"/>
      <c r="ES665" s="38"/>
      <c r="FG665" s="58"/>
      <c r="FH665" s="38"/>
      <c r="FJ665" s="53"/>
      <c r="FK665" s="53"/>
      <c r="FL665" s="53"/>
      <c r="FN665" s="67"/>
      <c r="FO665" s="38"/>
      <c r="FP665" s="43"/>
      <c r="FQ665" s="548"/>
      <c r="FR665" s="53"/>
      <c r="FS665" s="53"/>
      <c r="FT665" s="53"/>
      <c r="FU665" s="53"/>
    </row>
    <row r="666" spans="3:177">
      <c r="C666" s="497" t="s">
        <v>1530</v>
      </c>
      <c r="D666" s="1038">
        <f t="shared" ref="D666:F666" si="1004">D652-D638</f>
        <v>-9.6892539356623281E-5</v>
      </c>
      <c r="E666" s="1038">
        <f t="shared" si="1004"/>
        <v>-2.9491666666672245E-3</v>
      </c>
      <c r="F666" s="1138">
        <f t="shared" si="1004"/>
        <v>-3.5390000000006694E-2</v>
      </c>
      <c r="G666" s="1038"/>
      <c r="P666" s="214"/>
      <c r="R666" s="205"/>
      <c r="T666" s="53"/>
      <c r="V666" s="53"/>
      <c r="BR666" s="38"/>
      <c r="BS666" s="38"/>
      <c r="BT666" s="154"/>
      <c r="BU666" s="38"/>
      <c r="BX666" s="38"/>
      <c r="BY666" s="162"/>
      <c r="BZ666" s="166"/>
      <c r="CA666" s="53"/>
      <c r="CB666" s="153"/>
      <c r="CC666" s="53"/>
      <c r="CD666" s="53"/>
      <c r="CF666" s="53"/>
      <c r="CL666" s="171"/>
      <c r="CP666" s="53"/>
      <c r="CU666" s="153"/>
      <c r="CV666" s="153"/>
      <c r="CY666" s="53"/>
      <c r="CZ666" s="53"/>
      <c r="DA666" s="392"/>
      <c r="DD666" s="171"/>
      <c r="DE666" s="53"/>
      <c r="DH666" s="53"/>
      <c r="DM666" s="153"/>
      <c r="DN666" s="153"/>
      <c r="DR666" s="53"/>
      <c r="DS666" s="679"/>
      <c r="DT666" s="679"/>
      <c r="DU666" s="548"/>
      <c r="DV666" s="679"/>
      <c r="DW666" s="53"/>
      <c r="DX666" s="53"/>
      <c r="DY666" s="38"/>
      <c r="DZ666" s="53"/>
      <c r="ED666" s="53"/>
      <c r="EF666" s="38"/>
      <c r="EJ666" s="153"/>
      <c r="EK666" s="214"/>
      <c r="EL666" s="153"/>
      <c r="EM666" s="153"/>
      <c r="EO666" s="53"/>
      <c r="EP666" s="38"/>
      <c r="EQ666" s="38"/>
      <c r="ER666" s="38"/>
      <c r="ES666" s="38"/>
      <c r="FG666" s="58"/>
      <c r="FH666" s="38"/>
      <c r="FJ666" s="53"/>
      <c r="FK666" s="53"/>
      <c r="FL666" s="53"/>
      <c r="FN666" s="67"/>
      <c r="FO666" s="38"/>
      <c r="FP666" s="43"/>
      <c r="FQ666" s="548"/>
      <c r="FR666" s="53"/>
      <c r="FS666" s="53"/>
      <c r="FT666" s="53"/>
      <c r="FU666" s="53"/>
    </row>
    <row r="667" spans="3:177">
      <c r="C667" s="497" t="s">
        <v>1531</v>
      </c>
      <c r="D667" s="1038">
        <f t="shared" ref="D667:F667" si="1005">D653-D639</f>
        <v>-4.9645995893238606E-4</v>
      </c>
      <c r="E667" s="1038">
        <f t="shared" si="1005"/>
        <v>-1.5111000000004537E-2</v>
      </c>
      <c r="F667" s="1138">
        <f t="shared" si="1005"/>
        <v>-0.18133200000005445</v>
      </c>
      <c r="G667" s="1038"/>
      <c r="P667" s="214"/>
      <c r="R667" s="205"/>
      <c r="T667" s="53"/>
      <c r="V667" s="53"/>
      <c r="BR667" s="38"/>
      <c r="BS667" s="38"/>
      <c r="BT667" s="154"/>
      <c r="BU667" s="38"/>
      <c r="BX667" s="38"/>
      <c r="BY667" s="162"/>
      <c r="BZ667" s="166"/>
      <c r="CA667" s="53"/>
      <c r="CB667" s="153"/>
      <c r="CC667" s="53"/>
      <c r="CD667" s="53"/>
      <c r="CF667" s="53"/>
      <c r="CL667" s="171"/>
      <c r="CP667" s="53"/>
      <c r="CU667" s="153"/>
      <c r="CV667" s="153"/>
      <c r="CY667" s="53"/>
      <c r="CZ667" s="53"/>
      <c r="DA667" s="392"/>
      <c r="DD667" s="171"/>
      <c r="DE667" s="53"/>
      <c r="DH667" s="53"/>
      <c r="DM667" s="153"/>
      <c r="DN667" s="153"/>
      <c r="DR667" s="53"/>
      <c r="DS667" s="679"/>
      <c r="DT667" s="679"/>
      <c r="DU667" s="548"/>
      <c r="DV667" s="679"/>
      <c r="DW667" s="53"/>
      <c r="DX667" s="53"/>
      <c r="DY667" s="38"/>
      <c r="DZ667" s="53"/>
      <c r="ED667" s="53"/>
      <c r="EF667" s="38"/>
      <c r="EJ667" s="153"/>
      <c r="EK667" s="214"/>
      <c r="EL667" s="153"/>
      <c r="EM667" s="153"/>
      <c r="EO667" s="53"/>
      <c r="EP667" s="38"/>
      <c r="EQ667" s="38"/>
      <c r="ER667" s="38"/>
      <c r="ES667" s="38"/>
      <c r="FG667" s="58"/>
      <c r="FH667" s="38"/>
      <c r="FJ667" s="53"/>
      <c r="FK667" s="53"/>
      <c r="FL667" s="53"/>
      <c r="FN667" s="67"/>
      <c r="FO667" s="38"/>
      <c r="FP667" s="43"/>
      <c r="FQ667" s="548"/>
      <c r="FR667" s="53"/>
      <c r="FS667" s="53"/>
      <c r="FT667" s="53"/>
      <c r="FU667" s="53"/>
    </row>
    <row r="668" spans="3:177">
      <c r="C668" s="497" t="s">
        <v>868</v>
      </c>
      <c r="D668" s="1038">
        <f t="shared" ref="D668:F668" si="1006">D654-D640</f>
        <v>-2.7378507871321002E-4</v>
      </c>
      <c r="E668" s="1038">
        <f t="shared" si="1006"/>
        <v>-8.333333333333328E-3</v>
      </c>
      <c r="F668" s="1138">
        <f t="shared" si="1006"/>
        <v>-9.9999999999999922E-2</v>
      </c>
      <c r="G668" s="1038"/>
      <c r="P668" s="214"/>
      <c r="R668" s="205"/>
      <c r="T668" s="53"/>
      <c r="V668" s="53"/>
      <c r="BR668" s="38"/>
      <c r="BS668" s="38"/>
      <c r="BT668" s="154"/>
      <c r="BU668" s="38"/>
      <c r="BX668" s="38"/>
      <c r="BY668" s="162"/>
      <c r="BZ668" s="166"/>
      <c r="CA668" s="53"/>
      <c r="CB668" s="153"/>
      <c r="CC668" s="53"/>
      <c r="CD668" s="53"/>
      <c r="CF668" s="53"/>
      <c r="CL668" s="171"/>
      <c r="CP668" s="53"/>
      <c r="CU668" s="153"/>
      <c r="CV668" s="153"/>
      <c r="CY668" s="53"/>
      <c r="CZ668" s="53"/>
      <c r="DA668" s="392"/>
      <c r="DD668" s="171"/>
      <c r="DE668" s="53"/>
      <c r="DH668" s="53"/>
      <c r="DM668" s="153"/>
      <c r="DN668" s="153"/>
      <c r="DR668" s="53"/>
      <c r="DS668" s="679"/>
      <c r="DT668" s="679"/>
      <c r="DU668" s="548"/>
      <c r="DV668" s="679"/>
      <c r="DW668" s="53"/>
      <c r="DX668" s="53"/>
      <c r="DY668" s="38"/>
      <c r="DZ668" s="53"/>
      <c r="ED668" s="53"/>
      <c r="EF668" s="38"/>
      <c r="EJ668" s="153"/>
      <c r="EK668" s="214"/>
      <c r="EL668" s="153"/>
      <c r="EM668" s="153"/>
      <c r="EO668" s="53"/>
      <c r="EP668" s="38"/>
      <c r="EQ668" s="38"/>
      <c r="ER668" s="38"/>
      <c r="ES668" s="38"/>
      <c r="FG668" s="58"/>
      <c r="FH668" s="38"/>
      <c r="FJ668" s="53"/>
      <c r="FK668" s="53"/>
      <c r="FL668" s="53"/>
      <c r="FN668" s="67"/>
      <c r="FO668" s="38"/>
      <c r="FP668" s="43"/>
      <c r="FQ668" s="548"/>
      <c r="FR668" s="53"/>
      <c r="FS668" s="53"/>
      <c r="FT668" s="53"/>
      <c r="FU668" s="53"/>
    </row>
    <row r="669" spans="3:177">
      <c r="C669" s="497" t="s">
        <v>9</v>
      </c>
      <c r="D669" s="1038">
        <f t="shared" ref="D669:F669" si="1007">D655-D641</f>
        <v>6.8446269678302529E-3</v>
      </c>
      <c r="E669" s="1038">
        <f t="shared" si="1007"/>
        <v>0.20833333333333393</v>
      </c>
      <c r="F669" s="1138">
        <f t="shared" si="1007"/>
        <v>2.5</v>
      </c>
      <c r="G669" s="1038"/>
      <c r="P669" s="214"/>
      <c r="R669" s="205"/>
      <c r="T669" s="53"/>
      <c r="V669" s="53"/>
      <c r="BR669" s="38"/>
      <c r="BS669" s="38"/>
      <c r="BT669" s="154"/>
      <c r="BU669" s="38"/>
      <c r="BX669" s="38"/>
      <c r="BY669" s="162"/>
      <c r="BZ669" s="166"/>
      <c r="CA669" s="53"/>
      <c r="CB669" s="153"/>
      <c r="CC669" s="53"/>
      <c r="CD669" s="53"/>
      <c r="CF669" s="53"/>
      <c r="CL669" s="171"/>
      <c r="CP669" s="53"/>
      <c r="CU669" s="153"/>
      <c r="CV669" s="153"/>
      <c r="CY669" s="53"/>
      <c r="CZ669" s="53"/>
      <c r="DA669" s="392"/>
      <c r="DD669" s="171"/>
      <c r="DE669" s="53"/>
      <c r="DH669" s="53"/>
      <c r="DM669" s="153"/>
      <c r="DN669" s="153"/>
      <c r="DR669" s="53"/>
      <c r="DS669" s="679"/>
      <c r="DT669" s="679"/>
      <c r="DU669" s="548"/>
      <c r="DV669" s="679"/>
      <c r="DW669" s="53"/>
      <c r="DX669" s="53"/>
      <c r="DY669" s="38"/>
      <c r="DZ669" s="53"/>
      <c r="ED669" s="53"/>
      <c r="EF669" s="38"/>
      <c r="EJ669" s="153"/>
      <c r="EK669" s="214"/>
      <c r="EL669" s="153"/>
      <c r="EM669" s="153"/>
      <c r="EO669" s="53"/>
      <c r="EP669" s="38"/>
      <c r="EQ669" s="38"/>
      <c r="ER669" s="38"/>
      <c r="ES669" s="38"/>
      <c r="FG669" s="58"/>
      <c r="FH669" s="38"/>
      <c r="FJ669" s="53"/>
      <c r="FK669" s="53"/>
      <c r="FL669" s="53"/>
      <c r="FN669" s="67"/>
      <c r="FO669" s="38"/>
      <c r="FP669" s="43"/>
      <c r="FQ669" s="548"/>
      <c r="FR669" s="53"/>
      <c r="FS669" s="53"/>
      <c r="FT669" s="53"/>
      <c r="FU669" s="53"/>
    </row>
    <row r="670" spans="3:177">
      <c r="C670" s="497" t="s">
        <v>867</v>
      </c>
      <c r="D670" s="1038">
        <f t="shared" ref="D670:F670" si="1008">D656-D642</f>
        <v>1.7796030116358663E-2</v>
      </c>
      <c r="E670" s="1038">
        <f t="shared" si="1008"/>
        <v>0.5416666666666643</v>
      </c>
      <c r="F670" s="1138">
        <f t="shared" si="1008"/>
        <v>6.5</v>
      </c>
      <c r="G670" s="1038"/>
      <c r="P670" s="214"/>
      <c r="R670" s="205"/>
      <c r="T670" s="53"/>
      <c r="V670" s="53"/>
      <c r="BR670" s="38"/>
      <c r="BS670" s="38"/>
      <c r="BT670" s="154"/>
      <c r="BU670" s="38"/>
      <c r="BX670" s="38"/>
      <c r="BY670" s="162"/>
      <c r="BZ670" s="166"/>
      <c r="CA670" s="53"/>
      <c r="CB670" s="153"/>
      <c r="CC670" s="53"/>
      <c r="CD670" s="53"/>
      <c r="CF670" s="53"/>
      <c r="CL670" s="171"/>
      <c r="CP670" s="53"/>
      <c r="CU670" s="153"/>
      <c r="CV670" s="153"/>
      <c r="CY670" s="53"/>
      <c r="CZ670" s="53"/>
      <c r="DA670" s="392"/>
      <c r="DD670" s="171"/>
      <c r="DE670" s="53"/>
      <c r="DH670" s="53"/>
      <c r="DM670" s="153"/>
      <c r="DN670" s="153"/>
      <c r="DR670" s="53"/>
      <c r="DS670" s="679"/>
      <c r="DT670" s="679"/>
      <c r="DU670" s="548"/>
      <c r="DV670" s="679"/>
      <c r="DW670" s="53"/>
      <c r="DX670" s="53"/>
      <c r="DY670" s="38"/>
      <c r="DZ670" s="53"/>
      <c r="ED670" s="53"/>
      <c r="EF670" s="38"/>
      <c r="EJ670" s="153"/>
      <c r="EK670" s="214"/>
      <c r="EL670" s="153"/>
      <c r="EM670" s="153"/>
      <c r="EO670" s="53"/>
      <c r="EP670" s="38"/>
      <c r="EQ670" s="38"/>
      <c r="ER670" s="38"/>
      <c r="ES670" s="38"/>
      <c r="FG670" s="58"/>
      <c r="FH670" s="38"/>
      <c r="FJ670" s="53"/>
      <c r="FK670" s="53"/>
      <c r="FL670" s="53"/>
      <c r="FN670" s="67"/>
      <c r="FO670" s="38"/>
      <c r="FP670" s="43"/>
      <c r="FQ670" s="548"/>
      <c r="FR670" s="53"/>
      <c r="FS670" s="53"/>
      <c r="FT670" s="53"/>
      <c r="FU670" s="53"/>
    </row>
    <row r="671" spans="3:177">
      <c r="C671" s="497" t="s">
        <v>300</v>
      </c>
      <c r="D671" s="1038">
        <f t="shared" ref="D671:F671" si="1009">D657-D643</f>
        <v>1.8466461327857481E-3</v>
      </c>
      <c r="E671" s="1038">
        <f t="shared" si="1009"/>
        <v>5.6207291666666048E-2</v>
      </c>
      <c r="F671" s="1138">
        <f t="shared" si="1009"/>
        <v>0.67448749999999436</v>
      </c>
      <c r="G671" s="1038"/>
      <c r="P671" s="214"/>
      <c r="R671" s="205"/>
      <c r="T671" s="53"/>
      <c r="V671" s="53"/>
      <c r="BR671" s="38"/>
      <c r="BS671" s="38"/>
      <c r="BT671" s="154"/>
      <c r="BU671" s="38"/>
      <c r="BX671" s="38"/>
      <c r="BY671" s="162"/>
      <c r="BZ671" s="166"/>
      <c r="CA671" s="53"/>
      <c r="CB671" s="153"/>
      <c r="CC671" s="53"/>
      <c r="CD671" s="53"/>
      <c r="CF671" s="53"/>
      <c r="CL671" s="171"/>
      <c r="CP671" s="53"/>
      <c r="CU671" s="153"/>
      <c r="CV671" s="153"/>
      <c r="CY671" s="53"/>
      <c r="CZ671" s="53"/>
      <c r="DA671" s="392"/>
      <c r="DD671" s="171"/>
      <c r="DE671" s="53"/>
      <c r="DH671" s="53"/>
      <c r="DM671" s="153"/>
      <c r="DN671" s="153"/>
      <c r="DR671" s="53"/>
      <c r="DS671" s="679"/>
      <c r="DT671" s="679"/>
      <c r="DU671" s="548"/>
      <c r="DV671" s="679"/>
      <c r="DW671" s="53"/>
      <c r="DX671" s="53"/>
      <c r="DY671" s="38"/>
      <c r="DZ671" s="53"/>
      <c r="ED671" s="53"/>
      <c r="EF671" s="38"/>
      <c r="EJ671" s="153"/>
      <c r="EK671" s="214"/>
      <c r="EL671" s="153"/>
      <c r="EM671" s="153"/>
      <c r="EO671" s="53"/>
      <c r="EP671" s="38"/>
      <c r="EQ671" s="38"/>
      <c r="ER671" s="38"/>
      <c r="ES671" s="38"/>
      <c r="FG671" s="58"/>
      <c r="FH671" s="38"/>
      <c r="FJ671" s="53"/>
      <c r="FK671" s="53"/>
      <c r="FL671" s="53"/>
      <c r="FN671" s="67"/>
      <c r="FO671" s="38"/>
      <c r="FP671" s="43"/>
      <c r="FQ671" s="548"/>
      <c r="FR671" s="53"/>
      <c r="FS671" s="53"/>
      <c r="FT671" s="53"/>
      <c r="FU671" s="53"/>
    </row>
    <row r="672" spans="3:177">
      <c r="C672" s="497" t="s">
        <v>163</v>
      </c>
      <c r="D672" s="1038">
        <f t="shared" ref="D672:F674" ca="1" si="1010">D658-D644</f>
        <v>4.064859781207162E-4</v>
      </c>
      <c r="E672" s="1038">
        <f t="shared" ca="1" si="1010"/>
        <v>1.2372416959049337E-2</v>
      </c>
      <c r="F672" s="1138">
        <f t="shared" ca="1" si="1010"/>
        <v>0.14846900350859205</v>
      </c>
      <c r="G672" s="1038"/>
      <c r="P672" s="214"/>
      <c r="R672" s="205"/>
      <c r="T672" s="53"/>
      <c r="V672" s="53"/>
      <c r="BR672" s="38"/>
      <c r="BS672" s="38"/>
      <c r="BT672" s="154"/>
      <c r="BU672" s="38"/>
      <c r="BX672" s="38"/>
      <c r="BY672" s="162"/>
      <c r="BZ672" s="166"/>
      <c r="CA672" s="53"/>
      <c r="CB672" s="153"/>
      <c r="CC672" s="53"/>
      <c r="CD672" s="53"/>
      <c r="CF672" s="53"/>
      <c r="CL672" s="171"/>
      <c r="CP672" s="53"/>
      <c r="CU672" s="153"/>
      <c r="CV672" s="153"/>
      <c r="CY672" s="53"/>
      <c r="CZ672" s="53"/>
      <c r="DA672" s="392"/>
      <c r="DD672" s="171"/>
      <c r="DE672" s="53"/>
      <c r="DH672" s="53"/>
      <c r="DM672" s="153"/>
      <c r="DN672" s="153"/>
      <c r="DR672" s="53"/>
      <c r="DS672" s="679"/>
      <c r="DT672" s="679"/>
      <c r="DU672" s="548"/>
      <c r="DV672" s="679"/>
      <c r="DW672" s="53"/>
      <c r="DX672" s="53"/>
      <c r="DY672" s="38"/>
      <c r="DZ672" s="53"/>
      <c r="ED672" s="53"/>
      <c r="EF672" s="38"/>
      <c r="EJ672" s="153"/>
      <c r="EK672" s="214"/>
      <c r="EL672" s="153"/>
      <c r="EM672" s="153"/>
      <c r="EO672" s="53"/>
      <c r="EP672" s="38"/>
      <c r="EQ672" s="38"/>
      <c r="ER672" s="38"/>
      <c r="ES672" s="38"/>
      <c r="FG672" s="58"/>
      <c r="FH672" s="38"/>
      <c r="FJ672" s="53"/>
      <c r="FK672" s="53"/>
      <c r="FL672" s="53"/>
      <c r="FN672" s="67"/>
      <c r="FO672" s="38"/>
      <c r="FP672" s="43"/>
      <c r="FQ672" s="548"/>
      <c r="FR672" s="53"/>
      <c r="FS672" s="53"/>
      <c r="FT672" s="53"/>
      <c r="FU672" s="53"/>
    </row>
    <row r="673" spans="3:177">
      <c r="C673" s="497" t="s">
        <v>164</v>
      </c>
      <c r="D673" s="1038">
        <f t="shared" ca="1" si="1010"/>
        <v>-8.4268493138495437E-3</v>
      </c>
      <c r="E673" s="1038">
        <f t="shared" ca="1" si="1010"/>
        <v>-0.25649222599029553</v>
      </c>
      <c r="F673" s="1138">
        <f t="shared" ca="1" si="1010"/>
        <v>-3.0779067118835428</v>
      </c>
      <c r="G673" s="1242"/>
      <c r="P673" s="214"/>
      <c r="R673" s="205"/>
      <c r="T673" s="53"/>
      <c r="V673" s="53"/>
      <c r="BR673" s="38"/>
      <c r="BS673" s="38"/>
      <c r="BT673" s="154"/>
      <c r="BU673" s="38"/>
      <c r="BX673" s="38"/>
      <c r="BY673" s="162"/>
      <c r="BZ673" s="166"/>
      <c r="CA673" s="53"/>
      <c r="CB673" s="153"/>
      <c r="CC673" s="53"/>
      <c r="CD673" s="53"/>
      <c r="CF673" s="53"/>
      <c r="CL673" s="171"/>
      <c r="CP673" s="53"/>
      <c r="CU673" s="153"/>
      <c r="CV673" s="153"/>
      <c r="CY673" s="53"/>
      <c r="CZ673" s="53"/>
      <c r="DA673" s="392"/>
      <c r="DD673" s="171"/>
      <c r="DE673" s="53"/>
      <c r="DH673" s="53"/>
      <c r="DM673" s="153"/>
      <c r="DN673" s="153"/>
      <c r="DR673" s="53"/>
      <c r="DS673" s="679"/>
      <c r="DT673" s="679"/>
      <c r="DU673" s="548"/>
      <c r="DV673" s="679"/>
      <c r="DW673" s="53"/>
      <c r="DX673" s="53"/>
      <c r="DY673" s="38"/>
      <c r="DZ673" s="53"/>
      <c r="ED673" s="53"/>
      <c r="EF673" s="38"/>
      <c r="EJ673" s="153"/>
      <c r="EK673" s="214"/>
      <c r="EL673" s="153"/>
      <c r="EM673" s="153"/>
      <c r="EO673" s="53"/>
      <c r="EP673" s="38"/>
      <c r="EQ673" s="38"/>
      <c r="ER673" s="38"/>
      <c r="ES673" s="38"/>
      <c r="FG673" s="58"/>
      <c r="FH673" s="38"/>
      <c r="FJ673" s="53"/>
      <c r="FK673" s="53"/>
      <c r="FL673" s="53"/>
      <c r="FN673" s="67"/>
      <c r="FO673" s="38"/>
      <c r="FP673" s="43"/>
      <c r="FQ673" s="548"/>
      <c r="FR673" s="53"/>
      <c r="FS673" s="53"/>
      <c r="FT673" s="53"/>
      <c r="FU673" s="53"/>
    </row>
    <row r="674" spans="3:177" ht="13.5" thickBot="1">
      <c r="C674" s="1110" t="s">
        <v>1671</v>
      </c>
      <c r="D674" s="1040">
        <f t="shared" ca="1" si="1010"/>
        <v>1.6492571640313702E-2</v>
      </c>
      <c r="E674" s="1040">
        <f t="shared" ca="1" si="1010"/>
        <v>0.50199264930205345</v>
      </c>
      <c r="F674" s="1139">
        <f t="shared" ca="1" si="1010"/>
        <v>6.0239117916245846</v>
      </c>
      <c r="G674" s="1241"/>
      <c r="H674" s="1243"/>
      <c r="P674" s="214"/>
      <c r="R674" s="205"/>
      <c r="T674" s="53"/>
      <c r="V674" s="53"/>
      <c r="BR674" s="38"/>
      <c r="BS674" s="38"/>
      <c r="BT674" s="154"/>
      <c r="BU674" s="38"/>
      <c r="BX674" s="38"/>
      <c r="BY674" s="162"/>
      <c r="BZ674" s="166"/>
      <c r="CA674" s="53"/>
      <c r="CB674" s="153"/>
      <c r="CC674" s="53"/>
      <c r="CD674" s="53"/>
      <c r="CF674" s="53"/>
      <c r="CL674" s="171"/>
      <c r="CP674" s="53"/>
      <c r="CU674" s="153"/>
      <c r="CV674" s="153"/>
      <c r="CY674" s="53"/>
      <c r="CZ674" s="53"/>
      <c r="DA674" s="392"/>
      <c r="DD674" s="171"/>
      <c r="DE674" s="53"/>
      <c r="DH674" s="53"/>
      <c r="DM674" s="153"/>
      <c r="DN674" s="153"/>
      <c r="DR674" s="53"/>
      <c r="DS674" s="679"/>
      <c r="DT674" s="679"/>
      <c r="DU674" s="548"/>
      <c r="DV674" s="679"/>
      <c r="DW674" s="53"/>
      <c r="DX674" s="53"/>
      <c r="DY674" s="38"/>
      <c r="DZ674" s="53"/>
      <c r="ED674" s="53"/>
      <c r="EF674" s="38"/>
      <c r="EJ674" s="153"/>
      <c r="EK674" s="214"/>
      <c r="EL674" s="153"/>
      <c r="EM674" s="153"/>
      <c r="EO674" s="53"/>
      <c r="EP674" s="38"/>
      <c r="EQ674" s="38"/>
      <c r="ER674" s="38"/>
      <c r="ES674" s="38"/>
      <c r="FG674" s="58"/>
      <c r="FH674" s="38"/>
      <c r="FJ674" s="53"/>
      <c r="FK674" s="53"/>
      <c r="FL674" s="53"/>
      <c r="FN674" s="67"/>
      <c r="FO674" s="38"/>
      <c r="FP674" s="43"/>
      <c r="FQ674" s="548"/>
      <c r="FR674" s="53"/>
      <c r="FS674" s="53"/>
      <c r="FT674" s="53"/>
      <c r="FU674" s="53"/>
    </row>
    <row r="675" spans="3:177">
      <c r="P675" s="214"/>
      <c r="R675" s="205"/>
      <c r="T675" s="53"/>
      <c r="V675" s="53"/>
      <c r="BR675" s="38"/>
      <c r="BS675" s="38"/>
      <c r="BT675" s="154"/>
      <c r="BU675" s="38"/>
      <c r="BX675" s="38"/>
      <c r="BY675" s="162"/>
      <c r="BZ675" s="166"/>
      <c r="CA675" s="53"/>
      <c r="CB675" s="153"/>
      <c r="CC675" s="53"/>
      <c r="CD675" s="53"/>
      <c r="CF675" s="53"/>
      <c r="CL675" s="171"/>
      <c r="CP675" s="53"/>
      <c r="CU675" s="153"/>
      <c r="CV675" s="153"/>
      <c r="CY675" s="53"/>
      <c r="CZ675" s="53"/>
      <c r="DA675" s="392"/>
      <c r="DD675" s="171"/>
      <c r="DE675" s="53"/>
      <c r="DH675" s="53"/>
      <c r="DM675" s="153"/>
      <c r="DN675" s="153"/>
      <c r="DR675" s="53"/>
      <c r="DS675" s="679"/>
      <c r="DT675" s="679"/>
      <c r="DU675" s="548"/>
      <c r="DV675" s="679"/>
      <c r="DW675" s="53"/>
      <c r="DX675" s="53"/>
      <c r="DY675" s="38"/>
      <c r="DZ675" s="53"/>
      <c r="ED675" s="53"/>
      <c r="EF675" s="38"/>
      <c r="EJ675" s="153"/>
      <c r="EK675" s="214"/>
      <c r="EL675" s="153"/>
      <c r="EM675" s="153"/>
      <c r="EO675" s="53"/>
      <c r="EP675" s="38"/>
      <c r="EQ675" s="38"/>
      <c r="ER675" s="38"/>
      <c r="ES675" s="38"/>
      <c r="FG675" s="58"/>
      <c r="FH675" s="38"/>
      <c r="FJ675" s="53"/>
      <c r="FK675" s="53"/>
      <c r="FL675" s="53"/>
      <c r="FN675" s="67"/>
      <c r="FO675" s="38"/>
      <c r="FP675" s="43"/>
      <c r="FQ675" s="548"/>
      <c r="FR675" s="53"/>
      <c r="FS675" s="53"/>
      <c r="FT675" s="53"/>
      <c r="FU675" s="53"/>
    </row>
    <row r="676" spans="3:177" ht="13.5" thickBot="1">
      <c r="P676" s="214"/>
      <c r="R676" s="205"/>
      <c r="T676" s="53"/>
      <c r="V676" s="53"/>
      <c r="BR676" s="38"/>
      <c r="BS676" s="38"/>
      <c r="BT676" s="154"/>
      <c r="BU676" s="38"/>
      <c r="BX676" s="38"/>
      <c r="BY676" s="162"/>
      <c r="BZ676" s="166"/>
      <c r="CA676" s="53"/>
      <c r="CB676" s="153"/>
      <c r="CC676" s="53"/>
      <c r="CD676" s="53"/>
      <c r="CF676" s="53"/>
      <c r="CL676" s="171"/>
      <c r="CP676" s="53"/>
      <c r="CU676" s="153"/>
      <c r="CV676" s="153"/>
      <c r="CY676" s="53"/>
      <c r="CZ676" s="53"/>
      <c r="DA676" s="392"/>
      <c r="DD676" s="171"/>
      <c r="DE676" s="53"/>
      <c r="DH676" s="53"/>
      <c r="DM676" s="153"/>
      <c r="DN676" s="153"/>
      <c r="DR676" s="53"/>
      <c r="DS676" s="679"/>
      <c r="DT676" s="679"/>
      <c r="DU676" s="548"/>
      <c r="DV676" s="679"/>
      <c r="DW676" s="53"/>
      <c r="DX676" s="53"/>
      <c r="DY676" s="38"/>
      <c r="DZ676" s="53"/>
      <c r="ED676" s="53"/>
      <c r="EF676" s="38"/>
      <c r="EJ676" s="153"/>
      <c r="EK676" s="214"/>
      <c r="EL676" s="153"/>
      <c r="EM676" s="153"/>
      <c r="EO676" s="53"/>
      <c r="EP676" s="38"/>
      <c r="EQ676" s="38"/>
      <c r="ER676" s="38"/>
      <c r="ES676" s="38"/>
      <c r="FG676" s="58"/>
      <c r="FH676" s="38"/>
      <c r="FJ676" s="53"/>
      <c r="FK676" s="53"/>
      <c r="FL676" s="53"/>
      <c r="FN676" s="67"/>
      <c r="FO676" s="38"/>
      <c r="FP676" s="43"/>
      <c r="FQ676" s="548"/>
      <c r="FR676" s="53"/>
      <c r="FS676" s="53"/>
      <c r="FT676" s="53"/>
      <c r="FU676" s="53"/>
    </row>
    <row r="677" spans="3:177">
      <c r="C677" s="105" t="s">
        <v>2261</v>
      </c>
      <c r="D677" s="111"/>
      <c r="E677" s="111"/>
      <c r="F677" s="112"/>
      <c r="P677" s="214"/>
      <c r="R677" s="205"/>
      <c r="T677" s="53"/>
      <c r="V677" s="53"/>
      <c r="BR677" s="38"/>
      <c r="BS677" s="38"/>
      <c r="BT677" s="154"/>
      <c r="BU677" s="38"/>
      <c r="BX677" s="38"/>
      <c r="BY677" s="162"/>
      <c r="BZ677" s="166"/>
      <c r="CA677" s="53"/>
      <c r="CB677" s="153"/>
      <c r="CC677" s="53"/>
      <c r="CD677" s="53"/>
      <c r="CF677" s="53"/>
      <c r="CL677" s="171"/>
      <c r="CP677" s="53"/>
      <c r="CU677" s="153"/>
      <c r="CV677" s="153"/>
      <c r="CY677" s="53"/>
      <c r="CZ677" s="53"/>
      <c r="DA677" s="392"/>
      <c r="DD677" s="171"/>
      <c r="DE677" s="53"/>
      <c r="DH677" s="53"/>
      <c r="DM677" s="153"/>
      <c r="DN677" s="153"/>
      <c r="DR677" s="53"/>
      <c r="DS677" s="679"/>
      <c r="DT677" s="679"/>
      <c r="DU677" s="548"/>
      <c r="DV677" s="679"/>
      <c r="DW677" s="53"/>
      <c r="DX677" s="53"/>
      <c r="DY677" s="38"/>
      <c r="DZ677" s="53"/>
      <c r="ED677" s="53"/>
      <c r="EF677" s="38"/>
      <c r="EJ677" s="153"/>
      <c r="EK677" s="214"/>
      <c r="EL677" s="153"/>
      <c r="EM677" s="153"/>
      <c r="EO677" s="53"/>
      <c r="EP677" s="38"/>
      <c r="EQ677" s="38"/>
      <c r="ER677" s="38"/>
      <c r="ES677" s="38"/>
      <c r="FG677" s="58"/>
      <c r="FH677" s="38"/>
      <c r="FJ677" s="53"/>
      <c r="FK677" s="53"/>
      <c r="FL677" s="53"/>
      <c r="FN677" s="67"/>
      <c r="FO677" s="38"/>
      <c r="FP677" s="43"/>
      <c r="FQ677" s="548"/>
      <c r="FR677" s="53"/>
      <c r="FS677" s="53"/>
      <c r="FT677" s="53"/>
      <c r="FU677" s="53"/>
    </row>
    <row r="678" spans="3:177">
      <c r="C678" s="1160" t="s">
        <v>2257</v>
      </c>
      <c r="D678" s="1161">
        <v>42759</v>
      </c>
      <c r="E678" s="1161">
        <v>42761</v>
      </c>
      <c r="F678" s="115"/>
      <c r="P678" s="214"/>
      <c r="R678" s="205"/>
      <c r="T678" s="53"/>
      <c r="V678" s="53"/>
      <c r="BR678" s="38"/>
      <c r="BS678" s="38"/>
      <c r="BT678" s="154"/>
      <c r="BU678" s="38"/>
      <c r="BX678" s="38"/>
      <c r="BY678" s="162"/>
      <c r="BZ678" s="166"/>
      <c r="CA678" s="53"/>
      <c r="CB678" s="153"/>
      <c r="CC678" s="53"/>
      <c r="CD678" s="53"/>
      <c r="CF678" s="53"/>
      <c r="CL678" s="171"/>
      <c r="CP678" s="53"/>
      <c r="CU678" s="153"/>
      <c r="CV678" s="153"/>
      <c r="CY678" s="53"/>
      <c r="CZ678" s="53"/>
      <c r="DA678" s="392"/>
      <c r="DD678" s="171"/>
      <c r="DE678" s="53"/>
      <c r="DH678" s="53"/>
      <c r="DM678" s="153"/>
      <c r="DN678" s="153"/>
      <c r="DR678" s="53"/>
      <c r="DS678" s="679"/>
      <c r="DT678" s="679"/>
      <c r="DU678" s="548"/>
      <c r="DV678" s="679"/>
      <c r="DW678" s="53"/>
      <c r="DX678" s="53"/>
      <c r="DY678" s="38"/>
      <c r="DZ678" s="53"/>
      <c r="ED678" s="53"/>
      <c r="EF678" s="38"/>
      <c r="EJ678" s="153"/>
      <c r="EK678" s="214"/>
      <c r="EL678" s="153"/>
      <c r="EM678" s="153"/>
      <c r="EO678" s="53"/>
      <c r="EP678" s="38"/>
      <c r="EQ678" s="38"/>
      <c r="ER678" s="38"/>
      <c r="ES678" s="38"/>
      <c r="FG678" s="58"/>
      <c r="FH678" s="38"/>
      <c r="FJ678" s="53"/>
      <c r="FK678" s="53"/>
      <c r="FL678" s="53"/>
      <c r="FN678" s="67"/>
      <c r="FO678" s="38"/>
      <c r="FP678" s="43"/>
      <c r="FQ678" s="548"/>
      <c r="FR678" s="53"/>
      <c r="FS678" s="53"/>
      <c r="FT678" s="53"/>
      <c r="FU678" s="53"/>
    </row>
    <row r="679" spans="3:177">
      <c r="C679" s="497" t="s">
        <v>2257</v>
      </c>
      <c r="D679" s="1161">
        <v>42766</v>
      </c>
      <c r="E679" s="1161">
        <v>42768</v>
      </c>
      <c r="F679" s="115"/>
      <c r="P679" s="214"/>
      <c r="R679" s="205"/>
      <c r="T679" s="53"/>
      <c r="V679" s="53"/>
      <c r="BR679" s="38"/>
      <c r="BS679" s="38"/>
      <c r="BT679" s="154"/>
      <c r="BU679" s="38"/>
      <c r="BX679" s="38"/>
      <c r="BY679" s="162"/>
      <c r="BZ679" s="166"/>
      <c r="CA679" s="53"/>
      <c r="CB679" s="153"/>
      <c r="CC679" s="53"/>
      <c r="CD679" s="53"/>
      <c r="CF679" s="53"/>
      <c r="CL679" s="171"/>
      <c r="CP679" s="53"/>
      <c r="CU679" s="153"/>
      <c r="CV679" s="153"/>
      <c r="CY679" s="53"/>
      <c r="CZ679" s="53"/>
      <c r="DA679" s="392"/>
      <c r="DD679" s="171"/>
      <c r="DE679" s="53"/>
      <c r="DH679" s="53"/>
      <c r="DM679" s="153"/>
      <c r="DN679" s="153"/>
      <c r="DR679" s="53"/>
      <c r="DS679" s="679"/>
      <c r="DT679" s="679"/>
      <c r="DU679" s="548"/>
      <c r="DV679" s="679"/>
      <c r="DW679" s="53"/>
      <c r="DX679" s="53"/>
      <c r="DY679" s="38"/>
      <c r="DZ679" s="53"/>
      <c r="ED679" s="53"/>
      <c r="EF679" s="38"/>
      <c r="EJ679" s="153"/>
      <c r="EK679" s="214"/>
      <c r="EL679" s="153"/>
      <c r="EM679" s="153"/>
      <c r="EO679" s="53"/>
      <c r="EP679" s="38"/>
      <c r="EQ679" s="38"/>
      <c r="ER679" s="38"/>
      <c r="ES679" s="38"/>
      <c r="FG679" s="58"/>
      <c r="FH679" s="38"/>
      <c r="FJ679" s="53"/>
      <c r="FK679" s="53"/>
      <c r="FL679" s="53"/>
      <c r="FN679" s="67"/>
      <c r="FO679" s="38"/>
      <c r="FP679" s="43"/>
      <c r="FQ679" s="548"/>
      <c r="FR679" s="53"/>
      <c r="FS679" s="53"/>
      <c r="FT679" s="53"/>
      <c r="FU679" s="53"/>
    </row>
    <row r="680" spans="3:177">
      <c r="C680" s="497" t="s">
        <v>2257</v>
      </c>
      <c r="D680" s="1161">
        <v>42773</v>
      </c>
      <c r="E680" s="1161">
        <v>42775</v>
      </c>
      <c r="F680" s="115"/>
      <c r="P680" s="214"/>
      <c r="R680" s="205"/>
      <c r="T680" s="53"/>
      <c r="V680" s="53"/>
      <c r="BR680" s="38"/>
      <c r="BS680" s="38"/>
      <c r="BT680" s="154"/>
      <c r="BU680" s="38"/>
      <c r="BX680" s="38"/>
      <c r="BY680" s="162"/>
      <c r="BZ680" s="166"/>
      <c r="CA680" s="53"/>
      <c r="CB680" s="153"/>
      <c r="CC680" s="53"/>
      <c r="CD680" s="53"/>
      <c r="CF680" s="53"/>
      <c r="CL680" s="171"/>
      <c r="CP680" s="53"/>
      <c r="CU680" s="153"/>
      <c r="CV680" s="153"/>
      <c r="CY680" s="53"/>
      <c r="CZ680" s="53"/>
      <c r="DA680" s="392"/>
      <c r="DD680" s="171"/>
      <c r="DE680" s="53"/>
      <c r="DH680" s="53"/>
      <c r="DM680" s="153"/>
      <c r="DN680" s="153"/>
      <c r="DR680" s="53"/>
      <c r="DS680" s="679"/>
      <c r="DT680" s="679"/>
      <c r="DU680" s="548"/>
      <c r="DV680" s="679"/>
      <c r="DW680" s="53"/>
      <c r="DX680" s="53"/>
      <c r="DY680" s="38"/>
      <c r="DZ680" s="53"/>
      <c r="ED680" s="53"/>
      <c r="EF680" s="38"/>
      <c r="EJ680" s="153"/>
      <c r="EK680" s="214"/>
      <c r="EL680" s="153"/>
      <c r="EM680" s="153"/>
      <c r="EO680" s="53"/>
      <c r="EP680" s="38"/>
      <c r="EQ680" s="38"/>
      <c r="ER680" s="38"/>
      <c r="ES680" s="38"/>
      <c r="FG680" s="58"/>
      <c r="FH680" s="38"/>
      <c r="FJ680" s="53"/>
      <c r="FK680" s="53"/>
      <c r="FL680" s="53"/>
      <c r="FN680" s="67"/>
      <c r="FO680" s="38"/>
      <c r="FP680" s="43"/>
      <c r="FQ680" s="548"/>
      <c r="FR680" s="53"/>
      <c r="FS680" s="53"/>
      <c r="FT680" s="53"/>
      <c r="FU680" s="53"/>
    </row>
    <row r="681" spans="3:177">
      <c r="C681" s="497" t="s">
        <v>2257</v>
      </c>
      <c r="D681" s="1161">
        <v>42780</v>
      </c>
      <c r="E681" s="1161">
        <v>42782</v>
      </c>
      <c r="F681" s="115"/>
      <c r="P681" s="214"/>
      <c r="R681" s="205"/>
      <c r="T681" s="53"/>
      <c r="V681" s="53"/>
      <c r="BR681" s="38"/>
      <c r="BS681" s="38"/>
      <c r="BT681" s="154"/>
      <c r="BU681" s="38"/>
      <c r="BX681" s="38"/>
      <c r="BY681" s="162"/>
      <c r="BZ681" s="166"/>
      <c r="CA681" s="53"/>
      <c r="CB681" s="153"/>
      <c r="CC681" s="53"/>
      <c r="CD681" s="53"/>
      <c r="CF681" s="53"/>
      <c r="CL681" s="171"/>
      <c r="CP681" s="53"/>
      <c r="CU681" s="153"/>
      <c r="CV681" s="153"/>
      <c r="CY681" s="53"/>
      <c r="CZ681" s="53"/>
      <c r="DA681" s="392"/>
      <c r="DD681" s="171"/>
      <c r="DE681" s="53"/>
      <c r="DH681" s="53"/>
      <c r="DM681" s="153"/>
      <c r="DN681" s="153"/>
      <c r="DR681" s="53"/>
      <c r="DS681" s="679"/>
      <c r="DT681" s="679"/>
      <c r="DU681" s="548"/>
      <c r="DV681" s="679"/>
      <c r="DW681" s="53"/>
      <c r="DX681" s="53"/>
      <c r="DY681" s="38"/>
      <c r="DZ681" s="53"/>
      <c r="ED681" s="53"/>
      <c r="EF681" s="38"/>
      <c r="EJ681" s="153"/>
      <c r="EK681" s="214"/>
      <c r="EL681" s="153"/>
      <c r="EM681" s="153"/>
      <c r="EO681" s="53"/>
      <c r="EP681" s="38"/>
      <c r="EQ681" s="38"/>
      <c r="ER681" s="38"/>
      <c r="ES681" s="38"/>
      <c r="EV681" s="53"/>
      <c r="EZ681" s="38"/>
      <c r="FA681" s="153"/>
      <c r="FB681" s="214"/>
      <c r="FC681" s="53"/>
      <c r="FD681" s="53"/>
      <c r="FE681" s="53"/>
      <c r="FF681" s="67"/>
      <c r="FG681" s="58"/>
      <c r="FH681" s="38"/>
      <c r="FJ681" s="53"/>
      <c r="FK681" s="53"/>
      <c r="FL681" s="53"/>
      <c r="FN681" s="67"/>
      <c r="FO681" s="38"/>
      <c r="FP681" s="43"/>
      <c r="FQ681" s="548"/>
      <c r="FR681" s="53"/>
      <c r="FS681" s="53"/>
      <c r="FT681" s="53"/>
      <c r="FU681" s="53"/>
    </row>
    <row r="682" spans="3:177">
      <c r="C682" s="497" t="s">
        <v>2257</v>
      </c>
      <c r="D682" s="1161">
        <v>42787</v>
      </c>
      <c r="E682" s="1161">
        <v>42789</v>
      </c>
      <c r="F682" s="115"/>
      <c r="P682" s="214"/>
      <c r="R682" s="205"/>
      <c r="T682" s="53"/>
      <c r="V682" s="53"/>
      <c r="BR682" s="38"/>
      <c r="BS682" s="38"/>
      <c r="BT682" s="154"/>
      <c r="BU682" s="38"/>
      <c r="BX682" s="38"/>
      <c r="BY682" s="162"/>
      <c r="BZ682" s="166"/>
      <c r="CA682" s="53"/>
      <c r="CB682" s="153"/>
      <c r="CC682" s="53"/>
      <c r="CD682" s="53"/>
      <c r="CF682" s="53"/>
      <c r="CL682" s="171"/>
      <c r="CP682" s="53"/>
      <c r="CU682" s="153"/>
      <c r="CV682" s="153"/>
      <c r="CY682" s="53"/>
      <c r="CZ682" s="53"/>
      <c r="DA682" s="392"/>
      <c r="DD682" s="171"/>
      <c r="DE682" s="53"/>
      <c r="DH682" s="53"/>
      <c r="DM682" s="153"/>
      <c r="DN682" s="153"/>
      <c r="DR682" s="53"/>
      <c r="DS682" s="679"/>
      <c r="DT682" s="679"/>
      <c r="DU682" s="548"/>
      <c r="DV682" s="679"/>
      <c r="DW682" s="53"/>
      <c r="DX682" s="53"/>
      <c r="DY682" s="38"/>
      <c r="DZ682" s="53"/>
      <c r="ED682" s="53"/>
      <c r="EF682" s="38"/>
      <c r="EJ682" s="153"/>
      <c r="EK682" s="214"/>
      <c r="EL682" s="153"/>
      <c r="EM682" s="153"/>
      <c r="EO682" s="53"/>
      <c r="EP682" s="38"/>
      <c r="EQ682" s="38"/>
      <c r="ER682" s="38"/>
      <c r="ES682" s="38"/>
      <c r="EV682" s="53"/>
      <c r="EZ682" s="38"/>
      <c r="FA682" s="153"/>
      <c r="FB682" s="214"/>
      <c r="FC682" s="53"/>
      <c r="FD682" s="53"/>
      <c r="FE682" s="53"/>
      <c r="FF682" s="67"/>
      <c r="FG682" s="58"/>
      <c r="FH682" s="38"/>
      <c r="FJ682" s="53"/>
      <c r="FK682" s="53"/>
      <c r="FL682" s="53"/>
      <c r="FN682" s="67"/>
      <c r="FO682" s="38"/>
      <c r="FP682" s="43"/>
      <c r="FQ682" s="548"/>
      <c r="FR682" s="53"/>
      <c r="FS682" s="53"/>
      <c r="FT682" s="53"/>
      <c r="FU682" s="53"/>
    </row>
    <row r="683" spans="3:177">
      <c r="C683" s="497" t="s">
        <v>2257</v>
      </c>
      <c r="D683" s="1161">
        <v>42794</v>
      </c>
      <c r="E683" s="1161">
        <v>42796</v>
      </c>
      <c r="F683" s="115"/>
      <c r="P683" s="214"/>
      <c r="R683" s="205"/>
      <c r="T683" s="53"/>
      <c r="V683" s="53"/>
      <c r="BR683" s="38"/>
      <c r="BS683" s="38"/>
      <c r="BT683" s="154"/>
      <c r="BU683" s="38"/>
      <c r="BX683" s="38"/>
      <c r="BY683" s="162"/>
      <c r="BZ683" s="166"/>
      <c r="CA683" s="53"/>
      <c r="CB683" s="153"/>
      <c r="CC683" s="53"/>
      <c r="CD683" s="53"/>
      <c r="CF683" s="53"/>
      <c r="CL683" s="171"/>
      <c r="CP683" s="53"/>
      <c r="CU683" s="153"/>
      <c r="CV683" s="153"/>
      <c r="CY683" s="53"/>
      <c r="CZ683" s="53"/>
      <c r="DA683" s="392"/>
      <c r="DD683" s="171"/>
      <c r="DE683" s="53"/>
      <c r="DH683" s="53"/>
      <c r="DM683" s="153"/>
      <c r="DN683" s="153"/>
      <c r="DR683" s="53"/>
      <c r="DS683" s="679"/>
      <c r="DT683" s="679"/>
      <c r="DU683" s="548"/>
      <c r="DV683" s="679"/>
      <c r="DW683" s="53"/>
      <c r="DX683" s="53"/>
      <c r="DY683" s="38"/>
      <c r="DZ683" s="53"/>
      <c r="ED683" s="53"/>
      <c r="EF683" s="38"/>
      <c r="EJ683" s="153"/>
      <c r="EK683" s="214"/>
      <c r="EL683" s="153"/>
      <c r="EM683" s="153"/>
      <c r="EO683" s="53"/>
      <c r="EP683" s="38"/>
      <c r="EQ683" s="38"/>
      <c r="ER683" s="38"/>
      <c r="ES683" s="38"/>
      <c r="EV683" s="53"/>
      <c r="EZ683" s="38"/>
      <c r="FA683" s="153"/>
      <c r="FB683" s="214"/>
      <c r="FC683" s="53"/>
      <c r="FD683" s="53"/>
      <c r="FE683" s="53"/>
      <c r="FF683" s="67"/>
      <c r="FG683" s="58"/>
      <c r="FH683" s="38"/>
      <c r="FJ683" s="53"/>
      <c r="FK683" s="53"/>
      <c r="FL683" s="53"/>
      <c r="FN683" s="67"/>
      <c r="FO683" s="38"/>
      <c r="FP683" s="43"/>
      <c r="FQ683" s="548"/>
      <c r="FR683" s="53"/>
      <c r="FS683" s="53"/>
      <c r="FT683" s="53"/>
      <c r="FU683" s="53"/>
    </row>
    <row r="684" spans="3:177">
      <c r="C684" s="497" t="s">
        <v>2257</v>
      </c>
      <c r="D684" s="1161">
        <v>42801</v>
      </c>
      <c r="E684" s="1161">
        <v>42803</v>
      </c>
      <c r="F684" s="115"/>
      <c r="P684" s="214"/>
      <c r="R684" s="205"/>
      <c r="T684" s="53"/>
      <c r="V684" s="53"/>
      <c r="BR684" s="38"/>
      <c r="BS684" s="38"/>
      <c r="BT684" s="154"/>
      <c r="BU684" s="38"/>
      <c r="BX684" s="38"/>
      <c r="BY684" s="162"/>
      <c r="BZ684" s="166"/>
      <c r="CA684" s="53"/>
      <c r="CB684" s="153"/>
      <c r="CC684" s="53"/>
      <c r="CD684" s="53"/>
      <c r="CF684" s="53"/>
      <c r="CL684" s="171"/>
      <c r="CP684" s="53"/>
      <c r="CU684" s="153"/>
      <c r="CV684" s="153"/>
      <c r="CY684" s="53"/>
      <c r="CZ684" s="53"/>
      <c r="DA684" s="392"/>
      <c r="DD684" s="171"/>
      <c r="DE684" s="53"/>
      <c r="DH684" s="53"/>
      <c r="DM684" s="153"/>
      <c r="DN684" s="153"/>
      <c r="DR684" s="53"/>
      <c r="DS684" s="679"/>
      <c r="DT684" s="679"/>
      <c r="DU684" s="548"/>
      <c r="DV684" s="679"/>
      <c r="DW684" s="53"/>
      <c r="DX684" s="53"/>
      <c r="DY684" s="38"/>
      <c r="DZ684" s="53"/>
      <c r="ED684" s="53"/>
      <c r="EF684" s="38"/>
      <c r="EJ684" s="153"/>
      <c r="EK684" s="214"/>
      <c r="EL684" s="153"/>
      <c r="EM684" s="153"/>
      <c r="EO684" s="53"/>
      <c r="EP684" s="38"/>
      <c r="EQ684" s="38"/>
      <c r="ER684" s="38"/>
      <c r="ES684" s="38"/>
      <c r="EV684" s="53"/>
      <c r="EZ684" s="38"/>
      <c r="FA684" s="153"/>
      <c r="FB684" s="214"/>
      <c r="FC684" s="53"/>
      <c r="FD684" s="53"/>
      <c r="FE684" s="53"/>
      <c r="FF684" s="67"/>
      <c r="FG684" s="58"/>
      <c r="FH684" s="38"/>
      <c r="FJ684" s="53"/>
      <c r="FK684" s="53"/>
      <c r="FL684" s="53"/>
      <c r="FN684" s="67"/>
      <c r="FO684" s="38"/>
      <c r="FP684" s="43"/>
      <c r="FQ684" s="548"/>
      <c r="FR684" s="53"/>
      <c r="FS684" s="53"/>
      <c r="FT684" s="53"/>
      <c r="FU684" s="53"/>
    </row>
    <row r="685" spans="3:177">
      <c r="C685" s="497" t="s">
        <v>2257</v>
      </c>
      <c r="D685" s="1161">
        <v>42808</v>
      </c>
      <c r="E685" s="1161">
        <v>42810</v>
      </c>
      <c r="F685" s="115"/>
      <c r="P685" s="214"/>
      <c r="R685" s="205"/>
      <c r="T685" s="53"/>
      <c r="V685" s="53"/>
      <c r="BR685" s="38"/>
      <c r="BS685" s="38"/>
      <c r="BT685" s="154"/>
      <c r="BU685" s="38"/>
      <c r="BX685" s="38"/>
      <c r="BY685" s="162"/>
      <c r="BZ685" s="166"/>
      <c r="CA685" s="53"/>
      <c r="CB685" s="153"/>
      <c r="CC685" s="53"/>
      <c r="CD685" s="53"/>
      <c r="CF685" s="53"/>
      <c r="CL685" s="171"/>
      <c r="CP685" s="53"/>
      <c r="CU685" s="153"/>
      <c r="CV685" s="153"/>
      <c r="CY685" s="53"/>
      <c r="CZ685" s="53"/>
      <c r="DA685" s="392"/>
      <c r="DD685" s="171"/>
      <c r="DE685" s="53"/>
      <c r="DH685" s="53"/>
      <c r="DM685" s="153"/>
      <c r="DN685" s="153"/>
      <c r="DR685" s="53"/>
      <c r="DS685" s="679"/>
      <c r="DT685" s="679"/>
      <c r="DU685" s="548"/>
      <c r="DV685" s="679"/>
      <c r="DW685" s="53"/>
      <c r="DX685" s="53"/>
      <c r="DY685" s="38"/>
      <c r="DZ685" s="53"/>
      <c r="ED685" s="53"/>
      <c r="EF685" s="38"/>
      <c r="EJ685" s="153"/>
      <c r="EK685" s="214"/>
      <c r="EL685" s="153"/>
      <c r="EM685" s="153"/>
      <c r="EO685" s="53"/>
      <c r="EP685" s="38"/>
      <c r="EQ685" s="38"/>
      <c r="ER685" s="38"/>
      <c r="ES685" s="38"/>
      <c r="EV685" s="53"/>
      <c r="EZ685" s="38"/>
      <c r="FA685" s="153"/>
      <c r="FB685" s="214"/>
      <c r="FC685" s="53"/>
      <c r="FD685" s="53"/>
      <c r="FE685" s="53"/>
      <c r="FF685" s="67"/>
      <c r="FG685" s="58"/>
      <c r="FH685" s="38"/>
      <c r="FJ685" s="53"/>
      <c r="FK685" s="53"/>
      <c r="FL685" s="53"/>
      <c r="FN685" s="67"/>
      <c r="FO685" s="38"/>
      <c r="FP685" s="43"/>
      <c r="FQ685" s="548"/>
      <c r="FR685" s="53"/>
      <c r="FS685" s="53"/>
      <c r="FT685" s="53"/>
      <c r="FU685" s="53"/>
    </row>
    <row r="686" spans="3:177">
      <c r="C686" s="497" t="s">
        <v>2258</v>
      </c>
      <c r="D686" s="1161">
        <v>42758</v>
      </c>
      <c r="E686" s="1161">
        <v>42761</v>
      </c>
      <c r="F686" s="115"/>
      <c r="P686" s="214"/>
      <c r="R686" s="205"/>
      <c r="T686" s="53"/>
      <c r="V686" s="53"/>
      <c r="BR686" s="38"/>
      <c r="BS686" s="38"/>
      <c r="BT686" s="154"/>
      <c r="BU686" s="38"/>
      <c r="BX686" s="38"/>
      <c r="BY686" s="162"/>
      <c r="BZ686" s="166"/>
      <c r="CA686" s="53"/>
      <c r="CB686" s="153"/>
      <c r="CC686" s="53"/>
      <c r="CD686" s="53"/>
      <c r="CF686" s="53"/>
      <c r="CL686" s="171"/>
      <c r="CP686" s="53"/>
      <c r="CU686" s="153"/>
      <c r="CV686" s="153"/>
      <c r="CY686" s="53"/>
      <c r="CZ686" s="53"/>
      <c r="DA686" s="392"/>
      <c r="DD686" s="171"/>
      <c r="DE686" s="53"/>
      <c r="DH686" s="53"/>
      <c r="DM686" s="153"/>
      <c r="DN686" s="153"/>
      <c r="DR686" s="53"/>
      <c r="DS686" s="679"/>
      <c r="DT686" s="679"/>
      <c r="DU686" s="548"/>
      <c r="DV686" s="679"/>
      <c r="DW686" s="53"/>
      <c r="DX686" s="53"/>
      <c r="DY686" s="38"/>
      <c r="DZ686" s="53"/>
      <c r="ED686" s="53"/>
      <c r="EF686" s="38"/>
      <c r="EJ686" s="153"/>
      <c r="EK686" s="214"/>
      <c r="EL686" s="153"/>
      <c r="EM686" s="153"/>
      <c r="EO686" s="53"/>
      <c r="EP686" s="38"/>
      <c r="EQ686" s="38"/>
      <c r="ER686" s="38"/>
      <c r="ES686" s="38"/>
      <c r="EV686" s="53"/>
      <c r="EZ686" s="38"/>
      <c r="FA686" s="153"/>
      <c r="FB686" s="214"/>
      <c r="FC686" s="53"/>
      <c r="FD686" s="53"/>
      <c r="FE686" s="53"/>
      <c r="FF686" s="67"/>
      <c r="FG686" s="58"/>
      <c r="FH686" s="38"/>
      <c r="FJ686" s="53"/>
      <c r="FK686" s="53"/>
      <c r="FL686" s="53"/>
      <c r="FN686" s="67"/>
      <c r="FO686" s="38"/>
      <c r="FP686" s="43"/>
      <c r="FQ686" s="548"/>
      <c r="FR686" s="53"/>
      <c r="FS686" s="53"/>
      <c r="FT686" s="53"/>
      <c r="FU686" s="53"/>
    </row>
    <row r="687" spans="3:177">
      <c r="C687" s="497" t="s">
        <v>2258</v>
      </c>
      <c r="D687" s="1161">
        <v>42765</v>
      </c>
      <c r="E687" s="1161">
        <v>42768</v>
      </c>
      <c r="F687" s="115"/>
      <c r="P687" s="214"/>
      <c r="R687" s="205"/>
      <c r="T687" s="53"/>
      <c r="V687" s="53"/>
      <c r="BR687" s="38"/>
      <c r="BS687" s="38"/>
      <c r="BT687" s="154"/>
      <c r="BU687" s="38"/>
      <c r="BX687" s="38"/>
      <c r="BY687" s="162"/>
      <c r="BZ687" s="166"/>
      <c r="CA687" s="53"/>
      <c r="CB687" s="153"/>
      <c r="CC687" s="53"/>
      <c r="CD687" s="53"/>
      <c r="CF687" s="53"/>
      <c r="CL687" s="171"/>
      <c r="CP687" s="53"/>
      <c r="CU687" s="153"/>
      <c r="CV687" s="153"/>
      <c r="CY687" s="53"/>
      <c r="CZ687" s="53"/>
      <c r="DA687" s="392"/>
      <c r="DD687" s="171"/>
      <c r="DE687" s="53"/>
      <c r="DH687" s="53"/>
      <c r="DM687" s="153"/>
      <c r="DN687" s="153"/>
      <c r="DR687" s="53"/>
      <c r="DS687" s="679"/>
      <c r="DT687" s="679"/>
      <c r="DU687" s="548"/>
      <c r="DV687" s="679"/>
      <c r="DW687" s="53"/>
      <c r="DX687" s="53"/>
      <c r="DY687" s="38"/>
      <c r="DZ687" s="53"/>
      <c r="ED687" s="53"/>
      <c r="EF687" s="38"/>
      <c r="EJ687" s="153"/>
      <c r="EK687" s="214"/>
      <c r="EL687" s="153"/>
      <c r="EM687" s="153"/>
      <c r="EO687" s="53"/>
      <c r="EP687" s="38"/>
      <c r="EQ687" s="38"/>
      <c r="ER687" s="38"/>
      <c r="ES687" s="38"/>
      <c r="EV687" s="53"/>
      <c r="EZ687" s="38"/>
      <c r="FA687" s="153"/>
      <c r="FB687" s="214"/>
      <c r="FC687" s="53"/>
      <c r="FD687" s="53"/>
      <c r="FE687" s="53"/>
      <c r="FF687" s="67"/>
      <c r="FG687" s="58"/>
      <c r="FH687" s="38"/>
      <c r="FJ687" s="53"/>
      <c r="FK687" s="53"/>
      <c r="FL687" s="53"/>
      <c r="FN687" s="67"/>
      <c r="FO687" s="38"/>
      <c r="FP687" s="43"/>
      <c r="FQ687" s="548"/>
      <c r="FR687" s="53"/>
      <c r="FS687" s="53"/>
      <c r="FT687" s="53"/>
      <c r="FU687" s="53"/>
    </row>
    <row r="688" spans="3:177">
      <c r="C688" s="497" t="s">
        <v>2258</v>
      </c>
      <c r="D688" s="1161">
        <v>42772</v>
      </c>
      <c r="E688" s="1161">
        <v>42775</v>
      </c>
      <c r="F688" s="115"/>
      <c r="P688" s="214"/>
      <c r="R688" s="205"/>
      <c r="T688" s="53"/>
      <c r="V688" s="53"/>
      <c r="BR688" s="38"/>
      <c r="BS688" s="38"/>
      <c r="BT688" s="154"/>
      <c r="BU688" s="38"/>
      <c r="BX688" s="38"/>
      <c r="BY688" s="162"/>
      <c r="BZ688" s="166"/>
      <c r="CA688" s="53"/>
      <c r="CB688" s="153"/>
      <c r="CC688" s="53"/>
      <c r="CD688" s="53"/>
      <c r="CF688" s="53"/>
      <c r="CL688" s="171"/>
      <c r="CP688" s="53"/>
      <c r="CU688" s="153"/>
      <c r="CV688" s="153"/>
      <c r="CY688" s="53"/>
      <c r="CZ688" s="53"/>
      <c r="DA688" s="392"/>
      <c r="DD688" s="171"/>
      <c r="DE688" s="53"/>
      <c r="DH688" s="53"/>
      <c r="DM688" s="153"/>
      <c r="DN688" s="153"/>
      <c r="DR688" s="53"/>
      <c r="DS688" s="679"/>
      <c r="DT688" s="679"/>
      <c r="DU688" s="548"/>
      <c r="DV688" s="679"/>
      <c r="DW688" s="53"/>
      <c r="DX688" s="53"/>
      <c r="DY688" s="38"/>
      <c r="DZ688" s="53"/>
      <c r="ED688" s="53"/>
      <c r="EF688" s="38"/>
      <c r="EJ688" s="153"/>
      <c r="EK688" s="214"/>
      <c r="EL688" s="153"/>
      <c r="EM688" s="153"/>
      <c r="EO688" s="53"/>
      <c r="EP688" s="38"/>
      <c r="EQ688" s="38"/>
      <c r="ER688" s="38"/>
      <c r="ES688" s="38"/>
      <c r="EV688" s="53"/>
      <c r="EZ688" s="38"/>
      <c r="FA688" s="153"/>
      <c r="FB688" s="214"/>
      <c r="FC688" s="53"/>
      <c r="FD688" s="53"/>
      <c r="FE688" s="53"/>
      <c r="FF688" s="67"/>
      <c r="FG688" s="58"/>
      <c r="FH688" s="38"/>
      <c r="FJ688" s="53"/>
      <c r="FK688" s="53"/>
      <c r="FL688" s="53"/>
      <c r="FN688" s="67"/>
      <c r="FO688" s="38"/>
      <c r="FP688" s="43"/>
      <c r="FQ688" s="548"/>
      <c r="FR688" s="53"/>
      <c r="FS688" s="53"/>
      <c r="FT688" s="53"/>
      <c r="FU688" s="53"/>
    </row>
    <row r="689" spans="3:177">
      <c r="C689" s="497" t="s">
        <v>2258</v>
      </c>
      <c r="D689" s="1161">
        <v>42779</v>
      </c>
      <c r="E689" s="1161">
        <v>42782</v>
      </c>
      <c r="F689" s="115"/>
      <c r="P689" s="214"/>
      <c r="R689" s="205"/>
      <c r="T689" s="53"/>
      <c r="V689" s="53"/>
      <c r="BR689" s="38"/>
      <c r="BS689" s="38"/>
      <c r="BT689" s="154"/>
      <c r="BU689" s="38"/>
      <c r="BX689" s="38"/>
      <c r="BY689" s="162"/>
      <c r="BZ689" s="166"/>
      <c r="CA689" s="53"/>
      <c r="CB689" s="153"/>
      <c r="CC689" s="53"/>
      <c r="CD689" s="53"/>
      <c r="CF689" s="53"/>
      <c r="CL689" s="171"/>
      <c r="CP689" s="53"/>
      <c r="CU689" s="153"/>
      <c r="CV689" s="153"/>
      <c r="CY689" s="53"/>
      <c r="CZ689" s="53"/>
      <c r="DA689" s="392"/>
      <c r="DD689" s="171"/>
      <c r="DE689" s="53"/>
      <c r="DH689" s="53"/>
      <c r="DM689" s="153"/>
      <c r="DN689" s="153"/>
      <c r="DR689" s="53"/>
      <c r="DS689" s="679"/>
      <c r="DT689" s="679"/>
      <c r="DU689" s="548"/>
      <c r="DV689" s="679"/>
      <c r="DW689" s="53"/>
      <c r="DX689" s="53"/>
      <c r="DY689" s="38"/>
      <c r="DZ689" s="53"/>
      <c r="ED689" s="53"/>
      <c r="EF689" s="38"/>
      <c r="EJ689" s="153"/>
      <c r="EK689" s="214"/>
      <c r="EL689" s="153"/>
      <c r="EM689" s="153"/>
      <c r="EO689" s="53"/>
      <c r="EP689" s="38"/>
      <c r="EQ689" s="38"/>
      <c r="ER689" s="38"/>
      <c r="ES689" s="38"/>
      <c r="EV689" s="53"/>
      <c r="EZ689" s="38"/>
      <c r="FA689" s="153"/>
      <c r="FB689" s="214"/>
      <c r="FC689" s="53"/>
      <c r="FD689" s="53"/>
      <c r="FE689" s="53"/>
      <c r="FF689" s="67"/>
      <c r="FG689" s="58"/>
      <c r="FH689" s="38"/>
      <c r="FJ689" s="53"/>
      <c r="FK689" s="53"/>
      <c r="FL689" s="53"/>
      <c r="FN689" s="67"/>
      <c r="FO689" s="38"/>
      <c r="FP689" s="43"/>
      <c r="FQ689" s="548"/>
      <c r="FR689" s="53"/>
      <c r="FS689" s="53"/>
      <c r="FT689" s="53"/>
      <c r="FU689" s="53"/>
    </row>
    <row r="690" spans="3:177">
      <c r="C690" s="497" t="s">
        <v>2258</v>
      </c>
      <c r="D690" s="1161">
        <v>42787</v>
      </c>
      <c r="E690" s="1161">
        <v>42789</v>
      </c>
      <c r="F690" s="115"/>
      <c r="P690" s="214"/>
      <c r="R690" s="205"/>
      <c r="T690" s="53"/>
      <c r="V690" s="53"/>
      <c r="BR690" s="38"/>
      <c r="BS690" s="38"/>
      <c r="BT690" s="154"/>
      <c r="BU690" s="38"/>
      <c r="BX690" s="38"/>
      <c r="BY690" s="162"/>
      <c r="BZ690" s="166"/>
      <c r="CA690" s="53"/>
      <c r="CB690" s="153"/>
      <c r="CC690" s="53"/>
      <c r="CD690" s="53"/>
      <c r="CF690" s="53"/>
      <c r="CL690" s="171"/>
      <c r="CP690" s="53"/>
      <c r="CU690" s="153"/>
      <c r="CV690" s="153"/>
      <c r="CY690" s="53"/>
      <c r="CZ690" s="53"/>
      <c r="DA690" s="392"/>
      <c r="DD690" s="171"/>
      <c r="DE690" s="53"/>
      <c r="DH690" s="53"/>
      <c r="DM690" s="153"/>
      <c r="DN690" s="153"/>
      <c r="DR690" s="53"/>
      <c r="DS690" s="679"/>
      <c r="DT690" s="679"/>
      <c r="DU690" s="548"/>
      <c r="DV690" s="679"/>
      <c r="DW690" s="53"/>
      <c r="DX690" s="53"/>
      <c r="DY690" s="38"/>
      <c r="DZ690" s="53"/>
      <c r="ED690" s="53"/>
      <c r="EF690" s="38"/>
      <c r="EJ690" s="153"/>
      <c r="EK690" s="214"/>
      <c r="EL690" s="153"/>
      <c r="EM690" s="153"/>
      <c r="EO690" s="53"/>
      <c r="EP690" s="38"/>
      <c r="EQ690" s="38"/>
      <c r="ER690" s="38"/>
      <c r="ES690" s="38"/>
      <c r="EV690" s="53"/>
      <c r="EZ690" s="38"/>
      <c r="FA690" s="153"/>
      <c r="FB690" s="214"/>
      <c r="FC690" s="53"/>
      <c r="FD690" s="53"/>
      <c r="FE690" s="53"/>
      <c r="FF690" s="67"/>
      <c r="FG690" s="58"/>
      <c r="FH690" s="38"/>
      <c r="FJ690" s="53"/>
      <c r="FK690" s="53"/>
      <c r="FL690" s="53"/>
      <c r="FN690" s="67"/>
      <c r="FO690" s="38"/>
      <c r="FP690" s="43"/>
      <c r="FQ690" s="548"/>
      <c r="FR690" s="53"/>
      <c r="FS690" s="53"/>
      <c r="FT690" s="53"/>
      <c r="FU690" s="53"/>
    </row>
    <row r="691" spans="3:177">
      <c r="C691" s="497" t="s">
        <v>2258</v>
      </c>
      <c r="D691" s="1161">
        <v>42793</v>
      </c>
      <c r="E691" s="1161">
        <v>42796</v>
      </c>
      <c r="F691" s="115"/>
      <c r="P691" s="214"/>
      <c r="R691" s="205"/>
      <c r="T691" s="53"/>
      <c r="V691" s="53"/>
      <c r="BR691" s="38"/>
      <c r="BS691" s="38"/>
      <c r="BT691" s="154"/>
      <c r="BU691" s="38"/>
      <c r="BX691" s="38"/>
      <c r="BY691" s="162"/>
      <c r="BZ691" s="166"/>
      <c r="CA691" s="53"/>
      <c r="CB691" s="153"/>
      <c r="CC691" s="53"/>
      <c r="CD691" s="53"/>
      <c r="CF691" s="53"/>
      <c r="CL691" s="171"/>
      <c r="CP691" s="53"/>
      <c r="CU691" s="153"/>
      <c r="CV691" s="153"/>
      <c r="CY691" s="53"/>
      <c r="CZ691" s="53"/>
      <c r="DA691" s="392"/>
      <c r="DD691" s="171"/>
      <c r="DE691" s="53"/>
      <c r="DH691" s="53"/>
      <c r="DM691" s="153"/>
      <c r="DN691" s="153"/>
      <c r="DR691" s="53"/>
      <c r="DS691" s="679"/>
      <c r="DT691" s="679"/>
      <c r="DU691" s="548"/>
      <c r="DV691" s="679"/>
      <c r="DW691" s="53"/>
      <c r="DX691" s="53"/>
      <c r="DY691" s="38"/>
      <c r="DZ691" s="53"/>
      <c r="ED691" s="53"/>
      <c r="EF691" s="38"/>
      <c r="EJ691" s="153"/>
      <c r="EK691" s="214"/>
      <c r="EL691" s="153"/>
      <c r="EM691" s="153"/>
      <c r="EO691" s="53"/>
      <c r="EP691" s="38"/>
      <c r="EQ691" s="38"/>
      <c r="ER691" s="38"/>
      <c r="ES691" s="38"/>
      <c r="EV691" s="53"/>
      <c r="EZ691" s="38"/>
      <c r="FA691" s="153"/>
      <c r="FB691" s="214"/>
      <c r="FC691" s="53"/>
      <c r="FD691" s="53"/>
      <c r="FE691" s="53"/>
      <c r="FF691" s="67"/>
      <c r="FG691" s="58"/>
      <c r="FH691" s="38"/>
      <c r="FJ691" s="53"/>
      <c r="FK691" s="53"/>
      <c r="FL691" s="53"/>
      <c r="FN691" s="67"/>
      <c r="FO691" s="38"/>
      <c r="FP691" s="43"/>
      <c r="FQ691" s="548"/>
      <c r="FR691" s="53"/>
      <c r="FS691" s="53"/>
      <c r="FT691" s="53"/>
      <c r="FU691" s="53"/>
    </row>
    <row r="692" spans="3:177">
      <c r="C692" s="497" t="s">
        <v>2258</v>
      </c>
      <c r="D692" s="1161">
        <v>42800</v>
      </c>
      <c r="E692" s="1161">
        <v>42803</v>
      </c>
      <c r="F692" s="115"/>
      <c r="P692" s="214"/>
      <c r="R692" s="205"/>
      <c r="T692" s="53"/>
      <c r="V692" s="53"/>
      <c r="BR692" s="38"/>
      <c r="BS692" s="38"/>
      <c r="BT692" s="154"/>
      <c r="BU692" s="38"/>
      <c r="BX692" s="38"/>
      <c r="BY692" s="162"/>
      <c r="BZ692" s="166"/>
      <c r="CA692" s="53"/>
      <c r="CB692" s="153"/>
      <c r="CC692" s="53"/>
      <c r="CD692" s="53"/>
      <c r="CF692" s="53"/>
      <c r="CL692" s="171"/>
      <c r="CP692" s="53"/>
      <c r="CU692" s="153"/>
      <c r="CV692" s="153"/>
      <c r="CY692" s="53"/>
      <c r="CZ692" s="53"/>
      <c r="DA692" s="392"/>
      <c r="DD692" s="171"/>
      <c r="DE692" s="53"/>
      <c r="DH692" s="53"/>
      <c r="DM692" s="153"/>
      <c r="DN692" s="153"/>
      <c r="DR692" s="53"/>
      <c r="DS692" s="679"/>
      <c r="DT692" s="679"/>
      <c r="DU692" s="548"/>
      <c r="DV692" s="679"/>
      <c r="DW692" s="53"/>
      <c r="DX692" s="53"/>
      <c r="DY692" s="38"/>
      <c r="DZ692" s="53"/>
      <c r="ED692" s="53"/>
      <c r="EF692" s="38"/>
      <c r="EJ692" s="153"/>
      <c r="EK692" s="214"/>
      <c r="EL692" s="153"/>
      <c r="EM692" s="153"/>
      <c r="EO692" s="53"/>
      <c r="EP692" s="38"/>
      <c r="EQ692" s="38"/>
      <c r="ER692" s="38"/>
      <c r="ES692" s="38"/>
      <c r="EV692" s="53"/>
      <c r="EZ692" s="38"/>
      <c r="FA692" s="153"/>
      <c r="FB692" s="214"/>
      <c r="FC692" s="53"/>
      <c r="FD692" s="53"/>
      <c r="FE692" s="53"/>
      <c r="FF692" s="67"/>
      <c r="FG692" s="58"/>
      <c r="FH692" s="38"/>
      <c r="FJ692" s="53"/>
      <c r="FK692" s="53"/>
      <c r="FL692" s="53"/>
      <c r="FN692" s="67"/>
      <c r="FO692" s="38"/>
      <c r="FP692" s="43"/>
      <c r="FQ692" s="548"/>
      <c r="FR692" s="53"/>
      <c r="FS692" s="53"/>
      <c r="FT692" s="53"/>
      <c r="FU692" s="53"/>
    </row>
    <row r="693" spans="3:177">
      <c r="C693" s="497" t="s">
        <v>2258</v>
      </c>
      <c r="D693" s="1161">
        <v>42807</v>
      </c>
      <c r="E693" s="1161">
        <v>42810</v>
      </c>
      <c r="F693" s="115"/>
      <c r="P693" s="214"/>
      <c r="R693" s="205"/>
      <c r="T693" s="53"/>
      <c r="V693" s="53"/>
      <c r="BR693" s="38"/>
      <c r="BS693" s="38"/>
      <c r="BT693" s="154"/>
      <c r="BU693" s="38"/>
      <c r="BX693" s="38"/>
      <c r="BY693" s="162"/>
      <c r="BZ693" s="166"/>
      <c r="CA693" s="53"/>
      <c r="CB693" s="153"/>
      <c r="CC693" s="53"/>
      <c r="CD693" s="53"/>
      <c r="CF693" s="53"/>
      <c r="CL693" s="171"/>
      <c r="CP693" s="53"/>
      <c r="CU693" s="153"/>
      <c r="CV693" s="153"/>
      <c r="CY693" s="53"/>
      <c r="CZ693" s="53"/>
      <c r="DA693" s="392"/>
      <c r="DD693" s="171"/>
      <c r="DE693" s="53"/>
      <c r="DH693" s="53"/>
      <c r="DM693" s="153"/>
      <c r="DN693" s="153"/>
      <c r="DR693" s="53"/>
      <c r="DS693" s="679"/>
      <c r="DT693" s="679"/>
      <c r="DU693" s="548"/>
      <c r="DV693" s="679"/>
      <c r="DW693" s="53"/>
      <c r="DX693" s="53"/>
      <c r="DY693" s="38"/>
      <c r="DZ693" s="53"/>
      <c r="ED693" s="53"/>
      <c r="EF693" s="38"/>
      <c r="EJ693" s="153"/>
      <c r="EK693" s="214"/>
      <c r="EL693" s="153"/>
      <c r="EM693" s="153"/>
      <c r="EO693" s="53"/>
      <c r="EP693" s="38"/>
      <c r="EQ693" s="38"/>
      <c r="ER693" s="38"/>
      <c r="ES693" s="38"/>
      <c r="EV693" s="53"/>
      <c r="EZ693" s="38"/>
      <c r="FA693" s="153"/>
      <c r="FB693" s="214"/>
      <c r="FC693" s="53"/>
      <c r="FD693" s="53"/>
      <c r="FE693" s="53"/>
      <c r="FF693" s="67"/>
      <c r="FG693" s="58"/>
      <c r="FH693" s="38"/>
      <c r="FJ693" s="53"/>
      <c r="FK693" s="53"/>
      <c r="FL693" s="53"/>
      <c r="FN693" s="67"/>
      <c r="FO693" s="38"/>
      <c r="FP693" s="43"/>
      <c r="FQ693" s="548"/>
      <c r="FR693" s="53"/>
      <c r="FS693" s="53"/>
      <c r="FT693" s="53"/>
      <c r="FU693" s="53"/>
    </row>
    <row r="694" spans="3:177">
      <c r="C694" s="497" t="s">
        <v>2258</v>
      </c>
      <c r="D694" s="1161">
        <v>42814</v>
      </c>
      <c r="E694" s="1161">
        <v>42817</v>
      </c>
      <c r="F694" s="115"/>
      <c r="P694" s="214"/>
      <c r="R694" s="205"/>
      <c r="T694" s="53"/>
      <c r="V694" s="53"/>
      <c r="BR694" s="38"/>
      <c r="BS694" s="38"/>
      <c r="BT694" s="154"/>
      <c r="BU694" s="38"/>
      <c r="BX694" s="38"/>
      <c r="BY694" s="162"/>
      <c r="BZ694" s="166"/>
      <c r="CA694" s="53"/>
      <c r="CB694" s="153"/>
      <c r="CC694" s="53"/>
      <c r="CD694" s="53"/>
      <c r="CF694" s="53"/>
      <c r="CL694" s="171"/>
      <c r="CP694" s="53"/>
      <c r="CU694" s="153"/>
      <c r="CV694" s="153"/>
      <c r="CY694" s="53"/>
      <c r="CZ694" s="53"/>
      <c r="DA694" s="392"/>
      <c r="DD694" s="171"/>
      <c r="DE694" s="53"/>
      <c r="DH694" s="53"/>
      <c r="DM694" s="153"/>
      <c r="DN694" s="153"/>
      <c r="DR694" s="53"/>
      <c r="DS694" s="679"/>
      <c r="DT694" s="679"/>
      <c r="DU694" s="548"/>
      <c r="DV694" s="679"/>
      <c r="DW694" s="53"/>
      <c r="DX694" s="53"/>
      <c r="DY694" s="38"/>
      <c r="DZ694" s="53"/>
      <c r="ED694" s="53"/>
      <c r="EF694" s="38"/>
      <c r="EJ694" s="153"/>
      <c r="EK694" s="214"/>
      <c r="EL694" s="153"/>
      <c r="EM694" s="153"/>
      <c r="EO694" s="53"/>
      <c r="EP694" s="38"/>
      <c r="EQ694" s="38"/>
      <c r="ER694" s="38"/>
      <c r="ES694" s="38"/>
      <c r="EV694" s="53"/>
      <c r="EZ694" s="38"/>
      <c r="FA694" s="153"/>
      <c r="FB694" s="214"/>
      <c r="FC694" s="53"/>
      <c r="FD694" s="53"/>
      <c r="FE694" s="53"/>
      <c r="FF694" s="67"/>
      <c r="FG694" s="58"/>
      <c r="FH694" s="38"/>
      <c r="FJ694" s="53"/>
      <c r="FK694" s="53"/>
      <c r="FL694" s="53"/>
      <c r="FN694" s="67"/>
      <c r="FO694" s="38"/>
      <c r="FP694" s="43"/>
      <c r="FQ694" s="548"/>
      <c r="FR694" s="53"/>
      <c r="FS694" s="53"/>
      <c r="FT694" s="53"/>
      <c r="FU694" s="53"/>
    </row>
    <row r="695" spans="3:177">
      <c r="C695" s="497" t="s">
        <v>2259</v>
      </c>
      <c r="D695" s="1161">
        <v>42758</v>
      </c>
      <c r="E695" s="1161">
        <v>42761</v>
      </c>
      <c r="F695" s="115"/>
      <c r="P695" s="214"/>
      <c r="R695" s="205"/>
      <c r="T695" s="53"/>
      <c r="V695" s="53"/>
      <c r="BR695" s="38"/>
      <c r="BS695" s="38"/>
      <c r="BT695" s="154"/>
      <c r="BU695" s="38"/>
      <c r="BX695" s="38"/>
      <c r="BY695" s="162"/>
      <c r="BZ695" s="166"/>
      <c r="CA695" s="53"/>
      <c r="CB695" s="153"/>
      <c r="CC695" s="53"/>
      <c r="CD695" s="53"/>
      <c r="CF695" s="53"/>
      <c r="CL695" s="171"/>
      <c r="CP695" s="53"/>
      <c r="CU695" s="153"/>
      <c r="CV695" s="153"/>
      <c r="CY695" s="53"/>
      <c r="CZ695" s="53"/>
      <c r="DA695" s="392"/>
      <c r="DD695" s="171"/>
      <c r="DE695" s="53"/>
      <c r="DH695" s="53"/>
      <c r="DM695" s="153"/>
      <c r="DN695" s="153"/>
      <c r="DR695" s="53"/>
      <c r="DS695" s="679"/>
      <c r="DT695" s="679"/>
      <c r="DU695" s="548"/>
      <c r="DV695" s="679"/>
      <c r="DW695" s="53"/>
      <c r="DX695" s="53"/>
      <c r="DY695" s="38"/>
      <c r="DZ695" s="53"/>
      <c r="ED695" s="53"/>
      <c r="EF695" s="38"/>
      <c r="EJ695" s="153"/>
      <c r="EK695" s="214"/>
      <c r="EL695" s="153"/>
      <c r="EM695" s="153"/>
      <c r="EO695" s="53"/>
      <c r="EP695" s="38"/>
      <c r="EQ695" s="38"/>
      <c r="ER695" s="38"/>
      <c r="ES695" s="38"/>
      <c r="EV695" s="53"/>
      <c r="EZ695" s="38"/>
      <c r="FA695" s="153"/>
      <c r="FB695" s="214"/>
      <c r="FC695" s="53"/>
      <c r="FD695" s="53"/>
      <c r="FE695" s="53"/>
      <c r="FF695" s="67"/>
      <c r="FG695" s="58"/>
      <c r="FH695" s="38"/>
      <c r="FJ695" s="53"/>
      <c r="FK695" s="53"/>
      <c r="FL695" s="53"/>
      <c r="FN695" s="67"/>
      <c r="FO695" s="38"/>
      <c r="FP695" s="43"/>
      <c r="FQ695" s="548"/>
      <c r="FR695" s="53"/>
      <c r="FS695" s="53"/>
      <c r="FT695" s="53"/>
      <c r="FU695" s="53"/>
    </row>
    <row r="696" spans="3:177">
      <c r="C696" s="497" t="s">
        <v>2259</v>
      </c>
      <c r="D696" s="1161">
        <v>42765</v>
      </c>
      <c r="E696" s="1161">
        <v>42768</v>
      </c>
      <c r="F696" s="115"/>
      <c r="P696" s="214"/>
      <c r="R696" s="205"/>
      <c r="T696" s="53"/>
      <c r="V696" s="53"/>
      <c r="BR696" s="38"/>
      <c r="BS696" s="38"/>
      <c r="BT696" s="154"/>
      <c r="BU696" s="38"/>
      <c r="BX696" s="38"/>
      <c r="BY696" s="162"/>
      <c r="BZ696" s="166"/>
      <c r="CA696" s="53"/>
      <c r="CB696" s="153"/>
      <c r="CC696" s="53"/>
      <c r="CD696" s="53"/>
      <c r="CF696" s="53"/>
      <c r="CL696" s="171"/>
      <c r="CP696" s="53"/>
      <c r="CU696" s="153"/>
      <c r="CV696" s="153"/>
      <c r="CY696" s="53"/>
      <c r="CZ696" s="53"/>
      <c r="DA696" s="392"/>
      <c r="DD696" s="171"/>
      <c r="DE696" s="53"/>
      <c r="DH696" s="53"/>
      <c r="DM696" s="153"/>
      <c r="DN696" s="153"/>
      <c r="DR696" s="53"/>
      <c r="DS696" s="679"/>
      <c r="DT696" s="679"/>
      <c r="DU696" s="548"/>
      <c r="DV696" s="679"/>
      <c r="DW696" s="53"/>
      <c r="DX696" s="53"/>
      <c r="DY696" s="38"/>
      <c r="DZ696" s="53"/>
      <c r="ED696" s="53"/>
      <c r="EF696" s="38"/>
      <c r="EJ696" s="153"/>
      <c r="EK696" s="214"/>
      <c r="EL696" s="153"/>
      <c r="EM696" s="153"/>
      <c r="EO696" s="53"/>
      <c r="EP696" s="38"/>
      <c r="EQ696" s="38"/>
      <c r="ER696" s="38"/>
      <c r="ES696" s="38"/>
      <c r="EV696" s="53"/>
      <c r="EZ696" s="38"/>
      <c r="FA696" s="153"/>
      <c r="FB696" s="214"/>
      <c r="FC696" s="53"/>
      <c r="FD696" s="53"/>
      <c r="FE696" s="53"/>
      <c r="FF696" s="67"/>
      <c r="FG696" s="58"/>
      <c r="FH696" s="38"/>
      <c r="FJ696" s="53"/>
      <c r="FK696" s="53"/>
      <c r="FL696" s="53"/>
      <c r="FN696" s="67"/>
      <c r="FO696" s="38"/>
      <c r="FP696" s="43"/>
      <c r="FQ696" s="548"/>
      <c r="FR696" s="53"/>
      <c r="FS696" s="53"/>
      <c r="FT696" s="53"/>
      <c r="FU696" s="53"/>
    </row>
    <row r="697" spans="3:177">
      <c r="C697" s="497" t="s">
        <v>2259</v>
      </c>
      <c r="D697" s="1161">
        <v>42772</v>
      </c>
      <c r="E697" s="1161">
        <v>42775</v>
      </c>
      <c r="F697" s="115"/>
      <c r="P697" s="214"/>
      <c r="R697" s="205"/>
      <c r="T697" s="53"/>
      <c r="V697" s="53"/>
      <c r="BR697" s="38"/>
      <c r="BS697" s="38"/>
      <c r="BT697" s="154"/>
      <c r="BU697" s="38"/>
      <c r="BX697" s="38"/>
      <c r="BY697" s="162"/>
      <c r="BZ697" s="166"/>
      <c r="CA697" s="53"/>
      <c r="CB697" s="153"/>
      <c r="CC697" s="53"/>
      <c r="CD697" s="53"/>
      <c r="CF697" s="53"/>
      <c r="CL697" s="171"/>
      <c r="CP697" s="53"/>
      <c r="CU697" s="153"/>
      <c r="CV697" s="153"/>
      <c r="CY697" s="53"/>
      <c r="CZ697" s="53"/>
      <c r="DA697" s="392"/>
      <c r="DD697" s="171"/>
      <c r="DE697" s="53"/>
      <c r="DH697" s="53"/>
      <c r="DM697" s="153"/>
      <c r="DN697" s="153"/>
      <c r="DR697" s="53"/>
      <c r="DS697" s="679"/>
      <c r="DT697" s="679"/>
      <c r="DU697" s="548"/>
      <c r="DV697" s="679"/>
      <c r="DW697" s="53"/>
      <c r="DX697" s="53"/>
      <c r="DY697" s="38"/>
      <c r="DZ697" s="53"/>
      <c r="ED697" s="53"/>
      <c r="EF697" s="38"/>
      <c r="EJ697" s="153"/>
      <c r="EK697" s="214"/>
      <c r="EL697" s="153"/>
      <c r="EM697" s="153"/>
      <c r="EO697" s="53"/>
      <c r="EP697" s="38"/>
      <c r="EQ697" s="38"/>
      <c r="ER697" s="38"/>
      <c r="ES697" s="38"/>
      <c r="EV697" s="53"/>
      <c r="EZ697" s="38"/>
      <c r="FA697" s="153"/>
      <c r="FB697" s="214"/>
      <c r="FC697" s="53"/>
      <c r="FD697" s="53"/>
      <c r="FE697" s="53"/>
      <c r="FF697" s="67"/>
      <c r="FG697" s="58"/>
      <c r="FH697" s="38"/>
      <c r="FJ697" s="53"/>
      <c r="FK697" s="53"/>
      <c r="FL697" s="53"/>
      <c r="FN697" s="67"/>
      <c r="FO697" s="38"/>
      <c r="FP697" s="43"/>
      <c r="FQ697" s="548"/>
      <c r="FR697" s="53"/>
      <c r="FS697" s="53"/>
      <c r="FT697" s="53"/>
      <c r="FU697" s="53"/>
    </row>
    <row r="698" spans="3:177">
      <c r="C698" s="497" t="s">
        <v>2259</v>
      </c>
      <c r="D698" s="1161">
        <v>42779</v>
      </c>
      <c r="E698" s="1161">
        <v>42782</v>
      </c>
      <c r="F698" s="115"/>
      <c r="P698" s="214"/>
      <c r="R698" s="205"/>
      <c r="T698" s="53"/>
      <c r="V698" s="53"/>
      <c r="BR698" s="38"/>
      <c r="BS698" s="38"/>
      <c r="BT698" s="154"/>
      <c r="BU698" s="38"/>
      <c r="BX698" s="38"/>
      <c r="BY698" s="162"/>
      <c r="BZ698" s="166"/>
      <c r="CA698" s="53"/>
      <c r="CB698" s="153"/>
      <c r="CC698" s="53"/>
      <c r="CD698" s="53"/>
      <c r="CF698" s="53"/>
      <c r="CL698" s="171"/>
      <c r="CP698" s="53"/>
      <c r="CU698" s="153"/>
      <c r="CV698" s="153"/>
      <c r="CY698" s="53"/>
      <c r="CZ698" s="53"/>
      <c r="DA698" s="392"/>
      <c r="DD698" s="171"/>
      <c r="DE698" s="53"/>
      <c r="DH698" s="53"/>
      <c r="DM698" s="153"/>
      <c r="DN698" s="153"/>
      <c r="DR698" s="53"/>
      <c r="DS698" s="679"/>
      <c r="DT698" s="679"/>
      <c r="DU698" s="548"/>
      <c r="DV698" s="679"/>
      <c r="DW698" s="53"/>
      <c r="DX698" s="53"/>
      <c r="DY698" s="38"/>
      <c r="DZ698" s="53"/>
      <c r="ED698" s="53"/>
      <c r="EF698" s="38"/>
      <c r="EJ698" s="153"/>
      <c r="EK698" s="214"/>
      <c r="EL698" s="153"/>
      <c r="EM698" s="153"/>
      <c r="EO698" s="53"/>
      <c r="EP698" s="38"/>
      <c r="EQ698" s="38"/>
      <c r="ER698" s="38"/>
      <c r="ES698" s="38"/>
      <c r="EV698" s="53"/>
      <c r="EZ698" s="38"/>
      <c r="FA698" s="153"/>
      <c r="FB698" s="214"/>
      <c r="FC698" s="53"/>
      <c r="FD698" s="53"/>
      <c r="FE698" s="53"/>
      <c r="FF698" s="67"/>
      <c r="FG698" s="58"/>
      <c r="FH698" s="38"/>
      <c r="FJ698" s="53"/>
      <c r="FK698" s="53"/>
      <c r="FL698" s="53"/>
      <c r="FN698" s="67"/>
      <c r="FO698" s="38"/>
      <c r="FP698" s="43"/>
      <c r="FQ698" s="548"/>
      <c r="FR698" s="53"/>
      <c r="FS698" s="53"/>
      <c r="FT698" s="53"/>
      <c r="FU698" s="53"/>
    </row>
    <row r="699" spans="3:177">
      <c r="C699" s="497" t="s">
        <v>2259</v>
      </c>
      <c r="D699" s="1161">
        <v>42787</v>
      </c>
      <c r="E699" s="1161">
        <v>42789</v>
      </c>
      <c r="F699" s="115"/>
      <c r="P699" s="214"/>
      <c r="R699" s="205"/>
      <c r="T699" s="53"/>
      <c r="V699" s="53"/>
      <c r="BR699" s="38"/>
      <c r="BS699" s="38"/>
      <c r="BT699" s="154"/>
      <c r="BU699" s="38"/>
      <c r="BX699" s="38"/>
      <c r="BY699" s="162"/>
      <c r="BZ699" s="166"/>
      <c r="CA699" s="53"/>
      <c r="CB699" s="153"/>
      <c r="CC699" s="53"/>
      <c r="CD699" s="53"/>
      <c r="CF699" s="53"/>
      <c r="CL699" s="171"/>
      <c r="CP699" s="53"/>
      <c r="CU699" s="153"/>
      <c r="CV699" s="153"/>
      <c r="CY699" s="53"/>
      <c r="CZ699" s="53"/>
      <c r="DA699" s="392"/>
      <c r="DD699" s="171"/>
      <c r="DE699" s="53"/>
      <c r="DH699" s="53"/>
      <c r="DM699" s="153"/>
      <c r="DN699" s="153"/>
      <c r="DR699" s="53"/>
      <c r="DS699" s="679"/>
      <c r="DT699" s="679"/>
      <c r="DU699" s="548"/>
      <c r="DV699" s="679"/>
      <c r="DW699" s="53"/>
      <c r="DX699" s="53"/>
      <c r="DY699" s="38"/>
      <c r="DZ699" s="53"/>
      <c r="ED699" s="53"/>
      <c r="EF699" s="38"/>
      <c r="EJ699" s="153"/>
      <c r="EK699" s="214"/>
      <c r="EL699" s="153"/>
      <c r="EM699" s="153"/>
      <c r="EO699" s="53"/>
      <c r="EP699" s="38"/>
      <c r="EQ699" s="38"/>
      <c r="ER699" s="38"/>
      <c r="ES699" s="38"/>
      <c r="EV699" s="53"/>
      <c r="EZ699" s="38"/>
      <c r="FA699" s="153"/>
      <c r="FB699" s="214"/>
      <c r="FC699" s="53"/>
      <c r="FD699" s="53"/>
      <c r="FE699" s="53"/>
      <c r="FF699" s="67"/>
      <c r="FG699" s="58"/>
      <c r="FH699" s="38"/>
      <c r="FJ699" s="53"/>
      <c r="FK699" s="53"/>
      <c r="FL699" s="53"/>
      <c r="FN699" s="67"/>
      <c r="FO699" s="38"/>
      <c r="FP699" s="43"/>
      <c r="FQ699" s="548"/>
      <c r="FR699" s="53"/>
      <c r="FS699" s="53"/>
      <c r="FT699" s="53"/>
      <c r="FU699" s="53"/>
    </row>
    <row r="700" spans="3:177">
      <c r="C700" s="497" t="s">
        <v>2259</v>
      </c>
      <c r="D700" s="1161">
        <v>42793</v>
      </c>
      <c r="E700" s="1161">
        <v>42796</v>
      </c>
      <c r="F700" s="115"/>
      <c r="P700" s="214"/>
      <c r="R700" s="205"/>
      <c r="T700" s="53"/>
      <c r="V700" s="53"/>
      <c r="BR700" s="38"/>
      <c r="BS700" s="38"/>
      <c r="BT700" s="154"/>
      <c r="BU700" s="38"/>
      <c r="BX700" s="38"/>
      <c r="BY700" s="162"/>
      <c r="BZ700" s="166"/>
      <c r="CA700" s="53"/>
      <c r="CB700" s="153"/>
      <c r="CC700" s="53"/>
      <c r="CD700" s="53"/>
      <c r="CF700" s="53"/>
      <c r="CL700" s="171"/>
      <c r="CP700" s="53"/>
      <c r="CU700" s="153"/>
      <c r="CV700" s="153"/>
      <c r="CY700" s="53"/>
      <c r="CZ700" s="53"/>
      <c r="DA700" s="392"/>
      <c r="DD700" s="171"/>
      <c r="DE700" s="53"/>
      <c r="DH700" s="53"/>
      <c r="DM700" s="153"/>
      <c r="DN700" s="153"/>
      <c r="DR700" s="53"/>
      <c r="DS700" s="679"/>
      <c r="DT700" s="679"/>
      <c r="DU700" s="548"/>
      <c r="DV700" s="679"/>
      <c r="DW700" s="53"/>
      <c r="DX700" s="53"/>
      <c r="DY700" s="38"/>
      <c r="DZ700" s="53"/>
      <c r="ED700" s="53"/>
      <c r="EF700" s="38"/>
      <c r="EJ700" s="153"/>
      <c r="EK700" s="214"/>
      <c r="EL700" s="153"/>
      <c r="EM700" s="153"/>
      <c r="EO700" s="53"/>
      <c r="EP700" s="38"/>
      <c r="EQ700" s="38"/>
      <c r="ER700" s="38"/>
      <c r="ES700" s="38"/>
      <c r="EV700" s="53"/>
      <c r="EZ700" s="38"/>
      <c r="FA700" s="153"/>
      <c r="FB700" s="214"/>
      <c r="FC700" s="53"/>
      <c r="FD700" s="53"/>
      <c r="FE700" s="53"/>
      <c r="FF700" s="67"/>
      <c r="FG700" s="58"/>
      <c r="FH700" s="38"/>
      <c r="FJ700" s="53"/>
      <c r="FK700" s="53"/>
      <c r="FL700" s="53"/>
      <c r="FN700" s="67"/>
      <c r="FO700" s="38"/>
      <c r="FP700" s="43"/>
      <c r="FQ700" s="548"/>
      <c r="FR700" s="53"/>
      <c r="FS700" s="53"/>
      <c r="FT700" s="53"/>
      <c r="FU700" s="53"/>
    </row>
    <row r="701" spans="3:177">
      <c r="C701" s="497" t="s">
        <v>2259</v>
      </c>
      <c r="D701" s="1161">
        <v>42800</v>
      </c>
      <c r="E701" s="1161">
        <v>42803</v>
      </c>
      <c r="F701" s="115"/>
      <c r="P701" s="214"/>
      <c r="R701" s="205"/>
      <c r="T701" s="53"/>
      <c r="V701" s="53"/>
      <c r="BR701" s="38"/>
      <c r="BS701" s="38"/>
      <c r="BT701" s="154"/>
      <c r="BU701" s="38"/>
      <c r="BX701" s="38"/>
      <c r="BY701" s="162"/>
      <c r="BZ701" s="166"/>
      <c r="CA701" s="53"/>
      <c r="CB701" s="153"/>
      <c r="CC701" s="53"/>
      <c r="CD701" s="53"/>
      <c r="CF701" s="53"/>
      <c r="CL701" s="171"/>
      <c r="CP701" s="53"/>
      <c r="CU701" s="153"/>
      <c r="CV701" s="153"/>
      <c r="CY701" s="53"/>
      <c r="CZ701" s="53"/>
      <c r="DA701" s="392"/>
      <c r="DD701" s="171"/>
      <c r="DE701" s="53"/>
      <c r="DH701" s="53"/>
      <c r="DM701" s="153"/>
      <c r="DN701" s="153"/>
      <c r="DR701" s="53"/>
      <c r="DS701" s="679"/>
      <c r="DT701" s="679"/>
      <c r="DU701" s="548"/>
      <c r="DV701" s="679"/>
      <c r="DW701" s="53"/>
      <c r="DX701" s="53"/>
      <c r="DY701" s="38"/>
      <c r="DZ701" s="53"/>
      <c r="ED701" s="53"/>
      <c r="EF701" s="38"/>
      <c r="EJ701" s="153"/>
      <c r="EK701" s="214"/>
      <c r="EL701" s="153"/>
      <c r="EM701" s="153"/>
      <c r="EO701" s="53"/>
      <c r="EP701" s="38"/>
      <c r="EQ701" s="38"/>
      <c r="ER701" s="38"/>
      <c r="ES701" s="38"/>
      <c r="EV701" s="53"/>
      <c r="EZ701" s="38"/>
      <c r="FA701" s="153"/>
      <c r="FB701" s="214"/>
      <c r="FC701" s="53"/>
      <c r="FD701" s="53"/>
      <c r="FE701" s="53"/>
      <c r="FF701" s="67"/>
      <c r="FG701" s="58"/>
      <c r="FH701" s="38"/>
      <c r="FJ701" s="53"/>
      <c r="FK701" s="53"/>
      <c r="FL701" s="53"/>
      <c r="FN701" s="67"/>
      <c r="FO701" s="38"/>
      <c r="FP701" s="43"/>
      <c r="FQ701" s="548"/>
      <c r="FR701" s="53"/>
      <c r="FS701" s="53"/>
      <c r="FT701" s="53"/>
      <c r="FU701" s="53"/>
    </row>
    <row r="702" spans="3:177">
      <c r="C702" s="497" t="s">
        <v>2259</v>
      </c>
      <c r="D702" s="1161">
        <v>42807</v>
      </c>
      <c r="E702" s="1161">
        <v>42810</v>
      </c>
      <c r="F702" s="115"/>
      <c r="P702" s="214"/>
      <c r="R702" s="205"/>
      <c r="T702" s="53"/>
      <c r="V702" s="53"/>
      <c r="BR702" s="38"/>
      <c r="BS702" s="38"/>
      <c r="BT702" s="154"/>
      <c r="BU702" s="38"/>
      <c r="BX702" s="38"/>
      <c r="BY702" s="162"/>
      <c r="BZ702" s="166"/>
      <c r="CA702" s="53"/>
      <c r="CB702" s="153"/>
      <c r="CC702" s="53"/>
      <c r="CD702" s="53"/>
      <c r="CF702" s="53"/>
      <c r="CL702" s="171"/>
      <c r="CP702" s="53"/>
      <c r="CU702" s="153"/>
      <c r="CV702" s="153"/>
      <c r="CY702" s="53"/>
      <c r="CZ702" s="53"/>
      <c r="DA702" s="392"/>
      <c r="DD702" s="171"/>
      <c r="DE702" s="53"/>
      <c r="DH702" s="53"/>
      <c r="DM702" s="153"/>
      <c r="DN702" s="153"/>
      <c r="DR702" s="53"/>
      <c r="DS702" s="679"/>
      <c r="DT702" s="679"/>
      <c r="DU702" s="548"/>
      <c r="DV702" s="679"/>
      <c r="DW702" s="53"/>
      <c r="DX702" s="53"/>
      <c r="DY702" s="38"/>
      <c r="DZ702" s="53"/>
      <c r="ED702" s="53"/>
      <c r="EF702" s="38"/>
      <c r="EJ702" s="153"/>
      <c r="EK702" s="214"/>
      <c r="EL702" s="153"/>
      <c r="EM702" s="153"/>
      <c r="EO702" s="53"/>
      <c r="EP702" s="38"/>
      <c r="EQ702" s="38"/>
      <c r="ER702" s="38"/>
      <c r="ES702" s="38"/>
      <c r="EV702" s="53"/>
      <c r="EZ702" s="38"/>
      <c r="FA702" s="153"/>
      <c r="FB702" s="214"/>
      <c r="FC702" s="53"/>
      <c r="FD702" s="53"/>
      <c r="FE702" s="53"/>
      <c r="FF702" s="67"/>
      <c r="FG702" s="58"/>
      <c r="FH702" s="38"/>
      <c r="FJ702" s="53"/>
      <c r="FK702" s="53"/>
      <c r="FL702" s="53"/>
      <c r="FN702" s="67"/>
      <c r="FO702" s="38"/>
      <c r="FP702" s="43"/>
      <c r="FQ702" s="548"/>
      <c r="FR702" s="53"/>
      <c r="FS702" s="53"/>
      <c r="FT702" s="53"/>
      <c r="FU702" s="53"/>
    </row>
    <row r="703" spans="3:177">
      <c r="C703" s="497" t="s">
        <v>2259</v>
      </c>
      <c r="D703" s="1161">
        <v>42814</v>
      </c>
      <c r="E703" s="1161">
        <v>42817</v>
      </c>
      <c r="F703" s="115"/>
      <c r="P703" s="214"/>
      <c r="R703" s="205"/>
      <c r="T703" s="53"/>
      <c r="V703" s="53"/>
      <c r="BR703" s="38"/>
      <c r="BS703" s="38"/>
      <c r="BT703" s="154"/>
      <c r="BU703" s="38"/>
      <c r="BX703" s="38"/>
      <c r="BY703" s="162"/>
      <c r="BZ703" s="166"/>
      <c r="CA703" s="53"/>
      <c r="CB703" s="153"/>
      <c r="CC703" s="53"/>
      <c r="CD703" s="53"/>
      <c r="CF703" s="53"/>
      <c r="CL703" s="171"/>
      <c r="CP703" s="53"/>
      <c r="CU703" s="153"/>
      <c r="CV703" s="153"/>
      <c r="CY703" s="53"/>
      <c r="CZ703" s="53"/>
      <c r="DA703" s="392"/>
      <c r="DD703" s="171"/>
      <c r="DE703" s="53"/>
      <c r="DH703" s="53"/>
      <c r="DM703" s="153"/>
      <c r="DN703" s="153"/>
      <c r="DR703" s="53"/>
      <c r="DS703" s="679"/>
      <c r="DT703" s="679"/>
      <c r="DU703" s="548"/>
      <c r="DV703" s="679"/>
      <c r="DW703" s="53"/>
      <c r="DX703" s="53"/>
      <c r="DY703" s="38"/>
      <c r="DZ703" s="53"/>
      <c r="ED703" s="53"/>
      <c r="EF703" s="38"/>
      <c r="EJ703" s="153"/>
      <c r="EK703" s="214"/>
      <c r="EL703" s="153"/>
      <c r="EM703" s="153"/>
      <c r="EO703" s="53"/>
      <c r="EP703" s="38"/>
      <c r="EQ703" s="38"/>
      <c r="ER703" s="38"/>
      <c r="ES703" s="38"/>
      <c r="EV703" s="53"/>
      <c r="EZ703" s="38"/>
      <c r="FA703" s="153"/>
      <c r="FB703" s="214"/>
      <c r="FC703" s="53"/>
      <c r="FD703" s="53"/>
      <c r="FE703" s="53"/>
      <c r="FF703" s="67"/>
      <c r="FG703" s="58"/>
      <c r="FH703" s="38"/>
      <c r="FJ703" s="53"/>
      <c r="FK703" s="53"/>
      <c r="FL703" s="53"/>
      <c r="FN703" s="67"/>
      <c r="FO703" s="38"/>
      <c r="FP703" s="43"/>
      <c r="FQ703" s="548"/>
      <c r="FR703" s="53"/>
      <c r="FS703" s="53"/>
      <c r="FT703" s="53"/>
      <c r="FU703" s="53"/>
    </row>
    <row r="704" spans="3:177">
      <c r="C704" s="497" t="s">
        <v>2260</v>
      </c>
      <c r="D704" s="1161">
        <v>42766</v>
      </c>
      <c r="E704" s="1161">
        <v>42768</v>
      </c>
      <c r="F704" s="115"/>
      <c r="P704" s="214"/>
      <c r="R704" s="205"/>
      <c r="T704" s="53"/>
      <c r="V704" s="53"/>
      <c r="BR704" s="38"/>
      <c r="BS704" s="38"/>
      <c r="BT704" s="154"/>
      <c r="BU704" s="38"/>
      <c r="BX704" s="38"/>
      <c r="BY704" s="162"/>
      <c r="BZ704" s="166"/>
      <c r="CA704" s="53"/>
      <c r="CB704" s="153"/>
      <c r="CC704" s="53"/>
      <c r="CD704" s="53"/>
      <c r="CF704" s="53"/>
      <c r="CL704" s="171"/>
      <c r="CP704" s="53"/>
      <c r="CU704" s="153"/>
      <c r="CV704" s="153"/>
      <c r="CY704" s="53"/>
      <c r="CZ704" s="53"/>
      <c r="DA704" s="392"/>
      <c r="DD704" s="171"/>
      <c r="DE704" s="53"/>
      <c r="DH704" s="53"/>
      <c r="DM704" s="153"/>
      <c r="DN704" s="153"/>
      <c r="DR704" s="53"/>
      <c r="DS704" s="679"/>
      <c r="DT704" s="679"/>
      <c r="DU704" s="548"/>
      <c r="DV704" s="679"/>
      <c r="DW704" s="53"/>
      <c r="DX704" s="53"/>
      <c r="DY704" s="38"/>
      <c r="DZ704" s="53"/>
      <c r="ED704" s="53"/>
      <c r="EF704" s="38"/>
      <c r="EJ704" s="153"/>
      <c r="EK704" s="214"/>
      <c r="EL704" s="153"/>
      <c r="EM704" s="153"/>
      <c r="EO704" s="53"/>
      <c r="EP704" s="38"/>
      <c r="EQ704" s="38"/>
      <c r="ER704" s="38"/>
      <c r="ES704" s="38"/>
      <c r="EV704" s="53"/>
      <c r="EZ704" s="38"/>
      <c r="FA704" s="153"/>
      <c r="FB704" s="214"/>
      <c r="FC704" s="53"/>
      <c r="FD704" s="53"/>
      <c r="FE704" s="53"/>
      <c r="FF704" s="67"/>
      <c r="FG704" s="58"/>
      <c r="FH704" s="38"/>
      <c r="FJ704" s="53"/>
      <c r="FK704" s="53"/>
      <c r="FL704" s="53"/>
      <c r="FN704" s="67"/>
      <c r="FO704" s="38"/>
      <c r="FP704" s="43"/>
      <c r="FQ704" s="548"/>
      <c r="FR704" s="53"/>
      <c r="FS704" s="53"/>
      <c r="FT704" s="53"/>
      <c r="FU704" s="53"/>
    </row>
    <row r="705" spans="3:177">
      <c r="C705" s="497" t="s">
        <v>2260</v>
      </c>
      <c r="D705" s="1161">
        <v>42794</v>
      </c>
      <c r="E705" s="1161">
        <v>42796</v>
      </c>
      <c r="F705" s="115"/>
      <c r="P705" s="214"/>
      <c r="R705" s="205"/>
      <c r="T705" s="53"/>
      <c r="V705" s="53"/>
      <c r="BR705" s="38"/>
      <c r="BS705" s="38"/>
      <c r="BT705" s="154"/>
      <c r="BU705" s="38"/>
      <c r="BX705" s="38"/>
      <c r="BY705" s="162"/>
      <c r="BZ705" s="166"/>
      <c r="CA705" s="53"/>
      <c r="CB705" s="153"/>
      <c r="CC705" s="53"/>
      <c r="CD705" s="53"/>
      <c r="CF705" s="53"/>
      <c r="CL705" s="171"/>
      <c r="CP705" s="53"/>
      <c r="CU705" s="153"/>
      <c r="CV705" s="153"/>
      <c r="CY705" s="53"/>
      <c r="CZ705" s="53"/>
      <c r="DA705" s="392"/>
      <c r="DD705" s="171"/>
      <c r="DE705" s="53"/>
      <c r="DH705" s="53"/>
      <c r="DM705" s="153"/>
      <c r="DN705" s="153"/>
      <c r="DR705" s="53"/>
      <c r="DS705" s="679"/>
      <c r="DT705" s="679"/>
      <c r="DU705" s="548"/>
      <c r="DV705" s="679"/>
      <c r="DW705" s="53"/>
      <c r="DX705" s="53"/>
      <c r="DY705" s="38"/>
      <c r="DZ705" s="53"/>
      <c r="ED705" s="53"/>
      <c r="EF705" s="38"/>
      <c r="EJ705" s="153"/>
      <c r="EK705" s="214"/>
      <c r="EL705" s="153"/>
      <c r="EM705" s="153"/>
      <c r="EO705" s="53"/>
      <c r="EP705" s="38"/>
      <c r="EQ705" s="38"/>
      <c r="ER705" s="38"/>
      <c r="ES705" s="38"/>
      <c r="EV705" s="53"/>
      <c r="EZ705" s="38"/>
      <c r="FA705" s="153"/>
      <c r="FB705" s="214"/>
      <c r="FC705" s="53"/>
      <c r="FD705" s="53"/>
      <c r="FE705" s="53"/>
      <c r="FF705" s="67"/>
      <c r="FG705" s="58"/>
      <c r="FH705" s="38"/>
      <c r="FJ705" s="53"/>
      <c r="FK705" s="53"/>
      <c r="FL705" s="53"/>
      <c r="FN705" s="67"/>
      <c r="FO705" s="38"/>
      <c r="FP705" s="43"/>
      <c r="FQ705" s="548"/>
      <c r="FR705" s="53"/>
      <c r="FS705" s="53"/>
      <c r="FT705" s="53"/>
      <c r="FU705" s="53"/>
    </row>
    <row r="706" spans="3:177">
      <c r="C706" s="1162"/>
      <c r="D706" s="1161"/>
      <c r="E706" s="1161"/>
      <c r="F706" s="115"/>
      <c r="P706" s="214"/>
      <c r="R706" s="205"/>
      <c r="T706" s="53"/>
      <c r="V706" s="53"/>
      <c r="BR706" s="38"/>
      <c r="BS706" s="38"/>
      <c r="BT706" s="154"/>
      <c r="BU706" s="38"/>
      <c r="BX706" s="38"/>
      <c r="BY706" s="162"/>
      <c r="BZ706" s="166"/>
      <c r="CA706" s="53"/>
      <c r="CB706" s="153"/>
      <c r="CC706" s="53"/>
      <c r="CD706" s="53"/>
      <c r="CF706" s="53"/>
      <c r="CL706" s="171"/>
      <c r="CP706" s="53"/>
      <c r="CU706" s="153"/>
      <c r="CV706" s="153"/>
      <c r="CY706" s="53"/>
      <c r="CZ706" s="53"/>
      <c r="DA706" s="392"/>
      <c r="DD706" s="171"/>
      <c r="DE706" s="53"/>
      <c r="DH706" s="53"/>
      <c r="DM706" s="153"/>
      <c r="DN706" s="153"/>
      <c r="DR706" s="53"/>
      <c r="DS706" s="679"/>
      <c r="DT706" s="679"/>
      <c r="DU706" s="548"/>
      <c r="DV706" s="679"/>
      <c r="DW706" s="53"/>
      <c r="DX706" s="53"/>
      <c r="DY706" s="38"/>
      <c r="DZ706" s="53"/>
      <c r="ED706" s="53"/>
      <c r="EF706" s="38"/>
      <c r="EJ706" s="153"/>
      <c r="EK706" s="214"/>
      <c r="EL706" s="153"/>
      <c r="EM706" s="153"/>
      <c r="EO706" s="53"/>
      <c r="EP706" s="38"/>
      <c r="EQ706" s="38"/>
      <c r="ER706" s="38"/>
      <c r="ES706" s="38"/>
      <c r="EV706" s="53"/>
      <c r="EZ706" s="38"/>
      <c r="FA706" s="153"/>
      <c r="FB706" s="214"/>
      <c r="FC706" s="53"/>
      <c r="FD706" s="53"/>
      <c r="FE706" s="53"/>
      <c r="FF706" s="67"/>
      <c r="FG706" s="58"/>
      <c r="FH706" s="38"/>
      <c r="FJ706" s="53"/>
      <c r="FK706" s="53"/>
      <c r="FL706" s="53"/>
      <c r="FN706" s="67"/>
      <c r="FO706" s="38"/>
      <c r="FP706" s="43"/>
      <c r="FQ706" s="548"/>
      <c r="FR706" s="53"/>
      <c r="FS706" s="53"/>
      <c r="FT706" s="53"/>
      <c r="FU706" s="53"/>
    </row>
    <row r="707" spans="3:177">
      <c r="C707" s="1162"/>
      <c r="D707" s="1161"/>
      <c r="E707" s="1161"/>
      <c r="F707" s="115"/>
      <c r="P707" s="214"/>
      <c r="R707" s="205"/>
      <c r="T707" s="53"/>
      <c r="V707" s="53"/>
      <c r="BR707" s="38"/>
      <c r="BS707" s="38"/>
      <c r="BT707" s="154"/>
      <c r="BU707" s="38"/>
      <c r="BX707" s="38"/>
      <c r="BY707" s="162"/>
      <c r="BZ707" s="166"/>
      <c r="CA707" s="53"/>
      <c r="CB707" s="153"/>
      <c r="CC707" s="53"/>
      <c r="CD707" s="53"/>
      <c r="CF707" s="53"/>
      <c r="CL707" s="171"/>
      <c r="CP707" s="53"/>
      <c r="CU707" s="153"/>
      <c r="CV707" s="153"/>
      <c r="CY707" s="53"/>
      <c r="CZ707" s="53"/>
      <c r="DA707" s="392"/>
      <c r="DD707" s="171"/>
      <c r="DE707" s="53"/>
      <c r="DH707" s="53"/>
      <c r="DM707" s="153"/>
      <c r="DN707" s="153"/>
      <c r="DR707" s="53"/>
      <c r="DS707" s="679"/>
      <c r="DT707" s="679"/>
      <c r="DU707" s="548"/>
      <c r="DV707" s="679"/>
      <c r="DW707" s="53"/>
      <c r="DX707" s="53"/>
      <c r="DY707" s="38"/>
      <c r="DZ707" s="53"/>
      <c r="ED707" s="53"/>
      <c r="EF707" s="38"/>
      <c r="EJ707" s="153"/>
      <c r="EK707" s="214"/>
      <c r="EL707" s="153"/>
      <c r="EM707" s="153"/>
      <c r="EO707" s="53"/>
      <c r="EP707" s="38"/>
      <c r="EQ707" s="38"/>
      <c r="ER707" s="38"/>
      <c r="ES707" s="38"/>
      <c r="EV707" s="53"/>
      <c r="EZ707" s="38"/>
      <c r="FA707" s="153"/>
      <c r="FB707" s="214"/>
      <c r="FC707" s="53"/>
      <c r="FD707" s="53"/>
      <c r="FE707" s="53"/>
      <c r="FF707" s="67"/>
      <c r="FG707" s="58"/>
      <c r="FH707" s="38"/>
      <c r="FJ707" s="53"/>
      <c r="FK707" s="53"/>
      <c r="FL707" s="53"/>
      <c r="FN707" s="67"/>
      <c r="FO707" s="38"/>
      <c r="FP707" s="43"/>
      <c r="FQ707" s="548"/>
      <c r="FR707" s="53"/>
      <c r="FS707" s="53"/>
      <c r="FT707" s="53"/>
      <c r="FU707" s="53"/>
    </row>
    <row r="708" spans="3:177">
      <c r="C708" s="497"/>
      <c r="D708" s="116" t="s">
        <v>141</v>
      </c>
      <c r="E708" s="116" t="s">
        <v>2262</v>
      </c>
      <c r="F708" s="117" t="s">
        <v>2263</v>
      </c>
      <c r="P708" s="214"/>
      <c r="R708" s="205"/>
      <c r="T708" s="53"/>
      <c r="V708" s="53"/>
      <c r="BR708" s="38"/>
      <c r="BS708" s="38"/>
      <c r="BT708" s="154"/>
      <c r="BU708" s="38"/>
      <c r="BX708" s="38"/>
      <c r="BY708" s="162"/>
      <c r="BZ708" s="166"/>
      <c r="CA708" s="53"/>
      <c r="CB708" s="153"/>
      <c r="CC708" s="53"/>
      <c r="CD708" s="53"/>
      <c r="CF708" s="53"/>
      <c r="CL708" s="171"/>
      <c r="CP708" s="53"/>
      <c r="CU708" s="153"/>
      <c r="CV708" s="153"/>
      <c r="CY708" s="53"/>
      <c r="CZ708" s="53"/>
      <c r="DA708" s="392"/>
      <c r="DD708" s="171"/>
      <c r="DE708" s="53"/>
      <c r="DH708" s="53"/>
      <c r="DM708" s="153"/>
      <c r="DN708" s="153"/>
      <c r="DR708" s="53"/>
      <c r="DS708" s="679"/>
      <c r="DT708" s="679"/>
      <c r="DU708" s="548"/>
      <c r="DV708" s="679"/>
      <c r="DW708" s="53"/>
      <c r="DX708" s="53"/>
      <c r="DY708" s="38"/>
      <c r="DZ708" s="53"/>
      <c r="ED708" s="53"/>
      <c r="EF708" s="38"/>
      <c r="EJ708" s="153"/>
      <c r="EK708" s="214"/>
      <c r="EL708" s="153"/>
      <c r="EM708" s="153"/>
      <c r="EO708" s="53"/>
      <c r="EP708" s="38"/>
      <c r="EQ708" s="38"/>
      <c r="ER708" s="38"/>
      <c r="ES708" s="38"/>
      <c r="EV708" s="53"/>
      <c r="EZ708" s="38"/>
      <c r="FA708" s="153"/>
      <c r="FB708" s="214"/>
      <c r="FC708" s="53"/>
      <c r="FD708" s="53"/>
      <c r="FE708" s="53"/>
      <c r="FF708" s="67"/>
      <c r="FG708" s="58"/>
      <c r="FH708" s="38"/>
      <c r="FJ708" s="53"/>
      <c r="FK708" s="53"/>
      <c r="FL708" s="53"/>
      <c r="FN708" s="67"/>
      <c r="FO708" s="38"/>
      <c r="FP708" s="43"/>
      <c r="FQ708" s="548"/>
      <c r="FR708" s="53"/>
      <c r="FS708" s="53"/>
      <c r="FT708" s="53"/>
      <c r="FU708" s="53"/>
    </row>
    <row r="709" spans="3:177">
      <c r="C709" s="113" t="s">
        <v>2257</v>
      </c>
      <c r="D709" s="114">
        <f>COUNTIF($C$678:$C$706,C709)</f>
        <v>8</v>
      </c>
      <c r="E709" s="122">
        <f>D709*F70</f>
        <v>0.32000000000005002</v>
      </c>
      <c r="F709" s="536">
        <f>D709*H70</f>
        <v>8.3200000000013006</v>
      </c>
      <c r="G709" s="436"/>
      <c r="H709" s="386"/>
      <c r="P709" s="214"/>
      <c r="R709" s="205"/>
      <c r="T709" s="53"/>
      <c r="V709" s="53"/>
      <c r="BR709" s="38"/>
      <c r="BS709" s="38"/>
      <c r="BT709" s="154"/>
      <c r="BU709" s="38"/>
      <c r="BX709" s="38"/>
      <c r="BY709" s="162"/>
      <c r="BZ709" s="166"/>
      <c r="CA709" s="53"/>
      <c r="CB709" s="153"/>
      <c r="CC709" s="53"/>
      <c r="CD709" s="53"/>
      <c r="CF709" s="53"/>
      <c r="CL709" s="171"/>
      <c r="CP709" s="53"/>
      <c r="CU709" s="153"/>
      <c r="CV709" s="153"/>
      <c r="CY709" s="53"/>
      <c r="CZ709" s="53"/>
      <c r="DA709" s="392"/>
      <c r="DD709" s="171"/>
      <c r="DE709" s="53"/>
      <c r="DH709" s="53"/>
      <c r="DM709" s="153"/>
      <c r="DN709" s="153"/>
      <c r="DR709" s="53"/>
      <c r="DS709" s="679"/>
      <c r="DT709" s="679"/>
      <c r="DU709" s="548"/>
      <c r="DV709" s="679"/>
      <c r="DW709" s="53"/>
      <c r="DX709" s="53"/>
      <c r="DY709" s="38"/>
      <c r="DZ709" s="53"/>
      <c r="ED709" s="53"/>
      <c r="EF709" s="38"/>
      <c r="EJ709" s="153"/>
      <c r="EK709" s="214"/>
      <c r="EL709" s="153"/>
      <c r="EM709" s="153"/>
      <c r="EO709" s="53"/>
      <c r="EP709" s="38"/>
      <c r="EQ709" s="38"/>
      <c r="ER709" s="38"/>
      <c r="ES709" s="38"/>
      <c r="EV709" s="53"/>
      <c r="EZ709" s="38"/>
      <c r="FA709" s="153"/>
      <c r="FB709" s="214"/>
      <c r="FC709" s="53"/>
      <c r="FD709" s="53"/>
      <c r="FE709" s="53"/>
      <c r="FF709" s="67"/>
      <c r="FG709" s="58"/>
      <c r="FH709" s="38"/>
      <c r="FJ709" s="53"/>
      <c r="FK709" s="53"/>
      <c r="FL709" s="53"/>
      <c r="FN709" s="67"/>
      <c r="FO709" s="38"/>
      <c r="FP709" s="43"/>
      <c r="FQ709" s="548"/>
      <c r="FR709" s="53"/>
      <c r="FS709" s="53"/>
      <c r="FT709" s="53"/>
      <c r="FU709" s="53"/>
    </row>
    <row r="710" spans="3:177">
      <c r="C710" s="113" t="s">
        <v>2258</v>
      </c>
      <c r="D710" s="114">
        <f>COUNTIF($C$678:$C$706,C710)</f>
        <v>9</v>
      </c>
      <c r="E710" s="122">
        <f>D710*F71</f>
        <v>1.1699999999999591</v>
      </c>
      <c r="F710" s="536">
        <f>D710*H71</f>
        <v>9.3599999999996726</v>
      </c>
      <c r="G710" s="436"/>
      <c r="H710" s="386"/>
      <c r="P710" s="214"/>
      <c r="R710" s="205"/>
      <c r="T710" s="53"/>
      <c r="V710" s="53"/>
      <c r="BR710" s="38"/>
      <c r="BS710" s="38"/>
      <c r="BT710" s="154"/>
      <c r="BU710" s="38"/>
      <c r="BX710" s="38"/>
      <c r="BY710" s="162"/>
      <c r="BZ710" s="166"/>
      <c r="CA710" s="53"/>
      <c r="CB710" s="153"/>
      <c r="CC710" s="53"/>
      <c r="CD710" s="53"/>
      <c r="CF710" s="53"/>
      <c r="CL710" s="171"/>
      <c r="CP710" s="53"/>
      <c r="CU710" s="153"/>
      <c r="CV710" s="153"/>
      <c r="CY710" s="53"/>
      <c r="CZ710" s="53"/>
      <c r="DA710" s="392"/>
      <c r="DD710" s="171"/>
      <c r="DE710" s="53"/>
      <c r="DH710" s="53"/>
      <c r="DM710" s="153"/>
      <c r="DN710" s="153"/>
      <c r="DR710" s="53"/>
      <c r="DS710" s="679"/>
      <c r="DT710" s="679"/>
      <c r="DU710" s="548"/>
      <c r="DV710" s="679"/>
      <c r="DW710" s="53"/>
      <c r="DX710" s="53"/>
      <c r="DY710" s="38"/>
      <c r="DZ710" s="53"/>
      <c r="ED710" s="53"/>
      <c r="EF710" s="38"/>
      <c r="EJ710" s="153"/>
      <c r="EK710" s="214"/>
      <c r="EL710" s="153"/>
      <c r="EM710" s="153"/>
      <c r="EO710" s="53"/>
      <c r="EP710" s="38"/>
      <c r="EQ710" s="38"/>
      <c r="ER710" s="38"/>
      <c r="ES710" s="38"/>
      <c r="EV710" s="53"/>
      <c r="EZ710" s="38"/>
      <c r="FA710" s="153"/>
      <c r="FB710" s="214"/>
      <c r="FC710" s="53"/>
      <c r="FD710" s="53"/>
      <c r="FE710" s="53"/>
      <c r="FF710" s="67"/>
      <c r="FG710" s="58"/>
      <c r="FH710" s="38"/>
      <c r="FJ710" s="53"/>
      <c r="FK710" s="53"/>
      <c r="FL710" s="53"/>
      <c r="FN710" s="67"/>
      <c r="FO710" s="38"/>
      <c r="FP710" s="43"/>
      <c r="FQ710" s="548"/>
      <c r="FR710" s="53"/>
      <c r="FS710" s="53"/>
      <c r="FT710" s="53"/>
      <c r="FU710" s="53"/>
    </row>
    <row r="711" spans="3:177">
      <c r="C711" s="113" t="s">
        <v>2259</v>
      </c>
      <c r="D711" s="114">
        <f>COUNTIF($C$678:$C$706,C711)</f>
        <v>9</v>
      </c>
      <c r="E711" s="122">
        <f>D711*F72</f>
        <v>2.8799999999999386</v>
      </c>
      <c r="F711" s="536">
        <f>D711*H72</f>
        <v>11.519999999999754</v>
      </c>
      <c r="G711" s="436"/>
      <c r="H711" s="386"/>
      <c r="P711" s="214"/>
      <c r="R711" s="205"/>
      <c r="T711" s="53"/>
      <c r="V711" s="53"/>
      <c r="BR711" s="38"/>
      <c r="BS711" s="38"/>
      <c r="BT711" s="154"/>
      <c r="BU711" s="38"/>
      <c r="BX711" s="38"/>
      <c r="BY711" s="162"/>
      <c r="BZ711" s="166"/>
      <c r="CA711" s="53"/>
      <c r="CB711" s="153"/>
      <c r="CC711" s="53"/>
      <c r="CD711" s="53"/>
      <c r="CF711" s="53"/>
      <c r="CL711" s="171"/>
      <c r="CP711" s="53"/>
      <c r="CU711" s="153"/>
      <c r="CV711" s="153"/>
      <c r="CY711" s="53"/>
      <c r="CZ711" s="53"/>
      <c r="DA711" s="392"/>
      <c r="DD711" s="171"/>
      <c r="DE711" s="53"/>
      <c r="DH711" s="53"/>
      <c r="DM711" s="153"/>
      <c r="DN711" s="153"/>
      <c r="DR711" s="53"/>
      <c r="DS711" s="679"/>
      <c r="DT711" s="679"/>
      <c r="DU711" s="548"/>
      <c r="DV711" s="679"/>
      <c r="DW711" s="53"/>
      <c r="DX711" s="53"/>
      <c r="DY711" s="38"/>
      <c r="DZ711" s="53"/>
      <c r="ED711" s="53"/>
      <c r="EF711" s="38"/>
      <c r="EJ711" s="153"/>
      <c r="EK711" s="214"/>
      <c r="EL711" s="153"/>
      <c r="EM711" s="153"/>
      <c r="EO711" s="53"/>
      <c r="EP711" s="38"/>
      <c r="EQ711" s="38"/>
      <c r="ER711" s="38"/>
      <c r="ES711" s="38"/>
      <c r="EV711" s="53"/>
      <c r="EZ711" s="38"/>
      <c r="FA711" s="153"/>
      <c r="FB711" s="214"/>
      <c r="FC711" s="53"/>
      <c r="FD711" s="53"/>
      <c r="FE711" s="53"/>
      <c r="FF711" s="67"/>
      <c r="FG711" s="58"/>
      <c r="FH711" s="38"/>
      <c r="FJ711" s="53"/>
      <c r="FK711" s="53"/>
      <c r="FL711" s="53"/>
      <c r="FN711" s="67"/>
      <c r="FO711" s="38"/>
      <c r="FP711" s="43"/>
      <c r="FQ711" s="548"/>
      <c r="FR711" s="53"/>
      <c r="FS711" s="53"/>
      <c r="FT711" s="53"/>
      <c r="FU711" s="53"/>
    </row>
    <row r="712" spans="3:177">
      <c r="C712" s="113" t="s">
        <v>2260</v>
      </c>
      <c r="D712" s="114">
        <f>COUNTIF($C$678:$C$706,C712)</f>
        <v>2</v>
      </c>
      <c r="E712" s="122">
        <f>D712*F73</f>
        <v>1.6200000000000045</v>
      </c>
      <c r="F712" s="536">
        <f>D712*H73</f>
        <v>3.2400000000000091</v>
      </c>
      <c r="G712" s="436"/>
      <c r="H712" s="386"/>
      <c r="P712" s="214"/>
      <c r="R712" s="205"/>
      <c r="T712" s="53"/>
      <c r="V712" s="53"/>
      <c r="BR712" s="38"/>
      <c r="BS712" s="38"/>
      <c r="BT712" s="154"/>
      <c r="BU712" s="38"/>
      <c r="BX712" s="38"/>
      <c r="BY712" s="162"/>
      <c r="BZ712" s="166"/>
      <c r="CA712" s="53"/>
      <c r="CB712" s="153"/>
      <c r="CC712" s="53"/>
      <c r="CD712" s="53"/>
      <c r="CF712" s="53"/>
      <c r="CL712" s="171"/>
      <c r="CP712" s="53"/>
      <c r="CU712" s="153"/>
      <c r="CV712" s="153"/>
      <c r="CY712" s="53"/>
      <c r="CZ712" s="53"/>
      <c r="DA712" s="392"/>
      <c r="DD712" s="171"/>
      <c r="DE712" s="53"/>
      <c r="DH712" s="53"/>
      <c r="DM712" s="153"/>
      <c r="DN712" s="153"/>
      <c r="DR712" s="53"/>
      <c r="DS712" s="679"/>
      <c r="DT712" s="679"/>
      <c r="DU712" s="548"/>
      <c r="DV712" s="679"/>
      <c r="DW712" s="53"/>
      <c r="DX712" s="53"/>
      <c r="DY712" s="38"/>
      <c r="DZ712" s="53"/>
      <c r="ED712" s="53"/>
      <c r="EF712" s="38"/>
      <c r="EJ712" s="153"/>
      <c r="EK712" s="214"/>
      <c r="EL712" s="153"/>
      <c r="EM712" s="153"/>
      <c r="EO712" s="53"/>
      <c r="EP712" s="38"/>
      <c r="EQ712" s="38"/>
      <c r="ER712" s="38"/>
      <c r="ES712" s="38"/>
      <c r="EV712" s="53"/>
      <c r="EZ712" s="38"/>
      <c r="FA712" s="153"/>
      <c r="FB712" s="214"/>
      <c r="FC712" s="53"/>
      <c r="FD712" s="53"/>
      <c r="FE712" s="53"/>
      <c r="FF712" s="67"/>
      <c r="FG712" s="58"/>
      <c r="FH712" s="38"/>
      <c r="FJ712" s="53"/>
      <c r="FK712" s="53"/>
      <c r="FL712" s="53"/>
      <c r="FN712" s="67"/>
      <c r="FO712" s="38"/>
      <c r="FP712" s="43"/>
      <c r="FQ712" s="548"/>
      <c r="FR712" s="53"/>
      <c r="FS712" s="53"/>
      <c r="FT712" s="53"/>
      <c r="FU712" s="53"/>
    </row>
    <row r="713" spans="3:177">
      <c r="C713" s="497"/>
      <c r="D713" s="114"/>
      <c r="E713" s="1163">
        <f>SUM(E709:E712)</f>
        <v>5.9899999999999523</v>
      </c>
      <c r="F713" s="1164">
        <f>SUM(F709:F712)</f>
        <v>32.440000000000737</v>
      </c>
      <c r="P713" s="214"/>
      <c r="R713" s="205"/>
      <c r="T713" s="53"/>
      <c r="V713" s="53"/>
      <c r="BR713" s="38"/>
      <c r="BS713" s="38"/>
      <c r="BT713" s="154"/>
      <c r="BU713" s="38"/>
      <c r="BX713" s="38"/>
      <c r="BY713" s="162"/>
      <c r="BZ713" s="166"/>
      <c r="CA713" s="53"/>
      <c r="CB713" s="153"/>
      <c r="CC713" s="53"/>
      <c r="CD713" s="53"/>
      <c r="CF713" s="53"/>
      <c r="CL713" s="171"/>
      <c r="CP713" s="53"/>
      <c r="CU713" s="153"/>
      <c r="CV713" s="153"/>
      <c r="CY713" s="53"/>
      <c r="CZ713" s="53"/>
      <c r="DA713" s="392"/>
      <c r="DD713" s="171"/>
      <c r="DE713" s="53"/>
      <c r="DH713" s="53"/>
      <c r="DM713" s="153"/>
      <c r="DN713" s="153"/>
      <c r="DR713" s="53"/>
      <c r="DS713" s="679"/>
      <c r="DT713" s="679"/>
      <c r="DU713" s="548"/>
      <c r="DV713" s="679"/>
      <c r="DW713" s="53"/>
      <c r="DX713" s="53"/>
      <c r="DY713" s="38"/>
      <c r="DZ713" s="53"/>
      <c r="ED713" s="53"/>
      <c r="EF713" s="38"/>
      <c r="EJ713" s="153"/>
      <c r="EK713" s="214"/>
      <c r="EL713" s="153"/>
      <c r="EM713" s="153"/>
      <c r="EO713" s="53"/>
      <c r="EP713" s="38"/>
      <c r="EQ713" s="38"/>
      <c r="ER713" s="38"/>
      <c r="ES713" s="38"/>
      <c r="EV713" s="53"/>
      <c r="EZ713" s="38"/>
      <c r="FA713" s="153"/>
      <c r="FB713" s="214"/>
      <c r="FC713" s="53"/>
      <c r="FD713" s="53"/>
      <c r="FE713" s="53"/>
      <c r="FF713" s="67"/>
      <c r="FG713" s="58"/>
      <c r="FH713" s="38"/>
      <c r="FJ713" s="53"/>
      <c r="FK713" s="53"/>
      <c r="FL713" s="53"/>
      <c r="FN713" s="67"/>
      <c r="FO713" s="38"/>
      <c r="FP713" s="43"/>
      <c r="FQ713" s="548"/>
      <c r="FR713" s="53"/>
      <c r="FS713" s="53"/>
      <c r="FT713" s="53"/>
      <c r="FU713" s="53"/>
    </row>
    <row r="714" spans="3:177">
      <c r="C714" s="497"/>
      <c r="D714" s="1256">
        <f>SUM(D709:D712)*100</f>
        <v>2800</v>
      </c>
      <c r="E714" s="114"/>
      <c r="F714" s="115"/>
      <c r="P714" s="214"/>
      <c r="R714" s="205"/>
      <c r="T714" s="53"/>
      <c r="V714" s="53"/>
      <c r="BR714" s="38"/>
      <c r="BS714" s="38"/>
      <c r="BT714" s="154"/>
      <c r="BU714" s="38"/>
      <c r="BX714" s="38"/>
      <c r="BY714" s="162"/>
      <c r="BZ714" s="166"/>
      <c r="CA714" s="53"/>
      <c r="CB714" s="153"/>
      <c r="CC714" s="53"/>
      <c r="CD714" s="53"/>
      <c r="CF714" s="53"/>
      <c r="CL714" s="171"/>
      <c r="CP714" s="53"/>
      <c r="CU714" s="153"/>
      <c r="CV714" s="153"/>
      <c r="CY714" s="53"/>
      <c r="CZ714" s="53"/>
      <c r="DA714" s="392"/>
      <c r="DD714" s="171"/>
      <c r="DE714" s="53"/>
      <c r="DH714" s="53"/>
      <c r="DM714" s="153"/>
      <c r="DN714" s="153"/>
      <c r="DR714" s="53"/>
      <c r="DS714" s="679"/>
      <c r="DT714" s="679"/>
      <c r="DU714" s="548"/>
      <c r="DV714" s="679"/>
      <c r="DW714" s="53"/>
      <c r="DX714" s="53"/>
      <c r="DY714" s="38"/>
      <c r="DZ714" s="53"/>
      <c r="ED714" s="53"/>
      <c r="EF714" s="38"/>
      <c r="EJ714" s="153"/>
      <c r="EK714" s="214"/>
      <c r="EL714" s="153"/>
      <c r="EM714" s="153"/>
      <c r="EO714" s="53"/>
      <c r="EP714" s="38"/>
      <c r="EQ714" s="38"/>
      <c r="ER714" s="38"/>
      <c r="ES714" s="38"/>
      <c r="EV714" s="53"/>
      <c r="EZ714" s="38"/>
      <c r="FA714" s="153"/>
      <c r="FB714" s="214"/>
      <c r="FC714" s="53"/>
      <c r="FD714" s="53"/>
      <c r="FE714" s="53"/>
      <c r="FF714" s="67"/>
      <c r="FG714" s="58"/>
      <c r="FH714" s="38"/>
      <c r="FJ714" s="53"/>
      <c r="FK714" s="53"/>
      <c r="FL714" s="53"/>
      <c r="FN714" s="67"/>
      <c r="FO714" s="38"/>
      <c r="FP714" s="43"/>
      <c r="FQ714" s="548"/>
      <c r="FR714" s="53"/>
      <c r="FS714" s="53"/>
      <c r="FT714" s="53"/>
      <c r="FU714" s="53"/>
    </row>
    <row r="715" spans="3:177">
      <c r="C715" s="497"/>
      <c r="D715" s="114"/>
      <c r="E715" s="116" t="s">
        <v>46</v>
      </c>
      <c r="F715" s="1165" t="s">
        <v>2264</v>
      </c>
      <c r="P715" s="214"/>
      <c r="R715" s="205"/>
      <c r="T715" s="53"/>
      <c r="V715" s="53"/>
      <c r="BR715" s="38"/>
      <c r="BS715" s="38"/>
      <c r="BT715" s="154"/>
      <c r="BU715" s="38"/>
      <c r="BX715" s="38"/>
      <c r="BY715" s="162"/>
      <c r="BZ715" s="166"/>
      <c r="CA715" s="53"/>
      <c r="CB715" s="153"/>
      <c r="CC715" s="53"/>
      <c r="CD715" s="53"/>
      <c r="CF715" s="53"/>
      <c r="CL715" s="171"/>
      <c r="CP715" s="53"/>
      <c r="CU715" s="153"/>
      <c r="CV715" s="153"/>
      <c r="CY715" s="53"/>
      <c r="CZ715" s="53"/>
      <c r="DA715" s="392"/>
      <c r="DD715" s="171"/>
      <c r="DE715" s="53"/>
      <c r="DH715" s="53"/>
      <c r="DM715" s="153"/>
      <c r="DN715" s="153"/>
      <c r="DR715" s="53"/>
      <c r="DS715" s="679"/>
      <c r="DT715" s="679"/>
      <c r="DU715" s="548"/>
      <c r="DV715" s="679"/>
      <c r="DW715" s="53"/>
      <c r="DX715" s="53"/>
      <c r="DY715" s="38"/>
      <c r="DZ715" s="53"/>
      <c r="ED715" s="53"/>
      <c r="EF715" s="38"/>
      <c r="EJ715" s="153"/>
      <c r="EK715" s="214"/>
      <c r="EL715" s="153"/>
      <c r="EM715" s="153"/>
      <c r="EO715" s="53"/>
      <c r="EP715" s="38"/>
      <c r="EQ715" s="38"/>
      <c r="ER715" s="38"/>
      <c r="ES715" s="38"/>
      <c r="EV715" s="53"/>
      <c r="EZ715" s="38"/>
      <c r="FA715" s="153"/>
      <c r="FB715" s="214"/>
      <c r="FC715" s="53"/>
      <c r="FD715" s="53"/>
      <c r="FE715" s="53"/>
      <c r="FF715" s="67"/>
      <c r="FG715" s="58"/>
      <c r="FH715" s="38"/>
      <c r="FJ715" s="53"/>
      <c r="FK715" s="53"/>
      <c r="FL715" s="53"/>
      <c r="FN715" s="67"/>
      <c r="FO715" s="38"/>
      <c r="FP715" s="43"/>
      <c r="FQ715" s="548"/>
      <c r="FR715" s="53"/>
      <c r="FS715" s="53"/>
      <c r="FT715" s="53"/>
      <c r="FU715" s="53"/>
    </row>
    <row r="716" spans="3:177" ht="13.5" thickBot="1">
      <c r="C716" s="1110"/>
      <c r="D716" s="635"/>
      <c r="E716" s="1166">
        <f>E713/D714</f>
        <v>2.1392857142856973E-3</v>
      </c>
      <c r="F716" s="1167">
        <f>F713/D714</f>
        <v>1.158571428571455E-2</v>
      </c>
      <c r="P716" s="214"/>
      <c r="R716" s="205"/>
      <c r="T716" s="53"/>
      <c r="V716" s="53"/>
      <c r="BR716" s="38"/>
      <c r="BS716" s="38"/>
      <c r="BT716" s="154"/>
      <c r="BU716" s="38"/>
      <c r="BX716" s="38"/>
      <c r="BY716" s="162"/>
      <c r="BZ716" s="166"/>
      <c r="CA716" s="53"/>
      <c r="CB716" s="153"/>
      <c r="CC716" s="53"/>
      <c r="CD716" s="53"/>
      <c r="CF716" s="53"/>
      <c r="CL716" s="171"/>
      <c r="CP716" s="53"/>
      <c r="CU716" s="153"/>
      <c r="CV716" s="153"/>
      <c r="CY716" s="53"/>
      <c r="CZ716" s="53"/>
      <c r="DA716" s="392"/>
      <c r="DD716" s="171"/>
      <c r="DE716" s="53"/>
      <c r="DH716" s="53"/>
      <c r="DM716" s="153"/>
      <c r="DN716" s="153"/>
      <c r="DR716" s="53"/>
      <c r="DS716" s="679"/>
      <c r="DT716" s="679"/>
      <c r="DU716" s="548"/>
      <c r="DV716" s="679"/>
      <c r="DW716" s="53"/>
      <c r="DX716" s="53"/>
      <c r="DY716" s="38"/>
      <c r="DZ716" s="53"/>
      <c r="ED716" s="53"/>
      <c r="EF716" s="38"/>
      <c r="EJ716" s="153"/>
      <c r="EK716" s="214"/>
      <c r="EL716" s="153"/>
      <c r="EM716" s="153"/>
      <c r="EO716" s="53"/>
      <c r="EP716" s="38"/>
      <c r="EQ716" s="38"/>
      <c r="ER716" s="38"/>
      <c r="ES716" s="38"/>
      <c r="EV716" s="53"/>
      <c r="EZ716" s="38"/>
      <c r="FA716" s="153"/>
      <c r="FB716" s="214"/>
      <c r="FC716" s="53"/>
      <c r="FD716" s="53"/>
      <c r="FE716" s="53"/>
      <c r="FF716" s="67"/>
      <c r="FG716" s="58"/>
      <c r="FH716" s="38"/>
      <c r="FJ716" s="53"/>
      <c r="FK716" s="53"/>
      <c r="FL716" s="53"/>
      <c r="FN716" s="67"/>
      <c r="FO716" s="38"/>
      <c r="FP716" s="43"/>
      <c r="FQ716" s="548"/>
      <c r="FR716" s="53"/>
      <c r="FS716" s="53"/>
      <c r="FT716" s="53"/>
      <c r="FU716" s="53"/>
    </row>
    <row r="717" spans="3:177">
      <c r="F717" s="153"/>
      <c r="P717" s="214"/>
      <c r="R717" s="205"/>
      <c r="T717" s="53"/>
      <c r="V717" s="53"/>
      <c r="BR717" s="38"/>
      <c r="BS717" s="38"/>
      <c r="BT717" s="154"/>
      <c r="BU717" s="38"/>
      <c r="BX717" s="38"/>
      <c r="BY717" s="162"/>
      <c r="BZ717" s="166"/>
      <c r="CA717" s="53"/>
      <c r="CB717" s="153"/>
      <c r="CC717" s="53"/>
      <c r="CD717" s="53"/>
      <c r="CF717" s="53"/>
      <c r="CL717" s="171"/>
      <c r="CP717" s="53"/>
      <c r="CU717" s="153"/>
      <c r="CV717" s="153"/>
      <c r="CY717" s="53"/>
      <c r="CZ717" s="53"/>
      <c r="DA717" s="392"/>
      <c r="DD717" s="171"/>
      <c r="DE717" s="53"/>
      <c r="DH717" s="53"/>
      <c r="DM717" s="153"/>
      <c r="DN717" s="153"/>
      <c r="DR717" s="53"/>
      <c r="DS717" s="679"/>
      <c r="DT717" s="679"/>
      <c r="DU717" s="548"/>
      <c r="DV717" s="679"/>
      <c r="DW717" s="53"/>
      <c r="DX717" s="53"/>
      <c r="DY717" s="38"/>
      <c r="DZ717" s="53"/>
      <c r="ED717" s="53"/>
      <c r="EF717" s="38"/>
      <c r="EJ717" s="153"/>
      <c r="EK717" s="214"/>
      <c r="EL717" s="153"/>
      <c r="EM717" s="153"/>
      <c r="EO717" s="53"/>
      <c r="EP717" s="38"/>
      <c r="EQ717" s="38"/>
      <c r="ER717" s="38"/>
      <c r="ES717" s="38"/>
      <c r="EV717" s="53"/>
      <c r="EZ717" s="38"/>
      <c r="FA717" s="153"/>
      <c r="FB717" s="214"/>
      <c r="FC717" s="53"/>
      <c r="FD717" s="53"/>
      <c r="FE717" s="53"/>
      <c r="FF717" s="67"/>
      <c r="FG717" s="58"/>
      <c r="FH717" s="38"/>
      <c r="FJ717" s="53"/>
      <c r="FK717" s="53"/>
      <c r="FL717" s="53"/>
      <c r="FN717" s="67"/>
      <c r="FO717" s="38"/>
      <c r="FP717" s="43"/>
      <c r="FQ717" s="548"/>
      <c r="FR717" s="53"/>
      <c r="FS717" s="53"/>
      <c r="FT717" s="53"/>
      <c r="FU717" s="53"/>
    </row>
    <row r="718" spans="3:177">
      <c r="F718" s="153"/>
      <c r="P718" s="214"/>
      <c r="R718" s="205"/>
      <c r="T718" s="53"/>
      <c r="V718" s="53"/>
      <c r="BR718" s="38"/>
      <c r="BS718" s="38"/>
      <c r="BT718" s="154"/>
      <c r="BU718" s="38"/>
      <c r="BX718" s="38"/>
      <c r="BY718" s="162"/>
      <c r="BZ718" s="166"/>
      <c r="CA718" s="53"/>
      <c r="CB718" s="153"/>
      <c r="CC718" s="53"/>
      <c r="CD718" s="53"/>
      <c r="CF718" s="53"/>
      <c r="CL718" s="171"/>
      <c r="CP718" s="53"/>
      <c r="CU718" s="153"/>
      <c r="CV718" s="153"/>
      <c r="CY718" s="53"/>
      <c r="CZ718" s="53"/>
      <c r="DA718" s="392"/>
      <c r="DD718" s="171"/>
      <c r="DE718" s="53"/>
      <c r="DH718" s="53"/>
      <c r="DM718" s="153"/>
      <c r="DN718" s="153"/>
      <c r="DR718" s="53"/>
      <c r="DS718" s="679"/>
      <c r="DT718" s="679"/>
      <c r="DU718" s="548"/>
      <c r="DV718" s="679"/>
      <c r="DW718" s="53"/>
      <c r="DX718" s="53"/>
      <c r="DY718" s="38"/>
      <c r="DZ718" s="53"/>
      <c r="ED718" s="53"/>
      <c r="EF718" s="38"/>
      <c r="EJ718" s="153"/>
      <c r="EK718" s="214"/>
      <c r="EL718" s="153"/>
      <c r="EM718" s="153"/>
      <c r="EO718" s="53"/>
      <c r="EP718" s="38"/>
      <c r="EQ718" s="38"/>
      <c r="ER718" s="38"/>
      <c r="ES718" s="38"/>
      <c r="EV718" s="53"/>
      <c r="EZ718" s="38"/>
      <c r="FA718" s="153"/>
      <c r="FB718" s="214"/>
      <c r="FC718" s="53"/>
      <c r="FD718" s="53"/>
      <c r="FE718" s="53"/>
      <c r="FF718" s="67"/>
      <c r="FG718" s="58"/>
      <c r="FH718" s="38"/>
      <c r="FJ718" s="53"/>
      <c r="FK718" s="53"/>
      <c r="FL718" s="53"/>
      <c r="FN718" s="67"/>
      <c r="FO718" s="38"/>
      <c r="FP718" s="43"/>
      <c r="FQ718" s="548"/>
      <c r="FR718" s="53"/>
      <c r="FS718" s="53"/>
      <c r="FT718" s="53"/>
      <c r="FU718" s="53"/>
    </row>
    <row r="719" spans="3:177">
      <c r="F719" s="153"/>
      <c r="P719" s="214"/>
      <c r="R719" s="205"/>
      <c r="T719" s="53"/>
      <c r="V719" s="53"/>
      <c r="BR719" s="38"/>
      <c r="BS719" s="38"/>
      <c r="BT719" s="154"/>
      <c r="BU719" s="38"/>
      <c r="BX719" s="38"/>
      <c r="BY719" s="162"/>
      <c r="BZ719" s="166"/>
      <c r="CA719" s="53"/>
      <c r="CB719" s="153"/>
      <c r="CC719" s="53"/>
      <c r="CD719" s="53"/>
      <c r="CF719" s="53"/>
      <c r="CL719" s="171"/>
      <c r="CP719" s="53"/>
      <c r="CU719" s="153"/>
      <c r="CV719" s="153"/>
      <c r="CY719" s="53"/>
      <c r="CZ719" s="53"/>
      <c r="DA719" s="392"/>
      <c r="DD719" s="171"/>
      <c r="DE719" s="53"/>
      <c r="DH719" s="53"/>
      <c r="DM719" s="153"/>
      <c r="DN719" s="153"/>
      <c r="DR719" s="53"/>
      <c r="DS719" s="679"/>
      <c r="DT719" s="679"/>
      <c r="DU719" s="548"/>
      <c r="DV719" s="679"/>
      <c r="DW719" s="53"/>
      <c r="DX719" s="53"/>
      <c r="DY719" s="38"/>
      <c r="DZ719" s="53"/>
      <c r="ED719" s="53"/>
      <c r="EF719" s="38"/>
      <c r="EJ719" s="153"/>
      <c r="EK719" s="214"/>
      <c r="EL719" s="153"/>
      <c r="EM719" s="153"/>
      <c r="EO719" s="53"/>
      <c r="EP719" s="38"/>
      <c r="EQ719" s="38"/>
      <c r="ER719" s="38"/>
      <c r="ES719" s="38"/>
      <c r="EV719" s="53"/>
      <c r="EZ719" s="38"/>
      <c r="FA719" s="153"/>
      <c r="FB719" s="214"/>
      <c r="FC719" s="53"/>
      <c r="FD719" s="53"/>
      <c r="FE719" s="53"/>
      <c r="FF719" s="67"/>
      <c r="FG719" s="58"/>
      <c r="FH719" s="38"/>
      <c r="FJ719" s="53"/>
      <c r="FK719" s="53"/>
      <c r="FL719" s="53"/>
      <c r="FN719" s="67"/>
      <c r="FO719" s="38"/>
      <c r="FP719" s="43"/>
      <c r="FQ719" s="548"/>
      <c r="FR719" s="53"/>
      <c r="FS719" s="53"/>
      <c r="FT719" s="53"/>
      <c r="FU719" s="53"/>
    </row>
    <row r="720" spans="3:177">
      <c r="F720" s="153"/>
      <c r="P720" s="214"/>
      <c r="R720" s="205"/>
      <c r="T720" s="53"/>
      <c r="V720" s="53"/>
      <c r="BR720" s="38"/>
      <c r="BS720" s="38"/>
      <c r="BT720" s="154"/>
      <c r="BU720" s="38"/>
      <c r="BX720" s="38"/>
      <c r="BY720" s="162"/>
      <c r="BZ720" s="166"/>
      <c r="CA720" s="53"/>
      <c r="CB720" s="153"/>
      <c r="CC720" s="53"/>
      <c r="CD720" s="53"/>
      <c r="CF720" s="53"/>
      <c r="CL720" s="171"/>
      <c r="CP720" s="53"/>
      <c r="CU720" s="153"/>
      <c r="CV720" s="153"/>
      <c r="CY720" s="53"/>
      <c r="CZ720" s="53"/>
      <c r="DA720" s="392"/>
      <c r="DD720" s="171"/>
      <c r="DE720" s="53"/>
      <c r="DH720" s="53"/>
      <c r="DM720" s="153"/>
      <c r="DN720" s="153"/>
      <c r="DR720" s="53"/>
      <c r="DS720" s="679"/>
      <c r="DT720" s="679"/>
      <c r="DU720" s="548"/>
      <c r="DV720" s="679"/>
      <c r="DW720" s="53"/>
      <c r="DX720" s="53"/>
      <c r="DY720" s="38"/>
      <c r="DZ720" s="53"/>
      <c r="ED720" s="53"/>
      <c r="EF720" s="38"/>
      <c r="EJ720" s="153"/>
      <c r="EK720" s="214"/>
      <c r="EL720" s="153"/>
      <c r="EM720" s="153"/>
      <c r="EO720" s="53"/>
      <c r="EP720" s="38"/>
      <c r="EQ720" s="38"/>
      <c r="ER720" s="38"/>
      <c r="ES720" s="38"/>
      <c r="EV720" s="53"/>
      <c r="EZ720" s="38"/>
      <c r="FA720" s="153"/>
      <c r="FB720" s="214"/>
      <c r="FC720" s="53"/>
      <c r="FD720" s="53"/>
      <c r="FE720" s="53"/>
      <c r="FF720" s="67"/>
      <c r="FG720" s="58"/>
      <c r="FH720" s="38"/>
      <c r="FJ720" s="53"/>
      <c r="FK720" s="53"/>
      <c r="FL720" s="53"/>
      <c r="FN720" s="67"/>
      <c r="FO720" s="38"/>
      <c r="FP720" s="43"/>
      <c r="FQ720" s="548"/>
      <c r="FR720" s="53"/>
      <c r="FS720" s="53"/>
      <c r="FT720" s="53"/>
      <c r="FU720" s="53"/>
    </row>
    <row r="721" spans="16:177">
      <c r="P721" s="214"/>
      <c r="R721" s="205"/>
      <c r="T721" s="53"/>
      <c r="V721" s="53"/>
      <c r="BR721" s="38"/>
      <c r="BS721" s="38"/>
      <c r="BT721" s="154"/>
      <c r="BU721" s="38"/>
      <c r="BX721" s="38"/>
      <c r="BY721" s="162"/>
      <c r="BZ721" s="166"/>
      <c r="CA721" s="53"/>
      <c r="CB721" s="153"/>
      <c r="CC721" s="53"/>
      <c r="CD721" s="53"/>
      <c r="CF721" s="53"/>
      <c r="CL721" s="171"/>
      <c r="CP721" s="53"/>
      <c r="CU721" s="153"/>
      <c r="CV721" s="153"/>
      <c r="CY721" s="53"/>
      <c r="CZ721" s="53"/>
      <c r="DA721" s="392"/>
      <c r="DD721" s="171"/>
      <c r="DE721" s="53"/>
      <c r="DH721" s="53"/>
      <c r="DM721" s="153"/>
      <c r="DN721" s="153"/>
      <c r="DR721" s="53"/>
      <c r="DS721" s="679"/>
      <c r="DT721" s="679"/>
      <c r="DU721" s="548"/>
      <c r="DV721" s="679"/>
      <c r="DW721" s="53"/>
      <c r="DX721" s="53"/>
      <c r="DY721" s="38"/>
      <c r="DZ721" s="53"/>
      <c r="ED721" s="53"/>
      <c r="EF721" s="38"/>
      <c r="EJ721" s="153"/>
      <c r="EK721" s="214"/>
      <c r="EL721" s="153"/>
      <c r="EM721" s="153"/>
      <c r="EO721" s="53"/>
      <c r="EP721" s="38"/>
      <c r="EQ721" s="38"/>
      <c r="ER721" s="38"/>
      <c r="EV721" s="53"/>
      <c r="EZ721" s="38"/>
      <c r="FA721" s="153"/>
      <c r="FB721" s="214"/>
      <c r="FC721" s="53"/>
      <c r="FD721" s="53"/>
      <c r="FE721" s="53"/>
      <c r="FF721" s="67"/>
      <c r="FG721" s="58"/>
      <c r="FH721" s="38"/>
      <c r="FJ721" s="53"/>
      <c r="FK721" s="53"/>
      <c r="FL721" s="53"/>
      <c r="FN721" s="67"/>
      <c r="FO721" s="38"/>
      <c r="FP721" s="43"/>
      <c r="FQ721" s="548"/>
      <c r="FR721" s="53"/>
      <c r="FS721" s="53"/>
      <c r="FT721" s="53"/>
      <c r="FU721" s="53"/>
    </row>
    <row r="722" spans="16:177">
      <c r="P722" s="214"/>
      <c r="R722" s="205"/>
      <c r="T722" s="53"/>
      <c r="V722" s="53"/>
      <c r="BR722" s="38"/>
      <c r="BS722" s="38"/>
      <c r="BT722" s="154"/>
      <c r="BU722" s="38"/>
      <c r="BX722" s="38"/>
      <c r="BY722" s="162"/>
      <c r="BZ722" s="166"/>
      <c r="CA722" s="53"/>
      <c r="CB722" s="153"/>
      <c r="CC722" s="53"/>
      <c r="CD722" s="53"/>
      <c r="CF722" s="53"/>
      <c r="CL722" s="171"/>
      <c r="CP722" s="53"/>
      <c r="CU722" s="153"/>
      <c r="CV722" s="153"/>
      <c r="CY722" s="53"/>
      <c r="CZ722" s="53"/>
      <c r="DA722" s="392"/>
      <c r="DD722" s="171"/>
      <c r="DE722" s="53"/>
      <c r="DH722" s="53"/>
      <c r="DM722" s="153"/>
      <c r="DN722" s="153"/>
      <c r="DR722" s="53"/>
      <c r="DS722" s="679"/>
      <c r="DT722" s="679"/>
      <c r="DU722" s="548"/>
      <c r="DV722" s="679"/>
      <c r="DW722" s="53"/>
      <c r="DX722" s="53"/>
      <c r="DY722" s="38"/>
      <c r="DZ722" s="53"/>
      <c r="ED722" s="53"/>
      <c r="EF722" s="38"/>
      <c r="EJ722" s="153"/>
      <c r="EK722" s="214"/>
      <c r="EL722" s="153"/>
      <c r="EM722" s="153"/>
      <c r="EO722" s="53"/>
      <c r="EP722" s="38"/>
      <c r="EQ722" s="38"/>
      <c r="ER722" s="38"/>
      <c r="EV722" s="53"/>
      <c r="EZ722" s="38"/>
      <c r="FA722" s="153"/>
      <c r="FB722" s="214"/>
      <c r="FC722" s="53"/>
      <c r="FD722" s="53"/>
      <c r="FE722" s="53"/>
      <c r="FF722" s="67"/>
      <c r="FG722" s="58"/>
      <c r="FH722" s="38"/>
      <c r="FJ722" s="53"/>
      <c r="FK722" s="53"/>
      <c r="FL722" s="53"/>
      <c r="FN722" s="67"/>
      <c r="FO722" s="38"/>
      <c r="FP722" s="43"/>
      <c r="FQ722" s="548"/>
      <c r="FR722" s="53"/>
      <c r="FS722" s="53"/>
      <c r="FT722" s="53"/>
      <c r="FU722" s="53"/>
    </row>
    <row r="723" spans="16:177">
      <c r="P723" s="214"/>
      <c r="R723" s="205"/>
      <c r="T723" s="53"/>
      <c r="V723" s="53"/>
      <c r="BR723" s="38"/>
      <c r="BS723" s="38"/>
      <c r="BT723" s="154"/>
      <c r="BU723" s="38"/>
      <c r="BX723" s="38"/>
      <c r="BY723" s="162"/>
      <c r="BZ723" s="166"/>
      <c r="CA723" s="53"/>
      <c r="CB723" s="153"/>
      <c r="CC723" s="53"/>
      <c r="CD723" s="53"/>
      <c r="CF723" s="53"/>
      <c r="CL723" s="171"/>
      <c r="CP723" s="53"/>
      <c r="CU723" s="153"/>
      <c r="CV723" s="153"/>
      <c r="CY723" s="53"/>
      <c r="CZ723" s="53"/>
      <c r="DA723" s="392"/>
      <c r="DD723" s="171"/>
      <c r="DE723" s="53"/>
      <c r="DH723" s="53"/>
      <c r="DM723" s="153"/>
      <c r="DN723" s="153"/>
      <c r="DR723" s="53"/>
      <c r="DS723" s="679"/>
      <c r="DT723" s="679"/>
      <c r="DU723" s="548"/>
      <c r="DV723" s="679"/>
      <c r="DW723" s="53"/>
      <c r="DX723" s="53"/>
      <c r="DY723" s="38"/>
      <c r="DZ723" s="53"/>
      <c r="ED723" s="53"/>
      <c r="EF723" s="38"/>
      <c r="EJ723" s="153"/>
      <c r="EK723" s="214"/>
      <c r="EL723" s="153"/>
      <c r="EM723" s="153"/>
      <c r="EO723" s="53"/>
      <c r="EP723" s="38"/>
      <c r="EQ723" s="38"/>
      <c r="ER723" s="38"/>
      <c r="EV723" s="53"/>
      <c r="EZ723" s="38"/>
      <c r="FA723" s="153"/>
      <c r="FB723" s="214"/>
      <c r="FC723" s="53"/>
      <c r="FD723" s="53"/>
      <c r="FE723" s="53"/>
      <c r="FF723" s="67"/>
      <c r="FG723" s="58"/>
      <c r="FH723" s="38"/>
      <c r="FJ723" s="53"/>
      <c r="FK723" s="53"/>
      <c r="FL723" s="53"/>
      <c r="FN723" s="67"/>
      <c r="FO723" s="38"/>
      <c r="FP723" s="43"/>
      <c r="FQ723" s="548"/>
      <c r="FR723" s="53"/>
      <c r="FS723" s="53"/>
      <c r="FT723" s="53"/>
      <c r="FU723" s="53"/>
    </row>
    <row r="724" spans="16:177">
      <c r="P724" s="214"/>
      <c r="R724" s="205"/>
      <c r="T724" s="53"/>
      <c r="V724" s="53"/>
      <c r="BR724" s="38"/>
      <c r="BS724" s="38"/>
      <c r="BT724" s="154"/>
      <c r="BU724" s="38"/>
      <c r="BX724" s="38"/>
      <c r="BY724" s="162"/>
      <c r="BZ724" s="166"/>
      <c r="CA724" s="53"/>
      <c r="CB724" s="153"/>
      <c r="CC724" s="53"/>
      <c r="CD724" s="53"/>
      <c r="CF724" s="53"/>
      <c r="CL724" s="171"/>
      <c r="CP724" s="53"/>
      <c r="CU724" s="153"/>
      <c r="CV724" s="153"/>
      <c r="CY724" s="53"/>
      <c r="CZ724" s="53"/>
      <c r="DA724" s="392"/>
      <c r="DD724" s="171"/>
      <c r="DE724" s="53"/>
      <c r="DH724" s="53"/>
      <c r="DM724" s="153"/>
      <c r="DN724" s="153"/>
      <c r="DR724" s="53"/>
      <c r="DS724" s="679"/>
      <c r="DT724" s="679"/>
      <c r="DU724" s="548"/>
      <c r="DV724" s="679"/>
      <c r="DW724" s="53"/>
      <c r="DX724" s="53"/>
      <c r="DY724" s="38"/>
      <c r="DZ724" s="53"/>
      <c r="ED724" s="53"/>
      <c r="EF724" s="38"/>
      <c r="EJ724" s="153"/>
      <c r="EK724" s="214"/>
      <c r="EL724" s="153"/>
      <c r="EM724" s="153"/>
      <c r="EO724" s="53"/>
      <c r="EP724" s="38"/>
      <c r="EQ724" s="38"/>
      <c r="ER724" s="38"/>
      <c r="EV724" s="53"/>
      <c r="EZ724" s="38"/>
      <c r="FA724" s="153"/>
      <c r="FB724" s="214"/>
      <c r="FC724" s="53"/>
      <c r="FD724" s="53"/>
      <c r="FE724" s="53"/>
      <c r="FF724" s="67"/>
      <c r="FG724" s="58"/>
      <c r="FH724" s="38"/>
      <c r="FJ724" s="53"/>
      <c r="FK724" s="53"/>
      <c r="FL724" s="53"/>
      <c r="FN724" s="67"/>
      <c r="FO724" s="38"/>
      <c r="FP724" s="43"/>
      <c r="FQ724" s="548"/>
      <c r="FR724" s="53"/>
      <c r="FS724" s="53"/>
      <c r="FT724" s="53"/>
      <c r="FU724" s="53"/>
    </row>
    <row r="725" spans="16:177">
      <c r="P725" s="214"/>
      <c r="R725" s="205"/>
      <c r="T725" s="53"/>
      <c r="V725" s="53"/>
      <c r="BR725" s="38"/>
      <c r="BS725" s="38"/>
      <c r="BT725" s="154"/>
      <c r="BU725" s="38"/>
      <c r="BX725" s="38"/>
      <c r="BY725" s="162"/>
      <c r="BZ725" s="166"/>
      <c r="CA725" s="53"/>
      <c r="CB725" s="153"/>
      <c r="CC725" s="53"/>
      <c r="CD725" s="53"/>
      <c r="CF725" s="53"/>
      <c r="CL725" s="171"/>
      <c r="CP725" s="53"/>
      <c r="CU725" s="153"/>
      <c r="CV725" s="153"/>
      <c r="CY725" s="53"/>
      <c r="CZ725" s="53"/>
      <c r="DA725" s="392"/>
      <c r="DD725" s="171"/>
      <c r="DE725" s="53"/>
      <c r="DH725" s="53"/>
      <c r="DM725" s="153"/>
      <c r="DN725" s="153"/>
      <c r="DR725" s="53"/>
      <c r="DS725" s="679"/>
      <c r="DT725" s="679"/>
      <c r="DU725" s="548"/>
      <c r="DV725" s="679"/>
      <c r="DW725" s="53"/>
      <c r="DX725" s="53"/>
      <c r="DY725" s="38"/>
      <c r="DZ725" s="53"/>
      <c r="ED725" s="53"/>
      <c r="EF725" s="38"/>
      <c r="EJ725" s="153"/>
      <c r="EK725" s="214"/>
      <c r="EL725" s="153"/>
      <c r="EM725" s="153"/>
      <c r="EO725" s="53"/>
      <c r="EP725" s="38"/>
      <c r="EQ725" s="38"/>
      <c r="ER725" s="38"/>
      <c r="EV725" s="53"/>
      <c r="EZ725" s="38"/>
      <c r="FA725" s="153"/>
      <c r="FB725" s="214"/>
      <c r="FC725" s="53"/>
      <c r="FD725" s="53"/>
      <c r="FE725" s="53"/>
      <c r="FF725" s="67"/>
      <c r="FG725" s="58"/>
      <c r="FH725" s="38"/>
      <c r="FJ725" s="53"/>
      <c r="FK725" s="53"/>
      <c r="FL725" s="53"/>
      <c r="FN725" s="67"/>
      <c r="FO725" s="38"/>
      <c r="FP725" s="43"/>
      <c r="FQ725" s="548"/>
      <c r="FR725" s="53"/>
      <c r="FS725" s="53"/>
      <c r="FT725" s="53"/>
      <c r="FU725" s="53"/>
    </row>
    <row r="726" spans="16:177">
      <c r="P726" s="214"/>
      <c r="R726" s="205"/>
      <c r="T726" s="53"/>
      <c r="V726" s="53"/>
      <c r="BR726" s="38"/>
      <c r="BS726" s="38"/>
      <c r="BT726" s="154"/>
      <c r="BU726" s="38"/>
      <c r="BX726" s="38"/>
      <c r="BY726" s="162"/>
      <c r="BZ726" s="166"/>
      <c r="CA726" s="53"/>
      <c r="CB726" s="153"/>
      <c r="CC726" s="53"/>
      <c r="CD726" s="53"/>
      <c r="CF726" s="53"/>
      <c r="CL726" s="171"/>
      <c r="CP726" s="53"/>
      <c r="CU726" s="153"/>
      <c r="CV726" s="153"/>
      <c r="CY726" s="53"/>
      <c r="CZ726" s="53"/>
      <c r="DA726" s="392"/>
      <c r="DD726" s="171"/>
      <c r="DE726" s="53"/>
      <c r="DH726" s="53"/>
      <c r="DM726" s="153"/>
      <c r="DN726" s="153"/>
      <c r="DR726" s="53"/>
      <c r="DS726" s="679"/>
      <c r="DT726" s="679"/>
      <c r="DU726" s="548"/>
      <c r="DV726" s="679"/>
      <c r="DW726" s="53"/>
      <c r="DX726" s="53"/>
      <c r="DY726" s="38"/>
      <c r="DZ726" s="53"/>
      <c r="ED726" s="53"/>
      <c r="EF726" s="38"/>
      <c r="EJ726" s="153"/>
      <c r="EK726" s="214"/>
      <c r="EL726" s="153"/>
      <c r="EM726" s="153"/>
      <c r="EO726" s="53"/>
      <c r="EP726" s="38"/>
      <c r="EQ726" s="38"/>
      <c r="ER726" s="38"/>
      <c r="EV726" s="53"/>
      <c r="EZ726" s="38"/>
      <c r="FA726" s="153"/>
      <c r="FB726" s="214"/>
      <c r="FC726" s="53"/>
      <c r="FD726" s="53"/>
      <c r="FE726" s="53"/>
      <c r="FF726" s="67"/>
      <c r="FG726" s="58"/>
      <c r="FH726" s="38"/>
      <c r="FJ726" s="53"/>
      <c r="FK726" s="53"/>
      <c r="FL726" s="53"/>
      <c r="FN726" s="67"/>
      <c r="FO726" s="38"/>
      <c r="FP726" s="43"/>
      <c r="FQ726" s="548"/>
      <c r="FR726" s="53"/>
      <c r="FS726" s="53"/>
      <c r="FT726" s="53"/>
      <c r="FU726" s="53"/>
    </row>
    <row r="727" spans="16:177">
      <c r="P727" s="214"/>
      <c r="R727" s="205"/>
      <c r="T727" s="53"/>
      <c r="V727" s="53"/>
      <c r="BR727" s="38"/>
      <c r="BS727" s="38"/>
      <c r="BT727" s="154"/>
      <c r="BU727" s="38"/>
      <c r="BX727" s="38"/>
      <c r="BY727" s="162"/>
      <c r="BZ727" s="166"/>
      <c r="CA727" s="53"/>
      <c r="CB727" s="153"/>
      <c r="CC727" s="53"/>
      <c r="CD727" s="53"/>
      <c r="CF727" s="53"/>
      <c r="CL727" s="171"/>
      <c r="CP727" s="53"/>
      <c r="CU727" s="153"/>
      <c r="CV727" s="153"/>
      <c r="CY727" s="53"/>
      <c r="CZ727" s="53"/>
      <c r="DA727" s="392"/>
      <c r="DD727" s="171"/>
      <c r="DE727" s="53"/>
      <c r="DH727" s="53"/>
      <c r="DM727" s="153"/>
      <c r="DN727" s="153"/>
      <c r="DR727" s="53"/>
      <c r="DS727" s="679"/>
      <c r="DT727" s="679"/>
      <c r="DU727" s="548"/>
      <c r="DV727" s="679"/>
      <c r="DW727" s="53"/>
      <c r="DX727" s="53"/>
      <c r="DY727" s="38"/>
      <c r="DZ727" s="53"/>
      <c r="ED727" s="53"/>
      <c r="EF727" s="38"/>
      <c r="EJ727" s="153"/>
      <c r="EK727" s="214"/>
      <c r="EL727" s="153"/>
      <c r="EM727" s="153"/>
      <c r="EO727" s="53"/>
      <c r="EP727" s="38"/>
      <c r="EQ727" s="38"/>
      <c r="ER727" s="38"/>
      <c r="EV727" s="53"/>
      <c r="EZ727" s="38"/>
      <c r="FA727" s="153"/>
      <c r="FB727" s="214"/>
      <c r="FC727" s="53"/>
      <c r="FD727" s="53"/>
      <c r="FE727" s="53"/>
      <c r="FF727" s="67"/>
      <c r="FG727" s="58"/>
      <c r="FH727" s="38"/>
      <c r="FJ727" s="53"/>
      <c r="FK727" s="53"/>
      <c r="FL727" s="53"/>
      <c r="FN727" s="67"/>
      <c r="FO727" s="38"/>
      <c r="FP727" s="43"/>
      <c r="FQ727" s="548"/>
      <c r="FR727" s="53"/>
      <c r="FS727" s="53"/>
      <c r="FT727" s="53"/>
      <c r="FU727" s="53"/>
    </row>
    <row r="728" spans="16:177">
      <c r="P728" s="214"/>
      <c r="R728" s="205"/>
      <c r="T728" s="53"/>
      <c r="V728" s="53"/>
      <c r="BX728" s="38"/>
      <c r="BY728" s="162"/>
      <c r="BZ728" s="166"/>
      <c r="CA728" s="53"/>
      <c r="CB728" s="153"/>
      <c r="CC728" s="53"/>
      <c r="CD728" s="53"/>
      <c r="CF728" s="53"/>
      <c r="CP728" s="53"/>
      <c r="CU728" s="153"/>
      <c r="CV728" s="153"/>
      <c r="CY728" s="53"/>
      <c r="CZ728" s="53"/>
      <c r="DA728" s="392"/>
      <c r="DH728" s="53"/>
      <c r="DM728" s="153"/>
      <c r="DN728" s="153"/>
      <c r="DR728" s="53"/>
      <c r="DS728" s="679"/>
      <c r="DT728" s="679"/>
      <c r="DU728" s="548"/>
      <c r="DV728" s="679"/>
      <c r="DW728" s="53"/>
      <c r="DX728" s="53"/>
      <c r="DY728" s="38"/>
      <c r="DZ728" s="53"/>
      <c r="ED728" s="53"/>
      <c r="EF728" s="38"/>
      <c r="EJ728" s="153"/>
      <c r="EK728" s="214"/>
      <c r="EL728" s="153"/>
      <c r="EM728" s="153"/>
      <c r="EO728" s="53"/>
      <c r="EP728" s="38"/>
      <c r="EQ728" s="38"/>
      <c r="ER728" s="38"/>
      <c r="EV728" s="53"/>
      <c r="EZ728" s="38"/>
      <c r="FA728" s="153"/>
      <c r="FB728" s="214"/>
      <c r="FC728" s="53"/>
      <c r="FD728" s="53"/>
      <c r="FE728" s="53"/>
      <c r="FF728" s="67"/>
    </row>
    <row r="729" spans="16:177">
      <c r="BX729" s="38"/>
      <c r="BY729" s="162"/>
      <c r="BZ729" s="166"/>
      <c r="CA729" s="53"/>
      <c r="CB729" s="153"/>
      <c r="CC729" s="53"/>
      <c r="CD729" s="53"/>
      <c r="CF729" s="53"/>
      <c r="CP729" s="53"/>
      <c r="CU729" s="153"/>
      <c r="CV729" s="153"/>
      <c r="CY729" s="53"/>
      <c r="CZ729" s="53"/>
      <c r="DA729" s="392"/>
      <c r="DH729" s="53"/>
      <c r="DM729" s="153"/>
      <c r="DN729" s="153"/>
      <c r="DR729" s="53"/>
      <c r="DS729" s="679"/>
      <c r="DT729" s="679"/>
      <c r="DU729" s="548"/>
      <c r="DV729" s="679"/>
      <c r="DW729" s="53"/>
      <c r="DX729" s="53"/>
      <c r="DY729" s="38"/>
      <c r="DZ729" s="53"/>
      <c r="ED729" s="53"/>
      <c r="EF729" s="38"/>
      <c r="EJ729" s="153"/>
      <c r="EK729" s="214"/>
      <c r="EL729" s="153"/>
      <c r="EM729" s="153"/>
      <c r="EO729" s="53"/>
      <c r="EP729" s="38"/>
      <c r="EQ729" s="38"/>
      <c r="ER729" s="38"/>
      <c r="EV729" s="53"/>
      <c r="EZ729" s="38"/>
      <c r="FA729" s="153"/>
      <c r="FB729" s="214"/>
      <c r="FC729" s="53"/>
      <c r="FD729" s="53"/>
      <c r="FE729" s="53"/>
      <c r="FF729" s="67"/>
    </row>
    <row r="730" spans="16:177">
      <c r="BX730" s="38"/>
      <c r="BY730" s="162"/>
      <c r="BZ730" s="166"/>
      <c r="CA730" s="53"/>
      <c r="CB730" s="153"/>
      <c r="CC730" s="53"/>
      <c r="CD730" s="53"/>
      <c r="CF730" s="53"/>
      <c r="CP730" s="53"/>
      <c r="CU730" s="153"/>
      <c r="CV730" s="153"/>
      <c r="CY730" s="53"/>
      <c r="CZ730" s="53"/>
      <c r="DA730" s="392"/>
      <c r="DH730" s="53"/>
      <c r="DM730" s="153"/>
      <c r="DN730" s="153"/>
      <c r="DR730" s="53"/>
      <c r="DS730" s="679"/>
      <c r="DT730" s="679"/>
      <c r="DU730" s="548"/>
      <c r="DV730" s="679"/>
      <c r="DW730" s="53"/>
      <c r="DX730" s="53"/>
      <c r="DY730" s="38"/>
      <c r="DZ730" s="53"/>
      <c r="ED730" s="53"/>
      <c r="EF730" s="38"/>
      <c r="EJ730" s="153"/>
      <c r="EK730" s="214"/>
      <c r="EL730" s="153"/>
      <c r="EM730" s="153"/>
      <c r="EO730" s="53"/>
      <c r="EP730" s="38"/>
      <c r="EQ730" s="38"/>
      <c r="ER730" s="38"/>
      <c r="EV730" s="53"/>
      <c r="EZ730" s="38"/>
      <c r="FA730" s="153"/>
      <c r="FB730" s="214"/>
      <c r="FC730" s="53"/>
      <c r="FD730" s="53"/>
      <c r="FE730" s="53"/>
      <c r="FF730" s="67"/>
    </row>
    <row r="731" spans="16:177">
      <c r="BX731" s="38"/>
      <c r="BY731" s="162"/>
      <c r="BZ731" s="166"/>
      <c r="CA731" s="53"/>
      <c r="CB731" s="153"/>
      <c r="CC731" s="53"/>
      <c r="CD731" s="53"/>
      <c r="CF731" s="53"/>
      <c r="CP731" s="53"/>
      <c r="CU731" s="153"/>
      <c r="CV731" s="153"/>
      <c r="CY731" s="53"/>
      <c r="CZ731" s="53"/>
      <c r="DA731" s="392"/>
      <c r="DH731" s="53"/>
      <c r="DM731" s="153"/>
      <c r="DN731" s="153"/>
      <c r="DR731" s="53"/>
      <c r="DS731" s="679"/>
      <c r="DT731" s="679"/>
      <c r="DU731" s="548"/>
      <c r="DV731" s="679"/>
      <c r="DW731" s="53"/>
      <c r="DX731" s="53"/>
      <c r="DY731" s="38"/>
      <c r="DZ731" s="53"/>
      <c r="ED731" s="53"/>
      <c r="EF731" s="38"/>
      <c r="EJ731" s="153"/>
      <c r="EK731" s="214"/>
      <c r="EL731" s="153"/>
      <c r="EM731" s="153"/>
      <c r="EO731" s="53"/>
      <c r="EP731" s="38"/>
      <c r="EQ731" s="38"/>
      <c r="ER731" s="38"/>
      <c r="EV731" s="53"/>
      <c r="EZ731" s="38"/>
      <c r="FA731" s="153"/>
      <c r="FB731" s="214"/>
      <c r="FC731" s="53"/>
      <c r="FD731" s="53"/>
      <c r="FE731" s="53"/>
      <c r="FF731" s="67"/>
    </row>
    <row r="732" spans="16:177">
      <c r="ED732" s="53"/>
      <c r="EF732" s="38"/>
      <c r="EJ732" s="153"/>
      <c r="EK732" s="214"/>
      <c r="EL732" s="153"/>
      <c r="EM732" s="153"/>
      <c r="EO732" s="53"/>
      <c r="EP732" s="38"/>
      <c r="EQ732" s="38"/>
      <c r="ER732" s="38"/>
      <c r="EV732" s="53"/>
      <c r="EZ732" s="38"/>
      <c r="FA732" s="153"/>
      <c r="FB732" s="214"/>
      <c r="FC732" s="53"/>
      <c r="FD732" s="53"/>
      <c r="FE732" s="53"/>
      <c r="FF732" s="67"/>
    </row>
    <row r="733" spans="16:177">
      <c r="ED733" s="53"/>
      <c r="EF733" s="38"/>
      <c r="EJ733" s="153"/>
      <c r="EK733" s="214"/>
      <c r="EL733" s="153"/>
      <c r="EM733" s="153"/>
      <c r="EO733" s="53"/>
      <c r="EP733" s="38"/>
      <c r="EQ733" s="38"/>
      <c r="ER733" s="38"/>
      <c r="EV733" s="53"/>
      <c r="EZ733" s="38"/>
      <c r="FA733" s="153"/>
      <c r="FB733" s="214"/>
      <c r="FC733" s="53"/>
      <c r="FD733" s="53"/>
      <c r="FE733" s="53"/>
      <c r="FF733" s="67"/>
    </row>
    <row r="734" spans="16:177">
      <c r="ED734" s="53"/>
      <c r="EF734" s="38"/>
      <c r="EJ734" s="153"/>
      <c r="EK734" s="214"/>
      <c r="EL734" s="153"/>
      <c r="EM734" s="153"/>
      <c r="EO734" s="53"/>
      <c r="EP734" s="38"/>
      <c r="EQ734" s="38"/>
      <c r="ER734" s="38"/>
      <c r="EV734" s="53"/>
      <c r="EZ734" s="38"/>
      <c r="FA734" s="153"/>
      <c r="FB734" s="214"/>
      <c r="FC734" s="53"/>
      <c r="FD734" s="53"/>
      <c r="FE734" s="53"/>
      <c r="FF734" s="67"/>
    </row>
    <row r="735" spans="16:177">
      <c r="ED735" s="53"/>
      <c r="EF735" s="38"/>
      <c r="EJ735" s="153"/>
      <c r="EK735" s="214"/>
      <c r="EL735" s="153"/>
      <c r="EM735" s="153"/>
      <c r="EO735" s="53"/>
      <c r="EP735" s="38"/>
      <c r="EQ735" s="38"/>
      <c r="ER735" s="38"/>
      <c r="EV735" s="53"/>
      <c r="EZ735" s="38"/>
      <c r="FA735" s="153"/>
      <c r="FB735" s="214"/>
      <c r="FC735" s="53"/>
      <c r="FD735" s="53"/>
      <c r="FE735" s="53"/>
      <c r="FF735" s="67"/>
    </row>
    <row r="736" spans="16:177">
      <c r="ED736" s="53"/>
      <c r="EF736" s="38"/>
      <c r="EJ736" s="153"/>
      <c r="EK736" s="214"/>
      <c r="EL736" s="153"/>
      <c r="EM736" s="153"/>
      <c r="EO736" s="53"/>
      <c r="EP736" s="38"/>
      <c r="EQ736" s="38"/>
      <c r="ER736" s="38"/>
      <c r="EV736" s="53"/>
      <c r="EZ736" s="38"/>
      <c r="FA736" s="153"/>
      <c r="FB736" s="214"/>
      <c r="FC736" s="53"/>
      <c r="FD736" s="53"/>
      <c r="FE736" s="53"/>
      <c r="FF736" s="67"/>
    </row>
    <row r="737" spans="134:162">
      <c r="ED737" s="53"/>
      <c r="EF737" s="38"/>
      <c r="EJ737" s="153"/>
      <c r="EK737" s="214"/>
      <c r="EL737" s="153"/>
      <c r="EM737" s="153"/>
      <c r="EO737" s="53"/>
      <c r="EP737" s="38"/>
      <c r="EQ737" s="38"/>
      <c r="ER737" s="38"/>
      <c r="EV737" s="53"/>
      <c r="EZ737" s="38"/>
      <c r="FA737" s="153"/>
      <c r="FB737" s="214"/>
      <c r="FC737" s="53"/>
      <c r="FD737" s="53"/>
      <c r="FE737" s="53"/>
      <c r="FF737" s="67"/>
    </row>
    <row r="738" spans="134:162">
      <c r="ED738" s="53"/>
      <c r="EF738" s="38"/>
      <c r="EJ738" s="153"/>
      <c r="EK738" s="214"/>
      <c r="EL738" s="153"/>
      <c r="EM738" s="153"/>
      <c r="EO738" s="53"/>
      <c r="EP738" s="38"/>
      <c r="EQ738" s="38"/>
      <c r="ER738" s="38"/>
      <c r="EV738" s="53"/>
      <c r="EZ738" s="38"/>
      <c r="FA738" s="153"/>
      <c r="FB738" s="214"/>
      <c r="FC738" s="53"/>
      <c r="FD738" s="53"/>
      <c r="FE738" s="53"/>
      <c r="FF738" s="67"/>
    </row>
    <row r="739" spans="134:162">
      <c r="EV739" s="53"/>
      <c r="EZ739" s="38"/>
      <c r="FA739" s="153"/>
      <c r="FB739" s="214"/>
      <c r="FC739" s="53"/>
      <c r="FD739" s="53"/>
      <c r="FE739" s="53"/>
      <c r="FF739" s="67"/>
    </row>
    <row r="740" spans="134:162">
      <c r="EV740" s="53"/>
      <c r="EZ740" s="38"/>
      <c r="FA740" s="153"/>
      <c r="FB740" s="214"/>
      <c r="FC740" s="53"/>
      <c r="FD740" s="53"/>
      <c r="FE740" s="53"/>
      <c r="FF740" s="67"/>
    </row>
    <row r="741" spans="134:162">
      <c r="EV741" s="53"/>
      <c r="EZ741" s="38"/>
      <c r="FA741" s="153"/>
      <c r="FB741" s="214"/>
      <c r="FC741" s="53"/>
      <c r="FD741" s="53"/>
      <c r="FE741" s="53"/>
      <c r="FF741" s="67"/>
    </row>
    <row r="742" spans="134:162">
      <c r="EV742" s="53"/>
      <c r="EZ742" s="38"/>
      <c r="FA742" s="153"/>
      <c r="FB742" s="214"/>
      <c r="FC742" s="53"/>
      <c r="FD742" s="53"/>
      <c r="FE742" s="53"/>
      <c r="FF742" s="67"/>
    </row>
    <row r="743" spans="134:162">
      <c r="EV743" s="53"/>
      <c r="EZ743" s="38"/>
      <c r="FA743" s="153"/>
      <c r="FB743" s="214"/>
      <c r="FC743" s="53"/>
      <c r="FD743" s="53"/>
      <c r="FE743" s="53"/>
      <c r="FF743" s="67"/>
    </row>
    <row r="744" spans="134:162">
      <c r="EV744" s="53"/>
      <c r="EZ744" s="38"/>
      <c r="FA744" s="153"/>
      <c r="FB744" s="214"/>
      <c r="FC744" s="53"/>
      <c r="FD744" s="53"/>
      <c r="FE744" s="53"/>
      <c r="FF744" s="67"/>
    </row>
    <row r="745" spans="134:162">
      <c r="EV745" s="53"/>
      <c r="EZ745" s="38"/>
      <c r="FA745" s="153"/>
      <c r="FB745" s="214"/>
      <c r="FC745" s="53"/>
      <c r="FD745" s="53"/>
      <c r="FE745" s="53"/>
      <c r="FF745" s="67"/>
    </row>
    <row r="746" spans="134:162">
      <c r="EV746" s="53"/>
      <c r="EZ746" s="38"/>
      <c r="FA746" s="153"/>
      <c r="FB746" s="214"/>
      <c r="FC746" s="53"/>
      <c r="FD746" s="53"/>
      <c r="FE746" s="53"/>
      <c r="FF746" s="67"/>
    </row>
    <row r="747" spans="134:162">
      <c r="EV747" s="53"/>
      <c r="EZ747" s="38"/>
      <c r="FA747" s="153"/>
      <c r="FB747" s="214"/>
      <c r="FC747" s="53"/>
      <c r="FD747" s="53"/>
      <c r="FE747" s="53"/>
      <c r="FF747" s="67"/>
    </row>
    <row r="748" spans="134:162">
      <c r="EV748" s="53"/>
      <c r="EZ748" s="38"/>
      <c r="FA748" s="153"/>
      <c r="FB748" s="214"/>
      <c r="FC748" s="53"/>
      <c r="FD748" s="53"/>
      <c r="FE748" s="53"/>
      <c r="FF748" s="67"/>
    </row>
    <row r="749" spans="134:162">
      <c r="EV749" s="53"/>
      <c r="EZ749" s="38"/>
      <c r="FA749" s="153"/>
      <c r="FB749" s="214"/>
      <c r="FC749" s="53"/>
      <c r="FD749" s="53"/>
      <c r="FE749" s="53"/>
      <c r="FF749" s="67"/>
    </row>
    <row r="750" spans="134:162">
      <c r="EV750" s="53"/>
      <c r="EZ750" s="38"/>
      <c r="FA750" s="153"/>
      <c r="FB750" s="214"/>
      <c r="FC750" s="53"/>
      <c r="FD750" s="53"/>
      <c r="FE750" s="53"/>
      <c r="FF750" s="67"/>
    </row>
    <row r="751" spans="134:162">
      <c r="EV751" s="53"/>
      <c r="EZ751" s="38"/>
      <c r="FA751" s="153"/>
      <c r="FB751" s="214"/>
      <c r="FC751" s="53"/>
      <c r="FD751" s="53"/>
      <c r="FE751" s="53"/>
      <c r="FF751" s="67"/>
    </row>
    <row r="752" spans="134:162">
      <c r="EV752" s="53"/>
      <c r="EZ752" s="38"/>
      <c r="FA752" s="153"/>
      <c r="FB752" s="214"/>
      <c r="FC752" s="53"/>
      <c r="FD752" s="53"/>
      <c r="FE752" s="53"/>
      <c r="FF752" s="67"/>
    </row>
    <row r="753" spans="152:162">
      <c r="EV753" s="53"/>
      <c r="EZ753" s="38"/>
      <c r="FA753" s="153"/>
      <c r="FB753" s="214"/>
      <c r="FC753" s="53"/>
      <c r="FD753" s="53"/>
      <c r="FE753" s="53"/>
      <c r="FF753" s="67"/>
    </row>
    <row r="754" spans="152:162">
      <c r="EV754" s="53"/>
      <c r="EZ754" s="38"/>
      <c r="FA754" s="153"/>
      <c r="FB754" s="214"/>
      <c r="FC754" s="53"/>
      <c r="FD754" s="53"/>
      <c r="FE754" s="53"/>
      <c r="FF754" s="67"/>
    </row>
    <row r="755" spans="152:162">
      <c r="EV755" s="53"/>
      <c r="EZ755" s="38"/>
      <c r="FA755" s="153"/>
      <c r="FB755" s="214"/>
      <c r="FC755" s="53"/>
      <c r="FD755" s="53"/>
      <c r="FE755" s="53"/>
      <c r="FF755" s="67"/>
    </row>
    <row r="756" spans="152:162">
      <c r="EV756" s="53"/>
      <c r="EZ756" s="38"/>
      <c r="FA756" s="153"/>
      <c r="FB756" s="214"/>
      <c r="FC756" s="53"/>
      <c r="FD756" s="53"/>
      <c r="FE756" s="53"/>
      <c r="FF756" s="67"/>
    </row>
    <row r="757" spans="152:162">
      <c r="EV757" s="53"/>
      <c r="EZ757" s="38"/>
      <c r="FA757" s="153"/>
      <c r="FB757" s="214"/>
      <c r="FC757" s="53"/>
      <c r="FD757" s="53"/>
      <c r="FE757" s="53"/>
      <c r="FF757" s="67"/>
    </row>
    <row r="758" spans="152:162">
      <c r="EV758" s="53"/>
      <c r="EZ758" s="38"/>
      <c r="FA758" s="153"/>
      <c r="FB758" s="214"/>
      <c r="FC758" s="53"/>
      <c r="FD758" s="53"/>
      <c r="FE758" s="53"/>
      <c r="FF758" s="67"/>
    </row>
    <row r="759" spans="152:162">
      <c r="EV759" s="53"/>
      <c r="EZ759" s="38"/>
      <c r="FA759" s="153"/>
      <c r="FB759" s="214"/>
      <c r="FC759" s="53"/>
      <c r="FD759" s="53"/>
      <c r="FE759" s="53"/>
      <c r="FF759" s="67"/>
    </row>
    <row r="760" spans="152:162">
      <c r="EV760" s="53"/>
      <c r="EZ760" s="38"/>
      <c r="FA760" s="153"/>
      <c r="FB760" s="214"/>
      <c r="FC760" s="53"/>
      <c r="FD760" s="53"/>
      <c r="FE760" s="53"/>
      <c r="FF760" s="67"/>
    </row>
    <row r="761" spans="152:162">
      <c r="EV761" s="53"/>
      <c r="EZ761" s="38"/>
      <c r="FA761" s="153"/>
      <c r="FB761" s="214"/>
      <c r="FC761" s="53"/>
      <c r="FD761" s="53"/>
      <c r="FE761" s="53"/>
      <c r="FF761" s="67"/>
    </row>
    <row r="762" spans="152:162">
      <c r="EV762" s="53"/>
      <c r="EZ762" s="38"/>
      <c r="FA762" s="153"/>
      <c r="FB762" s="214"/>
      <c r="FC762" s="53"/>
      <c r="FD762" s="53"/>
      <c r="FE762" s="53"/>
      <c r="FF762" s="67"/>
    </row>
    <row r="763" spans="152:162">
      <c r="EV763" s="53"/>
      <c r="EZ763" s="38"/>
      <c r="FA763" s="153"/>
      <c r="FB763" s="214"/>
      <c r="FC763" s="53"/>
      <c r="FD763" s="53"/>
      <c r="FE763" s="53"/>
      <c r="FF763" s="67"/>
    </row>
    <row r="764" spans="152:162">
      <c r="EV764" s="53"/>
      <c r="EZ764" s="38"/>
      <c r="FA764" s="153"/>
      <c r="FB764" s="214"/>
      <c r="FC764" s="53"/>
      <c r="FD764" s="53"/>
      <c r="FE764" s="53"/>
      <c r="FF764" s="67"/>
    </row>
    <row r="765" spans="152:162">
      <c r="EV765" s="53"/>
      <c r="EZ765" s="38"/>
      <c r="FA765" s="153"/>
      <c r="FB765" s="214"/>
      <c r="FC765" s="53"/>
      <c r="FD765" s="53"/>
      <c r="FE765" s="53"/>
      <c r="FF765" s="67"/>
    </row>
    <row r="766" spans="152:162">
      <c r="EV766" s="53"/>
      <c r="EZ766" s="38"/>
      <c r="FA766" s="153"/>
      <c r="FB766" s="214"/>
      <c r="FC766" s="53"/>
      <c r="FD766" s="53"/>
      <c r="FE766" s="53"/>
      <c r="FF766" s="67"/>
    </row>
    <row r="767" spans="152:162">
      <c r="EV767" s="53"/>
      <c r="EZ767" s="38"/>
      <c r="FA767" s="153"/>
      <c r="FB767" s="214"/>
      <c r="FC767" s="53"/>
      <c r="FD767" s="53"/>
      <c r="FE767" s="53"/>
      <c r="FF767" s="67"/>
    </row>
    <row r="768" spans="152:162">
      <c r="EV768" s="53"/>
      <c r="EZ768" s="38"/>
      <c r="FA768" s="153"/>
      <c r="FB768" s="214"/>
      <c r="FC768" s="53"/>
      <c r="FD768" s="53"/>
      <c r="FE768" s="53"/>
      <c r="FF768" s="67"/>
    </row>
    <row r="769" spans="152:162">
      <c r="EV769" s="53"/>
      <c r="EZ769" s="38"/>
      <c r="FA769" s="153"/>
      <c r="FB769" s="214"/>
      <c r="FC769" s="53"/>
      <c r="FD769" s="53"/>
      <c r="FE769" s="53"/>
      <c r="FF769" s="67"/>
    </row>
    <row r="770" spans="152:162">
      <c r="EV770" s="53"/>
      <c r="EZ770" s="38"/>
      <c r="FA770" s="153"/>
      <c r="FB770" s="214"/>
      <c r="FC770" s="53"/>
      <c r="FD770" s="53"/>
      <c r="FE770" s="53"/>
      <c r="FF770" s="67"/>
    </row>
    <row r="771" spans="152:162">
      <c r="EV771" s="53"/>
      <c r="EZ771" s="38"/>
      <c r="FA771" s="153"/>
      <c r="FB771" s="214"/>
      <c r="FC771" s="53"/>
      <c r="FD771" s="53"/>
      <c r="FE771" s="53"/>
      <c r="FF771" s="67"/>
    </row>
    <row r="772" spans="152:162">
      <c r="EV772" s="53"/>
      <c r="EZ772" s="38"/>
      <c r="FA772" s="153"/>
      <c r="FB772" s="214"/>
      <c r="FC772" s="53"/>
      <c r="FD772" s="53"/>
      <c r="FE772" s="53"/>
      <c r="FF772" s="67"/>
    </row>
    <row r="773" spans="152:162">
      <c r="EV773" s="53"/>
      <c r="EZ773" s="38"/>
      <c r="FA773" s="153"/>
      <c r="FB773" s="214"/>
      <c r="FC773" s="53"/>
      <c r="FD773" s="53"/>
      <c r="FE773" s="53"/>
      <c r="FF773" s="67"/>
    </row>
    <row r="774" spans="152:162">
      <c r="EV774" s="53"/>
      <c r="EZ774" s="38"/>
      <c r="FA774" s="153"/>
      <c r="FB774" s="214"/>
      <c r="FC774" s="53"/>
      <c r="FD774" s="53"/>
      <c r="FE774" s="53"/>
      <c r="FF774" s="67"/>
    </row>
    <row r="775" spans="152:162">
      <c r="EV775" s="53"/>
      <c r="EZ775" s="38"/>
      <c r="FA775" s="153"/>
      <c r="FB775" s="214"/>
      <c r="FC775" s="53"/>
      <c r="FD775" s="53"/>
      <c r="FE775" s="53"/>
      <c r="FF775" s="67"/>
    </row>
    <row r="776" spans="152:162">
      <c r="EV776" s="53"/>
      <c r="EZ776" s="38"/>
      <c r="FA776" s="153"/>
      <c r="FB776" s="214"/>
      <c r="FC776" s="53"/>
      <c r="FD776" s="53"/>
      <c r="FE776" s="53"/>
      <c r="FF776" s="67"/>
    </row>
    <row r="777" spans="152:162">
      <c r="EV777" s="53"/>
      <c r="EZ777" s="38"/>
      <c r="FA777" s="153"/>
      <c r="FB777" s="214"/>
      <c r="FC777" s="53"/>
      <c r="FD777" s="53"/>
      <c r="FE777" s="53"/>
      <c r="FF777" s="67"/>
    </row>
    <row r="778" spans="152:162">
      <c r="EV778" s="53"/>
      <c r="EZ778" s="38"/>
      <c r="FA778" s="153"/>
      <c r="FB778" s="214"/>
      <c r="FC778" s="53"/>
      <c r="FD778" s="53"/>
      <c r="FE778" s="53"/>
      <c r="FF778" s="67"/>
    </row>
    <row r="779" spans="152:162">
      <c r="EV779" s="53"/>
      <c r="EZ779" s="38"/>
      <c r="FA779" s="153"/>
      <c r="FB779" s="214"/>
      <c r="FC779" s="53"/>
      <c r="FD779" s="53"/>
      <c r="FE779" s="53"/>
      <c r="FF779" s="67"/>
    </row>
    <row r="780" spans="152:162">
      <c r="EV780" s="53"/>
      <c r="EZ780" s="38"/>
      <c r="FA780" s="153"/>
      <c r="FB780" s="214"/>
      <c r="FC780" s="53"/>
      <c r="FD780" s="53"/>
      <c r="FE780" s="53"/>
      <c r="FF780" s="67"/>
    </row>
  </sheetData>
  <dataConsolidate/>
  <conditionalFormatting sqref="EF2:EF88 EX2:EX301">
    <cfRule type="cellIs" dxfId="12" priority="273" stopIfTrue="1" operator="lessThan">
      <formula>$G$1-365.25</formula>
    </cfRule>
  </conditionalFormatting>
  <conditionalFormatting sqref="I65:I68 I70:I73">
    <cfRule type="cellIs" dxfId="11" priority="235" operator="equal">
      <formula>1</formula>
    </cfRule>
  </conditionalFormatting>
  <conditionalFormatting sqref="AD1:AD1048576 AN1:AN1048576 BF1:BF1048576 AW1:AW1048576 U1:U1048576 CR1:CR1048576 BZ1:BZ1048576 DJ1:DJ1048576">
    <cfRule type="cellIs" dxfId="10" priority="114" operator="lessThan">
      <formula>$G$1</formula>
    </cfRule>
  </conditionalFormatting>
  <conditionalFormatting sqref="C30 C35 C37">
    <cfRule type="cellIs" dxfId="9" priority="4" operator="lessThan">
      <formula>0</formula>
    </cfRule>
    <cfRule type="cellIs" dxfId="8" priority="5" operator="greaterThan">
      <formula>0</formula>
    </cfRule>
  </conditionalFormatting>
  <conditionalFormatting sqref="DS1:DT1048576">
    <cfRule type="cellIs" dxfId="7" priority="9460" operator="equal">
      <formula>$DD$39</formula>
    </cfRule>
  </conditionalFormatting>
  <conditionalFormatting sqref="N121:N128">
    <cfRule type="top10" dxfId="6" priority="1" percent="1" rank="1"/>
  </conditionalFormatting>
  <hyperlinks>
    <hyperlink ref="GD24"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sheetPr codeName="Sheet9"/>
  <dimension ref="A1:AA539"/>
  <sheetViews>
    <sheetView zoomScale="80" zoomScaleNormal="80" zoomScaleSheetLayoutView="80" workbookViewId="0">
      <selection activeCell="H19" sqref="H19:H21"/>
    </sheetView>
  </sheetViews>
  <sheetFormatPr defaultColWidth="15.7109375" defaultRowHeight="12.75"/>
  <cols>
    <col min="1" max="1" width="6" style="1" customWidth="1"/>
    <col min="2" max="6" width="15.7109375" style="1"/>
    <col min="7" max="7" width="16.7109375" style="1" bestFit="1" customWidth="1"/>
    <col min="8" max="8" width="17.7109375" style="747" customWidth="1"/>
    <col min="9" max="9" width="11.42578125" style="1" customWidth="1"/>
    <col min="10" max="10" width="27" style="1" customWidth="1"/>
    <col min="11" max="11" width="9.140625" style="1" bestFit="1" customWidth="1"/>
    <col min="12" max="12" width="7.28515625" style="747" customWidth="1"/>
    <col min="13" max="13" width="11.5703125" style="1" bestFit="1" customWidth="1"/>
    <col min="14" max="14" width="14.85546875" style="1" bestFit="1" customWidth="1"/>
    <col min="15" max="15" width="15.28515625" style="55" bestFit="1" customWidth="1"/>
    <col min="16" max="16" width="6.5703125" style="583" bestFit="1" customWidth="1"/>
    <col min="17" max="17" width="7.140625" style="37" bestFit="1" customWidth="1"/>
    <col min="18" max="18" width="12.140625" style="582" bestFit="1" customWidth="1"/>
    <col min="19" max="19" width="14.42578125" style="1" bestFit="1" customWidth="1"/>
    <col min="20" max="20" width="10.85546875" style="1" bestFit="1" customWidth="1"/>
    <col min="21" max="21" width="11.42578125" style="149" bestFit="1" customWidth="1"/>
    <col min="22" max="22" width="22.7109375" style="149" bestFit="1" customWidth="1"/>
    <col min="23" max="23" width="11.42578125" style="37" bestFit="1" customWidth="1"/>
    <col min="24" max="24" width="7.7109375" style="172" bestFit="1" customWidth="1"/>
    <col min="25" max="25" width="16.42578125" style="172" bestFit="1" customWidth="1"/>
    <col min="26" max="26" width="16.28515625" style="22" bestFit="1" customWidth="1"/>
    <col min="27" max="27" width="15.7109375" style="22"/>
    <col min="28" max="16384" width="15.7109375" style="1"/>
  </cols>
  <sheetData>
    <row r="1" spans="2:27">
      <c r="B1" s="42" t="s">
        <v>1158</v>
      </c>
      <c r="C1" s="42" t="s">
        <v>443</v>
      </c>
      <c r="D1" s="42" t="s">
        <v>1159</v>
      </c>
      <c r="E1" s="42" t="s">
        <v>1160</v>
      </c>
      <c r="F1" s="42" t="s">
        <v>1467</v>
      </c>
      <c r="G1" s="42" t="s">
        <v>1468</v>
      </c>
      <c r="H1" s="42" t="s">
        <v>2507</v>
      </c>
      <c r="I1" s="787" t="s">
        <v>385</v>
      </c>
      <c r="J1" s="788" t="s">
        <v>1165</v>
      </c>
      <c r="K1" s="788" t="s">
        <v>43</v>
      </c>
      <c r="L1" s="77" t="s">
        <v>2323</v>
      </c>
      <c r="M1" s="79" t="s">
        <v>1157</v>
      </c>
      <c r="N1" s="79" t="s">
        <v>1161</v>
      </c>
      <c r="O1" s="597" t="s">
        <v>1162</v>
      </c>
      <c r="P1" s="598" t="s">
        <v>1158</v>
      </c>
      <c r="Q1" s="149" t="s">
        <v>443</v>
      </c>
      <c r="R1" s="599" t="s">
        <v>1163</v>
      </c>
      <c r="S1" s="747" t="s">
        <v>581</v>
      </c>
      <c r="T1" s="747" t="s">
        <v>114</v>
      </c>
      <c r="U1" s="149" t="s">
        <v>1467</v>
      </c>
      <c r="V1" s="747" t="s">
        <v>1468</v>
      </c>
      <c r="W1" s="37" t="s">
        <v>1369</v>
      </c>
      <c r="X1" s="172" t="s">
        <v>1164</v>
      </c>
      <c r="Y1" s="172" t="s">
        <v>2663</v>
      </c>
      <c r="Z1" s="79" t="s">
        <v>2503</v>
      </c>
      <c r="AA1" s="79" t="s">
        <v>2846</v>
      </c>
    </row>
    <row r="2" spans="2:27">
      <c r="B2" s="583" t="s">
        <v>1148</v>
      </c>
      <c r="C2" s="37">
        <f t="shared" ref="C2:C8" si="0">SUMIF($P:$P,B2,$Q:$Q)</f>
        <v>1475</v>
      </c>
      <c r="D2" s="1">
        <f t="shared" ref="D2:D8" si="1">COUNTIF($P:$P,B2)</f>
        <v>59</v>
      </c>
      <c r="E2" s="37">
        <f t="shared" ref="E2:E8" si="2">SUMIF($P:$P,B2,$S:$S)</f>
        <v>44.313942218980628</v>
      </c>
      <c r="F2" s="37">
        <f t="shared" ref="F2:F8" ca="1" si="3">SUMIF($P:$P,B2,$U:$U)</f>
        <v>357.5282537037786</v>
      </c>
      <c r="G2" s="37">
        <f t="shared" ref="G2:G8" ca="1" si="4">SUMIF($P:$P,B2,$V:$V)</f>
        <v>1117.4717462962212</v>
      </c>
      <c r="H2" s="1296">
        <f t="shared" ref="H2:H8" ca="1" si="5">AVERAGEIF($P:$P,B2,$Z:$Z)</f>
        <v>2.3274051903154334</v>
      </c>
      <c r="I2" s="192">
        <v>1</v>
      </c>
      <c r="J2" s="172">
        <f t="shared" ref="J2:J32" si="6">COUNTIF($X:$X,I2)</f>
        <v>1</v>
      </c>
      <c r="K2" s="149">
        <f t="shared" ref="K2:K32" si="7">SUMIF($X:$X,I2,$S:$S)</f>
        <v>0.75602566236883972</v>
      </c>
      <c r="L2" s="1180">
        <f>K2</f>
        <v>0.75602566236883972</v>
      </c>
      <c r="M2" s="79" t="s">
        <v>2838</v>
      </c>
      <c r="N2" s="79">
        <v>36</v>
      </c>
      <c r="O2" s="597">
        <v>42769</v>
      </c>
      <c r="P2" s="598" t="s">
        <v>1148</v>
      </c>
      <c r="Q2" s="149">
        <v>25</v>
      </c>
      <c r="R2" s="599">
        <v>4.3200000000000002E-2</v>
      </c>
      <c r="S2" s="173">
        <f t="shared" ref="S2" si="8">PMT(R2/12,N2,-Q2)</f>
        <v>0.74166367985229376</v>
      </c>
      <c r="T2" s="55">
        <f t="shared" ref="T2" si="9">O2+365.25*(N2/12)</f>
        <v>43864.75</v>
      </c>
      <c r="U2" s="149">
        <f ca="1">IFERROR(DATEDIF(O2,Stocks!$A$4,"M")*S2,0)</f>
        <v>0</v>
      </c>
      <c r="V2" s="149">
        <f t="shared" ref="V2" ca="1" si="10">Q2-U2</f>
        <v>25</v>
      </c>
      <c r="W2" s="37">
        <f t="shared" ref="W2" si="11">N2*S2</f>
        <v>26.699892474682574</v>
      </c>
      <c r="X2" s="172">
        <f t="shared" ref="X2" si="12">DAY(O2)</f>
        <v>3</v>
      </c>
      <c r="Y2" s="172">
        <f ca="1">DATEDIF(Stocks!$A$4,'P2P Notes'!T2,"D")</f>
        <v>1092</v>
      </c>
      <c r="Z2" s="1295">
        <f t="shared" ref="Z2" ca="1" si="13">Y2/365.25</f>
        <v>2.9897330595482545</v>
      </c>
      <c r="AA2" s="22" t="str">
        <f>CHOOSE(WEEKDAY(O2),"Sun","Mon","Tues","Wed","Thurs","Fri","Sat")</f>
        <v>Fri</v>
      </c>
    </row>
    <row r="3" spans="2:27">
      <c r="B3" s="583" t="s">
        <v>1147</v>
      </c>
      <c r="C3" s="37">
        <f t="shared" si="0"/>
        <v>850</v>
      </c>
      <c r="D3" s="1">
        <f t="shared" si="1"/>
        <v>34</v>
      </c>
      <c r="E3" s="37">
        <f t="shared" si="2"/>
        <v>24.02386772480644</v>
      </c>
      <c r="F3" s="37">
        <f t="shared" ca="1" si="3"/>
        <v>182.10017708611286</v>
      </c>
      <c r="G3" s="37">
        <f t="shared" ca="1" si="4"/>
        <v>667.89982291388708</v>
      </c>
      <c r="H3" s="1296">
        <f t="shared" ca="1" si="5"/>
        <v>2.8664492491041593</v>
      </c>
      <c r="I3" s="192">
        <v>2</v>
      </c>
      <c r="J3" s="172">
        <f t="shared" si="6"/>
        <v>9</v>
      </c>
      <c r="K3" s="149">
        <f t="shared" si="7"/>
        <v>6.636914069603514</v>
      </c>
      <c r="L3" s="1180">
        <f t="shared" ref="L3:L32" si="14">K3+L2</f>
        <v>7.392939731972354</v>
      </c>
      <c r="M3" s="79" t="s">
        <v>2830</v>
      </c>
      <c r="N3" s="79">
        <v>36</v>
      </c>
      <c r="O3" s="597">
        <v>42769</v>
      </c>
      <c r="P3" s="598" t="s">
        <v>1148</v>
      </c>
      <c r="Q3" s="149">
        <v>25</v>
      </c>
      <c r="R3" s="599">
        <v>4.3200000000000002E-2</v>
      </c>
      <c r="S3" s="173">
        <f t="shared" ref="S3" si="15">PMT(R3/12,N3,-Q3)</f>
        <v>0.74166367985229376</v>
      </c>
      <c r="T3" s="55">
        <f t="shared" ref="T3" si="16">O3+365.25*(N3/12)</f>
        <v>43864.75</v>
      </c>
      <c r="U3" s="149">
        <f ca="1">IFERROR(DATEDIF(O3,Stocks!$A$4,"M")*S3,0)</f>
        <v>0</v>
      </c>
      <c r="V3" s="149">
        <f t="shared" ref="V3" ca="1" si="17">Q3-U3</f>
        <v>25</v>
      </c>
      <c r="W3" s="37">
        <f t="shared" ref="W3" si="18">N3*S3</f>
        <v>26.699892474682574</v>
      </c>
      <c r="X3" s="172">
        <f t="shared" ref="X3" si="19">DAY(O3)</f>
        <v>3</v>
      </c>
      <c r="Y3" s="172">
        <f ca="1">DATEDIF(Stocks!$A$4,'P2P Notes'!T3,"D")</f>
        <v>1092</v>
      </c>
      <c r="Z3" s="1295">
        <f t="shared" ref="Z3" ca="1" si="20">Y3/365.25</f>
        <v>2.9897330595482545</v>
      </c>
      <c r="AA3" s="22" t="str">
        <f t="shared" ref="AA3:AA66" si="21">CHOOSE(WEEKDAY(O3),"Sun","Mon","Tues","Wed","Thurs","Fri","Sat")</f>
        <v>Fri</v>
      </c>
    </row>
    <row r="4" spans="2:27">
      <c r="B4" s="583" t="s">
        <v>882</v>
      </c>
      <c r="C4" s="37">
        <f t="shared" si="0"/>
        <v>125</v>
      </c>
      <c r="D4" s="1">
        <f t="shared" si="1"/>
        <v>5</v>
      </c>
      <c r="E4" s="37">
        <f t="shared" si="2"/>
        <v>3.2274145835357366</v>
      </c>
      <c r="F4" s="37">
        <f t="shared" ca="1" si="3"/>
        <v>26.316665215022798</v>
      </c>
      <c r="G4" s="37">
        <f t="shared" ca="1" si="4"/>
        <v>98.683334784977205</v>
      </c>
      <c r="H4" s="1296">
        <f t="shared" ca="1" si="5"/>
        <v>3.4677618069815197</v>
      </c>
      <c r="I4" s="192">
        <v>3</v>
      </c>
      <c r="J4" s="172">
        <f t="shared" si="6"/>
        <v>9</v>
      </c>
      <c r="K4" s="149">
        <f t="shared" si="7"/>
        <v>6.6671569744420029</v>
      </c>
      <c r="L4" s="1180">
        <f t="shared" si="14"/>
        <v>14.060096706414356</v>
      </c>
      <c r="M4" s="79" t="s">
        <v>2798</v>
      </c>
      <c r="N4" s="79">
        <v>36</v>
      </c>
      <c r="O4" s="597">
        <v>42766</v>
      </c>
      <c r="P4" s="598" t="s">
        <v>1148</v>
      </c>
      <c r="Q4" s="149">
        <v>25</v>
      </c>
      <c r="R4" s="599">
        <v>4.7E-2</v>
      </c>
      <c r="S4" s="173">
        <f t="shared" ref="S4" si="22">PMT(R4/12,N4,-Q4)</f>
        <v>0.74590974024707957</v>
      </c>
      <c r="T4" s="55">
        <f t="shared" ref="T4" si="23">O4+365.25*(N4/12)</f>
        <v>43861.75</v>
      </c>
      <c r="U4" s="149">
        <f ca="1">IFERROR(DATEDIF(O4,Stocks!$A$4,"M")*S4,0)</f>
        <v>0</v>
      </c>
      <c r="V4" s="149">
        <f t="shared" ref="V4" ca="1" si="24">Q4-U4</f>
        <v>25</v>
      </c>
      <c r="W4" s="37">
        <f t="shared" ref="W4" si="25">N4*S4</f>
        <v>26.852750648894865</v>
      </c>
      <c r="X4" s="172">
        <f t="shared" ref="X4" si="26">DAY(O4)</f>
        <v>31</v>
      </c>
      <c r="Y4" s="172">
        <f ca="1">DATEDIF(Stocks!$A$4,'P2P Notes'!T4,"D")</f>
        <v>1089</v>
      </c>
      <c r="Z4" s="1295">
        <f t="shared" ref="Z4" ca="1" si="27">Y4/365.25</f>
        <v>2.9815195071868583</v>
      </c>
      <c r="AA4" s="22" t="str">
        <f t="shared" si="21"/>
        <v>Tues</v>
      </c>
    </row>
    <row r="5" spans="2:27">
      <c r="B5" s="583" t="s">
        <v>0</v>
      </c>
      <c r="C5" s="37">
        <f t="shared" si="0"/>
        <v>0</v>
      </c>
      <c r="D5" s="1">
        <f t="shared" si="1"/>
        <v>0</v>
      </c>
      <c r="E5" s="37">
        <f t="shared" si="2"/>
        <v>0</v>
      </c>
      <c r="F5" s="37">
        <f t="shared" si="3"/>
        <v>0</v>
      </c>
      <c r="G5" s="37">
        <f t="shared" si="4"/>
        <v>0</v>
      </c>
      <c r="H5" s="1296" t="e">
        <f t="shared" si="5"/>
        <v>#DIV/0!</v>
      </c>
      <c r="I5" s="192">
        <v>4</v>
      </c>
      <c r="J5" s="172">
        <f t="shared" si="6"/>
        <v>3</v>
      </c>
      <c r="K5" s="149">
        <f t="shared" si="7"/>
        <v>2.0058892532189443</v>
      </c>
      <c r="L5" s="1180">
        <f t="shared" si="14"/>
        <v>16.065985959633302</v>
      </c>
      <c r="M5" s="79" t="s">
        <v>2759</v>
      </c>
      <c r="N5" s="79">
        <v>60</v>
      </c>
      <c r="O5" s="597">
        <v>42755</v>
      </c>
      <c r="P5" s="598" t="s">
        <v>1147</v>
      </c>
      <c r="Q5" s="149">
        <v>25</v>
      </c>
      <c r="R5" s="599">
        <v>8.3500000000000005E-2</v>
      </c>
      <c r="S5" s="173">
        <f t="shared" ref="S5" si="28">PMT(R5/12,N5,-Q5)</f>
        <v>0.51110782218234463</v>
      </c>
      <c r="T5" s="55">
        <f t="shared" ref="T5" si="29">O5+365.25*(N5/12)</f>
        <v>44581.25</v>
      </c>
      <c r="U5" s="149">
        <f ca="1">IFERROR(DATEDIF(O5,Stocks!$A$4,"M")*S5,0)</f>
        <v>0</v>
      </c>
      <c r="V5" s="149">
        <f t="shared" ref="V5" ca="1" si="30">Q5-U5</f>
        <v>25</v>
      </c>
      <c r="W5" s="37">
        <f t="shared" ref="W5" si="31">N5*S5</f>
        <v>30.666469330940679</v>
      </c>
      <c r="X5" s="172">
        <f t="shared" ref="X5" si="32">DAY(O5)</f>
        <v>20</v>
      </c>
      <c r="Y5" s="172">
        <f ca="1">DATEDIF(Stocks!$A$4,'P2P Notes'!T5,"D")</f>
        <v>1809</v>
      </c>
      <c r="Z5" s="1295">
        <f t="shared" ref="Z5" ca="1" si="33">Y5/365.25</f>
        <v>4.9527720739219712</v>
      </c>
      <c r="AA5" s="22" t="str">
        <f t="shared" si="21"/>
        <v>Fri</v>
      </c>
    </row>
    <row r="6" spans="2:27">
      <c r="B6" s="583" t="s">
        <v>1150</v>
      </c>
      <c r="C6" s="37">
        <f t="shared" si="0"/>
        <v>50</v>
      </c>
      <c r="D6" s="1">
        <f t="shared" si="1"/>
        <v>2</v>
      </c>
      <c r="E6" s="37">
        <f t="shared" si="2"/>
        <v>1.2911954108691051</v>
      </c>
      <c r="F6" s="37">
        <f t="shared" ca="1" si="3"/>
        <v>21.417102700887476</v>
      </c>
      <c r="G6" s="37">
        <f t="shared" ca="1" si="4"/>
        <v>28.582897299112521</v>
      </c>
      <c r="H6" s="1296">
        <f t="shared" ca="1" si="5"/>
        <v>3.5605749486652978</v>
      </c>
      <c r="I6" s="192">
        <v>5</v>
      </c>
      <c r="J6" s="172">
        <f t="shared" si="6"/>
        <v>5</v>
      </c>
      <c r="K6" s="149">
        <f t="shared" si="7"/>
        <v>3.5358009471971386</v>
      </c>
      <c r="L6" s="1180">
        <f t="shared" si="14"/>
        <v>19.601786906830441</v>
      </c>
      <c r="M6" s="79" t="s">
        <v>2732</v>
      </c>
      <c r="N6" s="79">
        <v>36</v>
      </c>
      <c r="O6" s="597">
        <v>42740</v>
      </c>
      <c r="P6" s="598" t="s">
        <v>1148</v>
      </c>
      <c r="Q6" s="149">
        <v>25</v>
      </c>
      <c r="R6" s="599">
        <v>4.3200000000000002E-2</v>
      </c>
      <c r="S6" s="173">
        <f t="shared" ref="S6:S69" si="34">PMT(R6/12,N6,-Q6)</f>
        <v>0.74166367985229376</v>
      </c>
      <c r="T6" s="55">
        <f t="shared" ref="T6:T69" si="35">O6+365.25*(N6/12)</f>
        <v>43835.75</v>
      </c>
      <c r="U6" s="149">
        <f ca="1">IFERROR(DATEDIF(O6,Stocks!$A$4,"M")*S6,0)</f>
        <v>0.74166367985229376</v>
      </c>
      <c r="V6" s="149">
        <f t="shared" ref="V6:V69" ca="1" si="36">Q6-U6</f>
        <v>24.258336320147706</v>
      </c>
      <c r="W6" s="37">
        <f t="shared" ref="W6:W69" si="37">N6*S6</f>
        <v>26.699892474682574</v>
      </c>
      <c r="X6" s="172">
        <f t="shared" ref="X6:X69" si="38">DAY(O6)</f>
        <v>5</v>
      </c>
      <c r="Y6" s="172">
        <f ca="1">DATEDIF(Stocks!$A$4,'P2P Notes'!T6,"D")</f>
        <v>1063</v>
      </c>
      <c r="Z6" s="1295">
        <f t="shared" ref="Z6:Z69" ca="1" si="39">Y6/365.25</f>
        <v>2.9103353867214237</v>
      </c>
      <c r="AA6" s="22" t="str">
        <f t="shared" si="21"/>
        <v>Thurs</v>
      </c>
    </row>
    <row r="7" spans="2:27">
      <c r="B7" s="583" t="s">
        <v>1146</v>
      </c>
      <c r="C7" s="37">
        <f t="shared" si="0"/>
        <v>25</v>
      </c>
      <c r="D7" s="1">
        <f t="shared" si="1"/>
        <v>1</v>
      </c>
      <c r="E7" s="37">
        <f t="shared" si="2"/>
        <v>0.97048148353835617</v>
      </c>
      <c r="F7" s="37">
        <f t="shared" ca="1" si="3"/>
        <v>19.409629670767124</v>
      </c>
      <c r="G7" s="37">
        <f t="shared" ca="1" si="4"/>
        <v>5.5903703292328757</v>
      </c>
      <c r="H7" s="1296">
        <f t="shared" ca="1" si="5"/>
        <v>1.2566735112936345</v>
      </c>
      <c r="I7" s="192">
        <v>6</v>
      </c>
      <c r="J7" s="172">
        <f t="shared" si="6"/>
        <v>2</v>
      </c>
      <c r="K7" s="149">
        <f t="shared" si="7"/>
        <v>1.5216315795227215</v>
      </c>
      <c r="L7" s="1180">
        <f t="shared" si="14"/>
        <v>21.123418486353163</v>
      </c>
      <c r="M7" s="79" t="s">
        <v>2733</v>
      </c>
      <c r="N7" s="79">
        <v>36</v>
      </c>
      <c r="O7" s="597">
        <v>42740</v>
      </c>
      <c r="P7" s="598" t="s">
        <v>1147</v>
      </c>
      <c r="Q7" s="149">
        <v>25</v>
      </c>
      <c r="R7" s="599">
        <v>7.1999999999999995E-2</v>
      </c>
      <c r="S7" s="173">
        <f t="shared" si="34"/>
        <v>0.77421555446491586</v>
      </c>
      <c r="T7" s="55">
        <f t="shared" si="35"/>
        <v>43835.75</v>
      </c>
      <c r="U7" s="149">
        <f ca="1">IFERROR(DATEDIF(O7,Stocks!$A$4,"M")*S7,0)</f>
        <v>0.77421555446491586</v>
      </c>
      <c r="V7" s="149">
        <f t="shared" ca="1" si="36"/>
        <v>24.225784445535083</v>
      </c>
      <c r="W7" s="37">
        <f t="shared" si="37"/>
        <v>27.87175996073697</v>
      </c>
      <c r="X7" s="172">
        <f t="shared" si="38"/>
        <v>5</v>
      </c>
      <c r="Y7" s="172">
        <f ca="1">DATEDIF(Stocks!$A$4,'P2P Notes'!T7,"D")</f>
        <v>1063</v>
      </c>
      <c r="Z7" s="1295">
        <f t="shared" ca="1" si="39"/>
        <v>2.9103353867214237</v>
      </c>
      <c r="AA7" s="22" t="str">
        <f t="shared" si="21"/>
        <v>Thurs</v>
      </c>
    </row>
    <row r="8" spans="2:27">
      <c r="B8" s="583" t="s">
        <v>1166</v>
      </c>
      <c r="C8" s="37">
        <f t="shared" si="0"/>
        <v>0</v>
      </c>
      <c r="D8" s="1">
        <f t="shared" si="1"/>
        <v>0</v>
      </c>
      <c r="E8" s="37">
        <f t="shared" si="2"/>
        <v>0</v>
      </c>
      <c r="F8" s="37">
        <f t="shared" si="3"/>
        <v>0</v>
      </c>
      <c r="G8" s="37">
        <f t="shared" si="4"/>
        <v>0</v>
      </c>
      <c r="H8" s="1296" t="e">
        <f t="shared" si="5"/>
        <v>#DIV/0!</v>
      </c>
      <c r="I8" s="192">
        <v>7</v>
      </c>
      <c r="J8" s="172">
        <f t="shared" si="6"/>
        <v>3</v>
      </c>
      <c r="K8" s="149">
        <f t="shared" si="7"/>
        <v>2.2709297211156727</v>
      </c>
      <c r="L8" s="1180">
        <f t="shared" si="14"/>
        <v>23.394348207468838</v>
      </c>
      <c r="M8" s="79" t="s">
        <v>2731</v>
      </c>
      <c r="N8" s="79">
        <v>60</v>
      </c>
      <c r="O8" s="597">
        <v>42733</v>
      </c>
      <c r="P8" s="598" t="s">
        <v>882</v>
      </c>
      <c r="Q8" s="149">
        <v>25</v>
      </c>
      <c r="R8" s="599">
        <v>9.4700000000000006E-2</v>
      </c>
      <c r="S8" s="173">
        <f t="shared" si="34"/>
        <v>0.52468008987372472</v>
      </c>
      <c r="T8" s="55">
        <f t="shared" si="35"/>
        <v>44559.25</v>
      </c>
      <c r="U8" s="149">
        <f ca="1">IFERROR(DATEDIF(O8,Stocks!$A$4,"M")*S8,0)</f>
        <v>0.52468008987372472</v>
      </c>
      <c r="V8" s="149">
        <f t="shared" ca="1" si="36"/>
        <v>24.475319910126274</v>
      </c>
      <c r="W8" s="37">
        <f t="shared" si="37"/>
        <v>31.480805392423484</v>
      </c>
      <c r="X8" s="172">
        <f t="shared" si="38"/>
        <v>29</v>
      </c>
      <c r="Y8" s="172">
        <f ca="1">DATEDIF(Stocks!$A$4,'P2P Notes'!T8,"D")</f>
        <v>1787</v>
      </c>
      <c r="Z8" s="1295">
        <f t="shared" ca="1" si="39"/>
        <v>4.8925393566050648</v>
      </c>
      <c r="AA8" s="22" t="str">
        <f t="shared" si="21"/>
        <v>Thurs</v>
      </c>
    </row>
    <row r="9" spans="2:27">
      <c r="B9" s="583"/>
      <c r="C9" s="37"/>
      <c r="E9" s="37"/>
      <c r="F9" s="37"/>
      <c r="G9" s="37"/>
      <c r="H9" s="1297">
        <f ca="1">AVERAGE(Z:Z)</f>
        <v>2.579136763779049</v>
      </c>
      <c r="I9" s="192">
        <v>8</v>
      </c>
      <c r="J9" s="172">
        <f t="shared" si="6"/>
        <v>4</v>
      </c>
      <c r="K9" s="149">
        <f t="shared" si="7"/>
        <v>2.6612001729713008</v>
      </c>
      <c r="L9" s="1180">
        <f t="shared" si="14"/>
        <v>26.05554838044014</v>
      </c>
      <c r="M9" s="79" t="s">
        <v>2729</v>
      </c>
      <c r="N9" s="79">
        <v>36</v>
      </c>
      <c r="O9" s="597">
        <v>42732</v>
      </c>
      <c r="P9" s="598" t="s">
        <v>1148</v>
      </c>
      <c r="Q9" s="149">
        <v>25</v>
      </c>
      <c r="R9" s="599">
        <v>4.3200000000000002E-2</v>
      </c>
      <c r="S9" s="173">
        <f t="shared" si="34"/>
        <v>0.74166367985229376</v>
      </c>
      <c r="T9" s="55">
        <f t="shared" si="35"/>
        <v>43827.75</v>
      </c>
      <c r="U9" s="149">
        <f ca="1">IFERROR(DATEDIF(O9,Stocks!$A$4,"M")*S9,0)</f>
        <v>0.74166367985229376</v>
      </c>
      <c r="V9" s="149">
        <f t="shared" ca="1" si="36"/>
        <v>24.258336320147706</v>
      </c>
      <c r="W9" s="37">
        <f t="shared" si="37"/>
        <v>26.699892474682574</v>
      </c>
      <c r="X9" s="172">
        <f t="shared" si="38"/>
        <v>28</v>
      </c>
      <c r="Y9" s="172">
        <f ca="1">DATEDIF(Stocks!$A$4,'P2P Notes'!T9,"D")</f>
        <v>1055</v>
      </c>
      <c r="Z9" s="1295">
        <f t="shared" ca="1" si="39"/>
        <v>2.8884325804243667</v>
      </c>
      <c r="AA9" s="22" t="str">
        <f t="shared" si="21"/>
        <v>Wed</v>
      </c>
    </row>
    <row r="10" spans="2:27">
      <c r="B10" s="42" t="s">
        <v>51</v>
      </c>
      <c r="C10" s="585">
        <v>10.45</v>
      </c>
      <c r="D10" s="37"/>
      <c r="E10" s="37"/>
      <c r="F10" s="37"/>
      <c r="G10" s="37"/>
      <c r="H10" s="1297"/>
      <c r="I10" s="192">
        <v>9</v>
      </c>
      <c r="J10" s="172">
        <f t="shared" si="6"/>
        <v>1</v>
      </c>
      <c r="K10" s="149">
        <f t="shared" si="7"/>
        <v>0.75275696277111681</v>
      </c>
      <c r="L10" s="1180">
        <f t="shared" si="14"/>
        <v>26.808305343211256</v>
      </c>
      <c r="M10" s="79" t="s">
        <v>2723</v>
      </c>
      <c r="N10" s="79">
        <v>36</v>
      </c>
      <c r="O10" s="597">
        <v>42731</v>
      </c>
      <c r="P10" s="598" t="s">
        <v>1148</v>
      </c>
      <c r="Q10" s="149">
        <v>25</v>
      </c>
      <c r="R10" s="599">
        <v>4.3200000000000002E-2</v>
      </c>
      <c r="S10" s="173">
        <f t="shared" si="34"/>
        <v>0.74166367985229376</v>
      </c>
      <c r="T10" s="55">
        <f t="shared" si="35"/>
        <v>43826.75</v>
      </c>
      <c r="U10" s="149">
        <f ca="1">IFERROR(DATEDIF(O10,Stocks!$A$4,"M")*S10,0)</f>
        <v>0.74166367985229376</v>
      </c>
      <c r="V10" s="149">
        <f t="shared" ca="1" si="36"/>
        <v>24.258336320147706</v>
      </c>
      <c r="W10" s="37">
        <f t="shared" si="37"/>
        <v>26.699892474682574</v>
      </c>
      <c r="X10" s="172">
        <f t="shared" si="38"/>
        <v>27</v>
      </c>
      <c r="Y10" s="172">
        <f ca="1">DATEDIF(Stocks!$A$4,'P2P Notes'!T10,"D")</f>
        <v>1054</v>
      </c>
      <c r="Z10" s="1295">
        <f t="shared" ca="1" si="39"/>
        <v>2.8856947296372346</v>
      </c>
      <c r="AA10" s="22" t="str">
        <f t="shared" si="21"/>
        <v>Tues</v>
      </c>
    </row>
    <row r="11" spans="2:27">
      <c r="B11" s="42"/>
      <c r="C11" s="37" t="s">
        <v>304</v>
      </c>
      <c r="E11" s="37"/>
      <c r="F11" s="37"/>
      <c r="G11" s="37"/>
      <c r="H11" s="37"/>
      <c r="I11" s="192">
        <v>10</v>
      </c>
      <c r="J11" s="172">
        <f t="shared" si="6"/>
        <v>2</v>
      </c>
      <c r="K11" s="149">
        <f t="shared" si="7"/>
        <v>1.5267917863587788</v>
      </c>
      <c r="L11" s="1180">
        <f t="shared" si="14"/>
        <v>28.335097129570034</v>
      </c>
      <c r="M11" s="79" t="s">
        <v>2722</v>
      </c>
      <c r="N11" s="79">
        <v>36</v>
      </c>
      <c r="O11" s="597">
        <v>42731</v>
      </c>
      <c r="P11" s="598" t="s">
        <v>1148</v>
      </c>
      <c r="Q11" s="149">
        <v>25</v>
      </c>
      <c r="R11" s="599">
        <v>5.2999999999999999E-2</v>
      </c>
      <c r="S11" s="173">
        <f t="shared" si="34"/>
        <v>0.75264440366767749</v>
      </c>
      <c r="T11" s="55">
        <f t="shared" si="35"/>
        <v>43826.75</v>
      </c>
      <c r="U11" s="149">
        <f ca="1">IFERROR(DATEDIF(O11,Stocks!$A$4,"M")*S11,0)</f>
        <v>0.75264440366767749</v>
      </c>
      <c r="V11" s="149">
        <f t="shared" ca="1" si="36"/>
        <v>24.247355596332323</v>
      </c>
      <c r="W11" s="37">
        <f t="shared" si="37"/>
        <v>27.095198532036388</v>
      </c>
      <c r="X11" s="172">
        <f t="shared" si="38"/>
        <v>27</v>
      </c>
      <c r="Y11" s="172">
        <f ca="1">DATEDIF(Stocks!$A$4,'P2P Notes'!T11,"D")</f>
        <v>1054</v>
      </c>
      <c r="Z11" s="1295">
        <f t="shared" ca="1" si="39"/>
        <v>2.8856947296372346</v>
      </c>
      <c r="AA11" s="22" t="str">
        <f t="shared" si="21"/>
        <v>Tues</v>
      </c>
    </row>
    <row r="12" spans="2:27">
      <c r="B12" s="42" t="s">
        <v>9</v>
      </c>
      <c r="C12" s="37">
        <f>SUM(C2:C8)</f>
        <v>2525</v>
      </c>
      <c r="D12" s="1">
        <f>SUM(D2:D8)</f>
        <v>101</v>
      </c>
      <c r="F12" s="37">
        <f ca="1">SUM(F2:F8)</f>
        <v>606.77182837656881</v>
      </c>
      <c r="G12" s="37">
        <f ca="1">SUM(G2:G8)</f>
        <v>1918.2281716234309</v>
      </c>
      <c r="H12" s="37"/>
      <c r="I12" s="192">
        <v>11</v>
      </c>
      <c r="J12" s="172">
        <f t="shared" si="6"/>
        <v>1</v>
      </c>
      <c r="K12" s="149">
        <f t="shared" si="7"/>
        <v>0.76463302063168959</v>
      </c>
      <c r="L12" s="1180">
        <f t="shared" si="14"/>
        <v>29.099730150201722</v>
      </c>
      <c r="M12" s="79" t="s">
        <v>2719</v>
      </c>
      <c r="N12" s="79">
        <v>36</v>
      </c>
      <c r="O12" s="597">
        <v>42731</v>
      </c>
      <c r="P12" s="598" t="s">
        <v>1148</v>
      </c>
      <c r="Q12" s="149">
        <v>25</v>
      </c>
      <c r="R12" s="599">
        <v>5.8999999999999997E-2</v>
      </c>
      <c r="S12" s="173">
        <f t="shared" si="34"/>
        <v>0.75941619754547773</v>
      </c>
      <c r="T12" s="55">
        <f t="shared" si="35"/>
        <v>43826.75</v>
      </c>
      <c r="U12" s="149">
        <f ca="1">IFERROR(DATEDIF(O12,Stocks!$A$4,"M")*S12,0)</f>
        <v>0.75941619754547773</v>
      </c>
      <c r="V12" s="149">
        <f t="shared" ca="1" si="36"/>
        <v>24.240583802454523</v>
      </c>
      <c r="W12" s="37">
        <f t="shared" si="37"/>
        <v>27.338983111637198</v>
      </c>
      <c r="X12" s="172">
        <f t="shared" si="38"/>
        <v>27</v>
      </c>
      <c r="Y12" s="172">
        <f ca="1">DATEDIF(Stocks!$A$4,'P2P Notes'!T12,"D")</f>
        <v>1054</v>
      </c>
      <c r="Z12" s="1295">
        <f t="shared" ca="1" si="39"/>
        <v>2.8856947296372346</v>
      </c>
      <c r="AA12" s="22" t="str">
        <f t="shared" si="21"/>
        <v>Tues</v>
      </c>
    </row>
    <row r="13" spans="2:27">
      <c r="B13" s="42" t="s">
        <v>1167</v>
      </c>
      <c r="C13" s="37">
        <f>SUM(C2:C10)</f>
        <v>2535.4499999999998</v>
      </c>
      <c r="E13" s="37"/>
      <c r="F13" s="37"/>
      <c r="G13" s="827"/>
      <c r="H13" s="37"/>
      <c r="I13" s="192">
        <v>12</v>
      </c>
      <c r="J13" s="172">
        <f t="shared" si="6"/>
        <v>3</v>
      </c>
      <c r="K13" s="149">
        <f t="shared" si="7"/>
        <v>1.9768374302937195</v>
      </c>
      <c r="L13" s="1180">
        <f t="shared" si="14"/>
        <v>31.076567580495443</v>
      </c>
      <c r="M13" s="79" t="s">
        <v>2721</v>
      </c>
      <c r="N13" s="79">
        <v>36</v>
      </c>
      <c r="O13" s="597">
        <v>42731</v>
      </c>
      <c r="P13" s="598" t="s">
        <v>1147</v>
      </c>
      <c r="Q13" s="149">
        <v>25</v>
      </c>
      <c r="R13" s="599">
        <v>7.1999999999999995E-2</v>
      </c>
      <c r="S13" s="173">
        <f t="shared" si="34"/>
        <v>0.77421555446491586</v>
      </c>
      <c r="T13" s="55">
        <f t="shared" si="35"/>
        <v>43826.75</v>
      </c>
      <c r="U13" s="149">
        <f ca="1">IFERROR(DATEDIF(O13,Stocks!$A$4,"M")*S13,0)</f>
        <v>0.77421555446491586</v>
      </c>
      <c r="V13" s="149">
        <f t="shared" ca="1" si="36"/>
        <v>24.225784445535083</v>
      </c>
      <c r="W13" s="37">
        <f t="shared" si="37"/>
        <v>27.87175996073697</v>
      </c>
      <c r="X13" s="172">
        <f t="shared" si="38"/>
        <v>27</v>
      </c>
      <c r="Y13" s="172">
        <f ca="1">DATEDIF(Stocks!$A$4,'P2P Notes'!T13,"D")</f>
        <v>1054</v>
      </c>
      <c r="Z13" s="1295">
        <f t="shared" ca="1" si="39"/>
        <v>2.8856947296372346</v>
      </c>
      <c r="AA13" s="22" t="str">
        <f t="shared" si="21"/>
        <v>Tues</v>
      </c>
    </row>
    <row r="14" spans="2:27">
      <c r="B14" s="42" t="s">
        <v>1369</v>
      </c>
      <c r="C14" s="37">
        <f>SUM(W:W)</f>
        <v>2848.3316180443749</v>
      </c>
      <c r="D14" s="37"/>
      <c r="F14" s="616">
        <f ca="1">(F12/G12)*(256/365.25)</f>
        <v>0.2217046921953259</v>
      </c>
      <c r="I14" s="192">
        <v>13</v>
      </c>
      <c r="J14" s="172">
        <f t="shared" si="6"/>
        <v>3</v>
      </c>
      <c r="K14" s="149">
        <f t="shared" si="7"/>
        <v>2.0530478834386292</v>
      </c>
      <c r="L14" s="1180">
        <f t="shared" si="14"/>
        <v>33.129615463934073</v>
      </c>
      <c r="M14" s="79" t="s">
        <v>2720</v>
      </c>
      <c r="N14" s="79">
        <v>36</v>
      </c>
      <c r="O14" s="597">
        <v>42731</v>
      </c>
      <c r="P14" s="598" t="s">
        <v>882</v>
      </c>
      <c r="Q14" s="149">
        <v>25</v>
      </c>
      <c r="R14" s="599">
        <v>0.11650000000000001</v>
      </c>
      <c r="S14" s="173">
        <f t="shared" si="34"/>
        <v>0.82618477614391894</v>
      </c>
      <c r="T14" s="55">
        <f t="shared" si="35"/>
        <v>43826.75</v>
      </c>
      <c r="U14" s="149">
        <f ca="1">IFERROR(DATEDIF(O14,Stocks!$A$4,"M")*S14,0)</f>
        <v>0.82618477614391894</v>
      </c>
      <c r="V14" s="149">
        <f t="shared" ca="1" si="36"/>
        <v>24.173815223856082</v>
      </c>
      <c r="W14" s="37">
        <f t="shared" si="37"/>
        <v>29.74265194118108</v>
      </c>
      <c r="X14" s="172">
        <f t="shared" si="38"/>
        <v>27</v>
      </c>
      <c r="Y14" s="172">
        <f ca="1">DATEDIF(Stocks!$A$4,'P2P Notes'!T14,"D")</f>
        <v>1054</v>
      </c>
      <c r="Z14" s="1295">
        <f t="shared" ca="1" si="39"/>
        <v>2.8856947296372346</v>
      </c>
      <c r="AA14" s="22" t="str">
        <f t="shared" si="21"/>
        <v>Tues</v>
      </c>
    </row>
    <row r="15" spans="2:27">
      <c r="B15" s="42" t="s">
        <v>1386</v>
      </c>
      <c r="C15" s="397">
        <f>C14/C12-1</f>
        <v>0.12805212595816817</v>
      </c>
      <c r="I15" s="192">
        <v>14</v>
      </c>
      <c r="J15" s="172">
        <f t="shared" si="6"/>
        <v>2</v>
      </c>
      <c r="K15" s="149">
        <f t="shared" si="7"/>
        <v>1.5342720995256134</v>
      </c>
      <c r="L15" s="1180">
        <f t="shared" si="14"/>
        <v>34.663887563459689</v>
      </c>
      <c r="M15" s="79" t="s">
        <v>2717</v>
      </c>
      <c r="N15" s="79">
        <v>36</v>
      </c>
      <c r="O15" s="597">
        <v>42727</v>
      </c>
      <c r="P15" s="598" t="s">
        <v>1148</v>
      </c>
      <c r="Q15" s="149">
        <v>25</v>
      </c>
      <c r="R15" s="599">
        <v>5.2999999999999999E-2</v>
      </c>
      <c r="S15" s="173">
        <f t="shared" si="34"/>
        <v>0.75264440366767749</v>
      </c>
      <c r="T15" s="55">
        <f t="shared" si="35"/>
        <v>43822.75</v>
      </c>
      <c r="U15" s="149">
        <f ca="1">IFERROR(DATEDIF(O15,Stocks!$A$4,"M")*S15,0)</f>
        <v>0.75264440366767749</v>
      </c>
      <c r="V15" s="149">
        <f t="shared" ca="1" si="36"/>
        <v>24.247355596332323</v>
      </c>
      <c r="W15" s="37">
        <f t="shared" si="37"/>
        <v>27.095198532036388</v>
      </c>
      <c r="X15" s="172">
        <f t="shared" si="38"/>
        <v>23</v>
      </c>
      <c r="Y15" s="172">
        <f ca="1">DATEDIF(Stocks!$A$4,'P2P Notes'!T15,"D")</f>
        <v>1050</v>
      </c>
      <c r="Z15" s="1295">
        <f t="shared" ca="1" si="39"/>
        <v>2.8747433264887063</v>
      </c>
      <c r="AA15" s="22" t="str">
        <f t="shared" si="21"/>
        <v>Fri</v>
      </c>
    </row>
    <row r="16" spans="2:27">
      <c r="B16" s="42" t="s">
        <v>1797</v>
      </c>
      <c r="C16" s="37">
        <f ca="1">C10+G12</f>
        <v>1928.6781716234309</v>
      </c>
      <c r="D16" s="37"/>
      <c r="I16" s="192">
        <v>15</v>
      </c>
      <c r="J16" s="172">
        <f t="shared" si="6"/>
        <v>3</v>
      </c>
      <c r="K16" s="149">
        <f t="shared" si="7"/>
        <v>2.2662817708061302</v>
      </c>
      <c r="L16" s="1180">
        <f t="shared" si="14"/>
        <v>36.93016933426582</v>
      </c>
      <c r="M16" s="79" t="s">
        <v>2707</v>
      </c>
      <c r="N16" s="79">
        <v>36</v>
      </c>
      <c r="O16" s="597">
        <v>42723</v>
      </c>
      <c r="P16" s="598" t="s">
        <v>1147</v>
      </c>
      <c r="Q16" s="149">
        <v>25</v>
      </c>
      <c r="R16" s="599">
        <v>7.5999999999999998E-2</v>
      </c>
      <c r="S16" s="173">
        <f t="shared" si="34"/>
        <v>0.77880413956909822</v>
      </c>
      <c r="T16" s="55">
        <f t="shared" si="35"/>
        <v>43818.75</v>
      </c>
      <c r="U16" s="149">
        <f ca="1">IFERROR(DATEDIF(O16,Stocks!$A$4,"M")*S16,0)</f>
        <v>0.77880413956909822</v>
      </c>
      <c r="V16" s="149">
        <f t="shared" ca="1" si="36"/>
        <v>24.221195860430903</v>
      </c>
      <c r="W16" s="37">
        <f t="shared" si="37"/>
        <v>28.036949024487537</v>
      </c>
      <c r="X16" s="172">
        <f t="shared" si="38"/>
        <v>19</v>
      </c>
      <c r="Y16" s="172">
        <f ca="1">DATEDIF(Stocks!$A$4,'P2P Notes'!T16,"D")</f>
        <v>1046</v>
      </c>
      <c r="Z16" s="1295">
        <f t="shared" ca="1" si="39"/>
        <v>2.8637919233401781</v>
      </c>
      <c r="AA16" s="22" t="str">
        <f t="shared" si="21"/>
        <v>Mon</v>
      </c>
    </row>
    <row r="17" spans="2:27" ht="13.5" thickBot="1">
      <c r="B17" s="42"/>
      <c r="I17" s="192">
        <v>16</v>
      </c>
      <c r="J17" s="172">
        <f t="shared" si="6"/>
        <v>2</v>
      </c>
      <c r="K17" s="149">
        <f t="shared" si="7"/>
        <v>1.5205600366049443</v>
      </c>
      <c r="L17" s="1180">
        <f t="shared" si="14"/>
        <v>38.450729370870761</v>
      </c>
      <c r="M17" s="79" t="s">
        <v>2692</v>
      </c>
      <c r="N17" s="79">
        <v>60</v>
      </c>
      <c r="O17" s="597">
        <v>42717</v>
      </c>
      <c r="P17" s="598" t="s">
        <v>1147</v>
      </c>
      <c r="Q17" s="149">
        <v>25</v>
      </c>
      <c r="R17" s="599">
        <v>8.7400000000000005E-2</v>
      </c>
      <c r="S17" s="173">
        <f t="shared" si="34"/>
        <v>0.51580991404952725</v>
      </c>
      <c r="T17" s="55">
        <f t="shared" si="35"/>
        <v>44543.25</v>
      </c>
      <c r="U17" s="149">
        <f ca="1">IFERROR(DATEDIF(O17,Stocks!$A$4,"M")*S17,0)</f>
        <v>0.51580991404952725</v>
      </c>
      <c r="V17" s="149">
        <f t="shared" ca="1" si="36"/>
        <v>24.484190085950473</v>
      </c>
      <c r="W17" s="37">
        <f t="shared" si="37"/>
        <v>30.948594842971634</v>
      </c>
      <c r="X17" s="172">
        <f t="shared" si="38"/>
        <v>13</v>
      </c>
      <c r="Y17" s="172">
        <f ca="1">DATEDIF(Stocks!$A$4,'P2P Notes'!T17,"D")</f>
        <v>1771</v>
      </c>
      <c r="Z17" s="1295">
        <f t="shared" ca="1" si="39"/>
        <v>4.8487337440109517</v>
      </c>
      <c r="AA17" s="22" t="str">
        <f t="shared" si="21"/>
        <v>Tues</v>
      </c>
    </row>
    <row r="18" spans="2:27">
      <c r="B18" s="105" t="s">
        <v>1179</v>
      </c>
      <c r="C18" s="352"/>
      <c r="D18" s="788" t="s">
        <v>1180</v>
      </c>
      <c r="E18" s="1228" t="s">
        <v>1181</v>
      </c>
      <c r="F18" s="41"/>
      <c r="I18" s="192">
        <v>17</v>
      </c>
      <c r="J18" s="172">
        <f t="shared" si="6"/>
        <v>1</v>
      </c>
      <c r="K18" s="149">
        <f t="shared" si="7"/>
        <v>0.74166367985229376</v>
      </c>
      <c r="L18" s="1180">
        <f t="shared" si="14"/>
        <v>39.192393050723055</v>
      </c>
      <c r="M18" s="79" t="s">
        <v>2689</v>
      </c>
      <c r="N18" s="79">
        <v>60</v>
      </c>
      <c r="O18" s="597">
        <v>42712</v>
      </c>
      <c r="P18" s="598" t="s">
        <v>1148</v>
      </c>
      <c r="Q18" s="149">
        <v>25</v>
      </c>
      <c r="R18" s="599">
        <v>5.8999999999999997E-2</v>
      </c>
      <c r="S18" s="173">
        <f t="shared" si="34"/>
        <v>0.48215842391290709</v>
      </c>
      <c r="T18" s="55">
        <f t="shared" si="35"/>
        <v>44538.25</v>
      </c>
      <c r="U18" s="149">
        <f ca="1">IFERROR(DATEDIF(O18,Stocks!$A$4,"M")*S18,0)</f>
        <v>0.48215842391290709</v>
      </c>
      <c r="V18" s="149">
        <f t="shared" ca="1" si="36"/>
        <v>24.517841576087093</v>
      </c>
      <c r="W18" s="37">
        <f t="shared" si="37"/>
        <v>28.929505434774427</v>
      </c>
      <c r="X18" s="172">
        <f t="shared" si="38"/>
        <v>8</v>
      </c>
      <c r="Y18" s="172">
        <f ca="1">DATEDIF(Stocks!$A$4,'P2P Notes'!T18,"D")</f>
        <v>1766</v>
      </c>
      <c r="Z18" s="1295">
        <f t="shared" ca="1" si="39"/>
        <v>4.8350444900752905</v>
      </c>
      <c r="AA18" s="22" t="str">
        <f t="shared" si="21"/>
        <v>Thurs</v>
      </c>
    </row>
    <row r="19" spans="2:27" ht="13.5" thickBot="1">
      <c r="B19" s="1229">
        <v>25</v>
      </c>
      <c r="C19" s="378"/>
      <c r="D19" s="85">
        <f>INT(C10/B19)</f>
        <v>0</v>
      </c>
      <c r="E19" s="379">
        <f>C10-D19*B19</f>
        <v>10.45</v>
      </c>
      <c r="F19" s="37"/>
      <c r="I19" s="192">
        <v>18</v>
      </c>
      <c r="J19" s="172">
        <f t="shared" si="6"/>
        <v>2</v>
      </c>
      <c r="K19" s="149">
        <f t="shared" si="7"/>
        <v>1.5196433310765429</v>
      </c>
      <c r="L19" s="1180">
        <f t="shared" si="14"/>
        <v>40.712036381799599</v>
      </c>
      <c r="M19" s="79" t="s">
        <v>2684</v>
      </c>
      <c r="N19" s="79">
        <v>36</v>
      </c>
      <c r="O19" s="597">
        <v>42706</v>
      </c>
      <c r="P19" s="598" t="s">
        <v>1148</v>
      </c>
      <c r="Q19" s="149">
        <v>25</v>
      </c>
      <c r="R19" s="599">
        <v>5.8999999999999997E-2</v>
      </c>
      <c r="S19" s="173">
        <f t="shared" si="34"/>
        <v>0.75941619754547773</v>
      </c>
      <c r="T19" s="55">
        <f t="shared" si="35"/>
        <v>43801.75</v>
      </c>
      <c r="U19" s="149">
        <f ca="1">IFERROR(DATEDIF(O19,Stocks!$A$4,"M")*S19,0)</f>
        <v>1.5188323950909555</v>
      </c>
      <c r="V19" s="149">
        <f t="shared" ca="1" si="36"/>
        <v>23.481167604909043</v>
      </c>
      <c r="W19" s="37">
        <f t="shared" si="37"/>
        <v>27.338983111637198</v>
      </c>
      <c r="X19" s="172">
        <f t="shared" si="38"/>
        <v>2</v>
      </c>
      <c r="Y19" s="172">
        <f ca="1">DATEDIF(Stocks!$A$4,'P2P Notes'!T19,"D")</f>
        <v>1029</v>
      </c>
      <c r="Z19" s="1295">
        <f t="shared" ca="1" si="39"/>
        <v>2.817248459958932</v>
      </c>
      <c r="AA19" s="22" t="str">
        <f t="shared" si="21"/>
        <v>Fri</v>
      </c>
    </row>
    <row r="20" spans="2:27">
      <c r="B20" s="590"/>
      <c r="C20" s="37"/>
      <c r="D20" s="747"/>
      <c r="E20" s="37"/>
      <c r="F20" s="37"/>
      <c r="I20" s="192">
        <v>19</v>
      </c>
      <c r="J20" s="172">
        <f t="shared" si="6"/>
        <v>1</v>
      </c>
      <c r="K20" s="149">
        <f t="shared" si="7"/>
        <v>0.77880413956909822</v>
      </c>
      <c r="L20" s="1180">
        <f t="shared" si="14"/>
        <v>41.490840521368696</v>
      </c>
      <c r="M20" s="79" t="s">
        <v>2685</v>
      </c>
      <c r="N20" s="79">
        <v>36</v>
      </c>
      <c r="O20" s="597">
        <v>42706</v>
      </c>
      <c r="P20" s="598" t="s">
        <v>1148</v>
      </c>
      <c r="Q20" s="149">
        <v>25</v>
      </c>
      <c r="R20" s="599">
        <v>5.2999999999999999E-2</v>
      </c>
      <c r="S20" s="173">
        <f t="shared" si="34"/>
        <v>0.75264440366767749</v>
      </c>
      <c r="T20" s="55">
        <f t="shared" si="35"/>
        <v>43801.75</v>
      </c>
      <c r="U20" s="149">
        <f ca="1">IFERROR(DATEDIF(O20,Stocks!$A$4,"M")*S20,0)</f>
        <v>1.505288807335355</v>
      </c>
      <c r="V20" s="149">
        <f t="shared" ca="1" si="36"/>
        <v>23.494711192664646</v>
      </c>
      <c r="W20" s="37">
        <f t="shared" si="37"/>
        <v>27.095198532036388</v>
      </c>
      <c r="X20" s="172">
        <f t="shared" si="38"/>
        <v>2</v>
      </c>
      <c r="Y20" s="172">
        <f ca="1">DATEDIF(Stocks!$A$4,'P2P Notes'!T20,"D")</f>
        <v>1029</v>
      </c>
      <c r="Z20" s="1295">
        <f t="shared" ca="1" si="39"/>
        <v>2.817248459958932</v>
      </c>
      <c r="AA20" s="22" t="str">
        <f t="shared" si="21"/>
        <v>Fri</v>
      </c>
    </row>
    <row r="21" spans="2:27" ht="13.5" thickBot="1">
      <c r="B21" s="42"/>
      <c r="E21" s="587" t="s">
        <v>430</v>
      </c>
      <c r="F21" s="587" t="s">
        <v>1770</v>
      </c>
      <c r="I21" s="192">
        <v>20</v>
      </c>
      <c r="J21" s="172">
        <f t="shared" si="6"/>
        <v>4</v>
      </c>
      <c r="K21" s="149">
        <f t="shared" si="7"/>
        <v>2.8008611147841416</v>
      </c>
      <c r="L21" s="1180">
        <f t="shared" si="14"/>
        <v>44.291701636152837</v>
      </c>
      <c r="M21" s="79" t="s">
        <v>2683</v>
      </c>
      <c r="N21" s="79">
        <v>36</v>
      </c>
      <c r="O21" s="597">
        <v>42705</v>
      </c>
      <c r="P21" s="598" t="s">
        <v>1148</v>
      </c>
      <c r="Q21" s="149">
        <v>25</v>
      </c>
      <c r="R21" s="599">
        <v>5.6000000000000001E-2</v>
      </c>
      <c r="S21" s="173">
        <f t="shared" si="34"/>
        <v>0.75602566236883972</v>
      </c>
      <c r="T21" s="55">
        <f t="shared" si="35"/>
        <v>43800.75</v>
      </c>
      <c r="U21" s="149">
        <f ca="1">IFERROR(DATEDIF(O21,Stocks!$A$4,"M")*S21,0)</f>
        <v>1.5120513247376794</v>
      </c>
      <c r="V21" s="149">
        <f t="shared" ca="1" si="36"/>
        <v>23.48794867526232</v>
      </c>
      <c r="W21" s="37">
        <f t="shared" si="37"/>
        <v>27.216923845278231</v>
      </c>
      <c r="X21" s="172">
        <f t="shared" si="38"/>
        <v>1</v>
      </c>
      <c r="Y21" s="172">
        <f ca="1">DATEDIF(Stocks!$A$4,'P2P Notes'!T21,"D")</f>
        <v>1028</v>
      </c>
      <c r="Z21" s="1295">
        <f t="shared" ca="1" si="39"/>
        <v>2.8145106091718</v>
      </c>
      <c r="AA21" s="22" t="str">
        <f t="shared" si="21"/>
        <v>Thurs</v>
      </c>
    </row>
    <row r="22" spans="2:27">
      <c r="B22" s="964" t="s">
        <v>1748</v>
      </c>
      <c r="C22" s="912" t="s">
        <v>1749</v>
      </c>
      <c r="E22" s="461" t="s">
        <v>1183</v>
      </c>
      <c r="F22" s="388" t="s">
        <v>1182</v>
      </c>
      <c r="G22" s="455" t="s">
        <v>458</v>
      </c>
      <c r="H22" s="172"/>
      <c r="I22" s="192">
        <v>21</v>
      </c>
      <c r="J22" s="172">
        <f t="shared" si="6"/>
        <v>2</v>
      </c>
      <c r="K22" s="149">
        <f t="shared" si="7"/>
        <v>1.2882581412440199</v>
      </c>
      <c r="L22" s="1180">
        <f t="shared" si="14"/>
        <v>45.579959777396859</v>
      </c>
      <c r="M22" s="79" t="s">
        <v>2673</v>
      </c>
      <c r="N22" s="79">
        <v>36</v>
      </c>
      <c r="O22" s="597">
        <v>42703</v>
      </c>
      <c r="P22" s="598" t="s">
        <v>1148</v>
      </c>
      <c r="Q22" s="149">
        <v>25</v>
      </c>
      <c r="R22" s="599">
        <v>5.2999999999999999E-2</v>
      </c>
      <c r="S22" s="173">
        <f t="shared" si="34"/>
        <v>0.75264440366767749</v>
      </c>
      <c r="T22" s="55">
        <f t="shared" si="35"/>
        <v>43798.75</v>
      </c>
      <c r="U22" s="149">
        <f ca="1">IFERROR(DATEDIF(O22,Stocks!$A$4,"M")*S22,0)</f>
        <v>1.505288807335355</v>
      </c>
      <c r="V22" s="149">
        <f t="shared" ca="1" si="36"/>
        <v>23.494711192664646</v>
      </c>
      <c r="W22" s="37">
        <f t="shared" si="37"/>
        <v>27.095198532036388</v>
      </c>
      <c r="X22" s="172">
        <f t="shared" si="38"/>
        <v>29</v>
      </c>
      <c r="Y22" s="172">
        <f ca="1">DATEDIF(Stocks!$A$4,'P2P Notes'!T22,"D")</f>
        <v>1026</v>
      </c>
      <c r="Z22" s="1295">
        <f t="shared" ca="1" si="39"/>
        <v>2.8090349075975358</v>
      </c>
      <c r="AA22" s="22" t="str">
        <f t="shared" si="21"/>
        <v>Tues</v>
      </c>
    </row>
    <row r="23" spans="2:27" ht="13.5" thickBot="1">
      <c r="B23" s="887">
        <f>AVERAGE(J2:J32)</f>
        <v>3.2580645161290325</v>
      </c>
      <c r="C23" s="744">
        <f>MEDIAN(J2:J32)</f>
        <v>3</v>
      </c>
      <c r="E23" s="668">
        <f>SUM(E2:E8)</f>
        <v>73.826901421730255</v>
      </c>
      <c r="F23" s="95">
        <f>E23+D19*B25</f>
        <v>73.826901421730255</v>
      </c>
      <c r="G23" s="695">
        <f>F23/E23-1</f>
        <v>0</v>
      </c>
      <c r="H23" s="599"/>
      <c r="I23" s="192">
        <v>22</v>
      </c>
      <c r="J23" s="172">
        <f t="shared" si="6"/>
        <v>2</v>
      </c>
      <c r="K23" s="149">
        <f t="shared" si="7"/>
        <v>1.5335920132014276</v>
      </c>
      <c r="L23" s="1180">
        <f t="shared" si="14"/>
        <v>47.113551790598287</v>
      </c>
      <c r="M23" s="79" t="s">
        <v>2662</v>
      </c>
      <c r="N23" s="79">
        <v>36</v>
      </c>
      <c r="O23" s="597">
        <v>42689</v>
      </c>
      <c r="P23" s="598" t="s">
        <v>1148</v>
      </c>
      <c r="Q23" s="149">
        <v>25</v>
      </c>
      <c r="R23" s="599">
        <v>5.2999999999999999E-2</v>
      </c>
      <c r="S23" s="173">
        <f t="shared" si="34"/>
        <v>0.75264440366767749</v>
      </c>
      <c r="T23" s="55">
        <f t="shared" si="35"/>
        <v>43784.75</v>
      </c>
      <c r="U23" s="149">
        <f ca="1">IFERROR(DATEDIF(O23,Stocks!$A$4,"M")*S23,0)</f>
        <v>1.505288807335355</v>
      </c>
      <c r="V23" s="149">
        <f t="shared" ca="1" si="36"/>
        <v>23.494711192664646</v>
      </c>
      <c r="W23" s="37">
        <f t="shared" si="37"/>
        <v>27.095198532036388</v>
      </c>
      <c r="X23" s="172">
        <f t="shared" si="38"/>
        <v>15</v>
      </c>
      <c r="Y23" s="172">
        <f ca="1">DATEDIF(Stocks!$A$4,'P2P Notes'!T23,"D")</f>
        <v>1012</v>
      </c>
      <c r="Z23" s="1295">
        <f t="shared" ca="1" si="39"/>
        <v>2.7707049965776864</v>
      </c>
      <c r="AA23" s="22" t="str">
        <f t="shared" si="21"/>
        <v>Tues</v>
      </c>
    </row>
    <row r="24" spans="2:27">
      <c r="B24" s="965" t="s">
        <v>1191</v>
      </c>
      <c r="C24" s="117" t="s">
        <v>1745</v>
      </c>
      <c r="E24" s="466"/>
      <c r="F24" s="192"/>
      <c r="G24" s="695"/>
      <c r="H24" s="599"/>
      <c r="I24" s="192">
        <v>23</v>
      </c>
      <c r="J24" s="172">
        <f t="shared" si="6"/>
        <v>6</v>
      </c>
      <c r="K24" s="149">
        <f t="shared" si="7"/>
        <v>4.5412274329139262</v>
      </c>
      <c r="L24" s="1180">
        <f t="shared" si="14"/>
        <v>51.654779223512215</v>
      </c>
      <c r="M24" s="79" t="s">
        <v>2660</v>
      </c>
      <c r="N24" s="79">
        <v>36</v>
      </c>
      <c r="O24" s="597">
        <v>42688</v>
      </c>
      <c r="P24" s="598" t="s">
        <v>1147</v>
      </c>
      <c r="Q24" s="149">
        <v>25</v>
      </c>
      <c r="R24" s="599">
        <v>6.5000000000000002E-2</v>
      </c>
      <c r="S24" s="173">
        <f t="shared" si="34"/>
        <v>0.76622507191274458</v>
      </c>
      <c r="T24" s="55">
        <f t="shared" si="35"/>
        <v>43783.75</v>
      </c>
      <c r="U24" s="149">
        <f ca="1">IFERROR(DATEDIF(O24,Stocks!$A$4,"M")*S24,0)</f>
        <v>1.5324501438254892</v>
      </c>
      <c r="V24" s="149">
        <f t="shared" ca="1" si="36"/>
        <v>23.467549856174511</v>
      </c>
      <c r="W24" s="37">
        <f t="shared" si="37"/>
        <v>27.584102588858805</v>
      </c>
      <c r="X24" s="172">
        <f t="shared" si="38"/>
        <v>14</v>
      </c>
      <c r="Y24" s="172">
        <f ca="1">DATEDIF(Stocks!$A$4,'P2P Notes'!T24,"D")</f>
        <v>1011</v>
      </c>
      <c r="Z24" s="1295">
        <f t="shared" ca="1" si="39"/>
        <v>2.7679671457905544</v>
      </c>
      <c r="AA24" s="22" t="str">
        <f t="shared" si="21"/>
        <v>Mon</v>
      </c>
    </row>
    <row r="25" spans="2:27" ht="13.5" thickBot="1">
      <c r="B25" s="888">
        <f>AVERAGE(S:S)</f>
        <v>0.73095942001713121</v>
      </c>
      <c r="C25" s="379">
        <f>MEDIAN(S:S)</f>
        <v>0.75941619754547773</v>
      </c>
      <c r="E25" s="466" t="s">
        <v>1184</v>
      </c>
      <c r="F25" s="192" t="s">
        <v>1185</v>
      </c>
      <c r="G25" s="695"/>
      <c r="H25" s="599"/>
      <c r="I25" s="192">
        <v>24</v>
      </c>
      <c r="J25" s="172">
        <f t="shared" si="6"/>
        <v>3</v>
      </c>
      <c r="K25" s="149">
        <f t="shared" si="7"/>
        <v>2.2912937937937334</v>
      </c>
      <c r="L25" s="1180">
        <f t="shared" si="14"/>
        <v>53.946073017305949</v>
      </c>
      <c r="M25" s="79" t="s">
        <v>2635</v>
      </c>
      <c r="N25" s="79">
        <v>36</v>
      </c>
      <c r="O25" s="597">
        <v>42677</v>
      </c>
      <c r="P25" s="598" t="s">
        <v>1147</v>
      </c>
      <c r="Q25" s="149">
        <v>25</v>
      </c>
      <c r="R25" s="599">
        <v>7.1999999999999995E-2</v>
      </c>
      <c r="S25" s="173">
        <f t="shared" si="34"/>
        <v>0.77421555446491586</v>
      </c>
      <c r="T25" s="55">
        <f t="shared" si="35"/>
        <v>43772.75</v>
      </c>
      <c r="U25" s="149">
        <f ca="1">IFERROR(DATEDIF(O25,Stocks!$A$4,"M")*S25,0)</f>
        <v>2.3226466633947478</v>
      </c>
      <c r="V25" s="149">
        <f t="shared" ca="1" si="36"/>
        <v>22.67735333660525</v>
      </c>
      <c r="W25" s="37">
        <f t="shared" si="37"/>
        <v>27.87175996073697</v>
      </c>
      <c r="X25" s="172">
        <f t="shared" si="38"/>
        <v>3</v>
      </c>
      <c r="Y25" s="172">
        <f ca="1">DATEDIF(Stocks!$A$4,'P2P Notes'!T25,"D")</f>
        <v>1000</v>
      </c>
      <c r="Z25" s="1295">
        <f t="shared" ca="1" si="39"/>
        <v>2.7378507871321012</v>
      </c>
      <c r="AA25" s="22" t="str">
        <f t="shared" si="21"/>
        <v>Thurs</v>
      </c>
    </row>
    <row r="26" spans="2:27">
      <c r="B26" s="610"/>
      <c r="C26" s="37"/>
      <c r="D26" s="747" t="s">
        <v>304</v>
      </c>
      <c r="E26" s="668">
        <f>E23*12</f>
        <v>885.92281706076301</v>
      </c>
      <c r="F26" s="95">
        <f>F23*12</f>
        <v>885.92281706076301</v>
      </c>
      <c r="G26" s="357">
        <f>F26-E26</f>
        <v>0</v>
      </c>
      <c r="H26" s="149"/>
      <c r="I26" s="192">
        <v>25</v>
      </c>
      <c r="J26" s="172">
        <f t="shared" si="6"/>
        <v>1</v>
      </c>
      <c r="K26" s="149">
        <f t="shared" si="7"/>
        <v>0.76463302063168959</v>
      </c>
      <c r="L26" s="1180">
        <f t="shared" si="14"/>
        <v>54.710706037937641</v>
      </c>
      <c r="M26" s="79" t="s">
        <v>2615</v>
      </c>
      <c r="N26" s="79">
        <v>36</v>
      </c>
      <c r="O26" s="597">
        <v>42676</v>
      </c>
      <c r="P26" s="598" t="s">
        <v>1148</v>
      </c>
      <c r="Q26" s="149">
        <v>25</v>
      </c>
      <c r="R26" s="599">
        <v>5.8999999999999997E-2</v>
      </c>
      <c r="S26" s="173">
        <f t="shared" si="34"/>
        <v>0.75941619754547773</v>
      </c>
      <c r="T26" s="55">
        <f t="shared" si="35"/>
        <v>43771.75</v>
      </c>
      <c r="U26" s="149">
        <f ca="1">IFERROR(DATEDIF(O26,Stocks!$A$4,"M")*S26,0)</f>
        <v>2.2782485926364333</v>
      </c>
      <c r="V26" s="149">
        <f t="shared" ca="1" si="36"/>
        <v>22.721751407363566</v>
      </c>
      <c r="W26" s="37">
        <f t="shared" si="37"/>
        <v>27.338983111637198</v>
      </c>
      <c r="X26" s="172">
        <f t="shared" si="38"/>
        <v>2</v>
      </c>
      <c r="Y26" s="172">
        <f ca="1">DATEDIF(Stocks!$A$4,'P2P Notes'!T26,"D")</f>
        <v>999</v>
      </c>
      <c r="Z26" s="1295">
        <f t="shared" ca="1" si="39"/>
        <v>2.7351129363449691</v>
      </c>
      <c r="AA26" s="22" t="str">
        <f t="shared" si="21"/>
        <v>Wed</v>
      </c>
    </row>
    <row r="27" spans="2:27">
      <c r="B27" s="116"/>
      <c r="C27" s="149"/>
      <c r="E27" s="466"/>
      <c r="F27" s="192"/>
      <c r="G27" s="695"/>
      <c r="H27" s="599"/>
      <c r="I27" s="192">
        <v>26</v>
      </c>
      <c r="J27" s="172">
        <f t="shared" si="6"/>
        <v>3</v>
      </c>
      <c r="K27" s="149">
        <f t="shared" si="7"/>
        <v>2.2967422597595393</v>
      </c>
      <c r="L27" s="1180">
        <f t="shared" si="14"/>
        <v>57.007448297697181</v>
      </c>
      <c r="M27" s="79" t="s">
        <v>2611</v>
      </c>
      <c r="N27" s="79">
        <v>36</v>
      </c>
      <c r="O27" s="597">
        <v>42674</v>
      </c>
      <c r="P27" s="598" t="s">
        <v>1148</v>
      </c>
      <c r="Q27" s="149">
        <v>25</v>
      </c>
      <c r="R27" s="599">
        <v>5.8999999999999997E-2</v>
      </c>
      <c r="S27" s="173">
        <f t="shared" si="34"/>
        <v>0.75941619754547773</v>
      </c>
      <c r="T27" s="55">
        <f t="shared" si="35"/>
        <v>43769.75</v>
      </c>
      <c r="U27" s="149">
        <f ca="1">IFERROR(DATEDIF(O27,Stocks!$A$4,"M")*S27,0)</f>
        <v>2.2782485926364333</v>
      </c>
      <c r="V27" s="149">
        <f t="shared" ca="1" si="36"/>
        <v>22.721751407363566</v>
      </c>
      <c r="W27" s="37">
        <f t="shared" si="37"/>
        <v>27.338983111637198</v>
      </c>
      <c r="X27" s="172">
        <f t="shared" si="38"/>
        <v>31</v>
      </c>
      <c r="Y27" s="172">
        <f ca="1">DATEDIF(Stocks!$A$4,'P2P Notes'!T27,"D")</f>
        <v>997</v>
      </c>
      <c r="Z27" s="1295">
        <f t="shared" ca="1" si="39"/>
        <v>2.729637234770705</v>
      </c>
      <c r="AA27" s="22" t="str">
        <f t="shared" si="21"/>
        <v>Mon</v>
      </c>
    </row>
    <row r="28" spans="2:27">
      <c r="B28" s="116" t="s">
        <v>2430</v>
      </c>
      <c r="C28" s="1267">
        <v>186.67</v>
      </c>
      <c r="E28" s="466" t="s">
        <v>1189</v>
      </c>
      <c r="F28" s="192" t="s">
        <v>1190</v>
      </c>
      <c r="G28" s="695"/>
      <c r="H28" s="599"/>
      <c r="I28" s="192">
        <v>27</v>
      </c>
      <c r="J28" s="172">
        <f t="shared" si="6"/>
        <v>7</v>
      </c>
      <c r="K28" s="149">
        <f t="shared" si="7"/>
        <v>5.3781738298514519</v>
      </c>
      <c r="L28" s="1180">
        <f t="shared" si="14"/>
        <v>62.385622127548629</v>
      </c>
      <c r="M28" s="79" t="s">
        <v>2517</v>
      </c>
      <c r="N28" s="79">
        <v>36</v>
      </c>
      <c r="O28" s="597">
        <v>42663</v>
      </c>
      <c r="P28" s="598" t="s">
        <v>1147</v>
      </c>
      <c r="Q28" s="149">
        <v>25</v>
      </c>
      <c r="R28" s="599">
        <v>6.9099999999999995E-2</v>
      </c>
      <c r="S28" s="173">
        <f t="shared" si="34"/>
        <v>0.77089910237713255</v>
      </c>
      <c r="T28" s="55">
        <f t="shared" si="35"/>
        <v>43758.75</v>
      </c>
      <c r="U28" s="149">
        <f ca="1">IFERROR(DATEDIF(O28,Stocks!$A$4,"M")*S28,0)</f>
        <v>2.3126973071313977</v>
      </c>
      <c r="V28" s="149">
        <f t="shared" ca="1" si="36"/>
        <v>22.687302692868602</v>
      </c>
      <c r="W28" s="37">
        <f t="shared" si="37"/>
        <v>27.752367685576772</v>
      </c>
      <c r="X28" s="172">
        <f t="shared" si="38"/>
        <v>20</v>
      </c>
      <c r="Y28" s="172">
        <f ca="1">DATEDIF(Stocks!$A$4,'P2P Notes'!T28,"D")</f>
        <v>986</v>
      </c>
      <c r="Z28" s="1295">
        <f t="shared" ca="1" si="39"/>
        <v>2.6995208761122518</v>
      </c>
      <c r="AA28" s="22" t="str">
        <f t="shared" si="21"/>
        <v>Thurs</v>
      </c>
    </row>
    <row r="29" spans="2:27" ht="13.5" thickBot="1">
      <c r="B29" s="149" t="s">
        <v>2714</v>
      </c>
      <c r="C29" s="391">
        <f>INT(C28/25)</f>
        <v>7</v>
      </c>
      <c r="D29" s="397"/>
      <c r="E29" s="669">
        <f>E26/365.25</f>
        <v>2.4255244820280986</v>
      </c>
      <c r="F29" s="696">
        <f>F26/365.25</f>
        <v>2.4255244820280986</v>
      </c>
      <c r="G29" s="379">
        <f>F29-E29</f>
        <v>0</v>
      </c>
      <c r="H29" s="599"/>
      <c r="I29" s="192">
        <v>28</v>
      </c>
      <c r="J29" s="172">
        <f t="shared" si="6"/>
        <v>1</v>
      </c>
      <c r="K29" s="149">
        <f t="shared" si="7"/>
        <v>0.74166367985229376</v>
      </c>
      <c r="L29" s="1180">
        <f t="shared" si="14"/>
        <v>63.127285807400924</v>
      </c>
      <c r="M29" s="79" t="s">
        <v>2513</v>
      </c>
      <c r="N29" s="79">
        <v>36</v>
      </c>
      <c r="O29" s="597">
        <v>42656</v>
      </c>
      <c r="P29" s="598" t="s">
        <v>1147</v>
      </c>
      <c r="Q29" s="149">
        <v>25</v>
      </c>
      <c r="R29" s="599">
        <v>6.9099999999999995E-2</v>
      </c>
      <c r="S29" s="173">
        <f t="shared" si="34"/>
        <v>0.77089910237713255</v>
      </c>
      <c r="T29" s="55">
        <f t="shared" si="35"/>
        <v>43751.75</v>
      </c>
      <c r="U29" s="149">
        <f ca="1">IFERROR(DATEDIF(O29,Stocks!$A$4,"M")*S29,0)</f>
        <v>2.3126973071313977</v>
      </c>
      <c r="V29" s="149">
        <f t="shared" ca="1" si="36"/>
        <v>22.687302692868602</v>
      </c>
      <c r="W29" s="37">
        <f t="shared" si="37"/>
        <v>27.752367685576772</v>
      </c>
      <c r="X29" s="172">
        <f t="shared" si="38"/>
        <v>13</v>
      </c>
      <c r="Y29" s="172">
        <f ca="1">DATEDIF(Stocks!$A$4,'P2P Notes'!T29,"D")</f>
        <v>979</v>
      </c>
      <c r="Z29" s="1295">
        <f t="shared" ca="1" si="39"/>
        <v>2.6803559206023273</v>
      </c>
      <c r="AA29" s="22" t="str">
        <f t="shared" si="21"/>
        <v>Thurs</v>
      </c>
    </row>
    <row r="30" spans="2:27">
      <c r="B30" s="172"/>
      <c r="C30" s="172"/>
      <c r="D30" s="149"/>
      <c r="E30" s="149"/>
      <c r="F30" s="599"/>
      <c r="G30" s="599"/>
      <c r="H30" s="599"/>
      <c r="I30" s="192">
        <v>29</v>
      </c>
      <c r="J30" s="172">
        <f t="shared" si="6"/>
        <v>10</v>
      </c>
      <c r="K30" s="149">
        <f t="shared" si="7"/>
        <v>6.8975474167772406</v>
      </c>
      <c r="L30" s="1180">
        <f t="shared" si="14"/>
        <v>70.024833224178167</v>
      </c>
      <c r="M30" s="79" t="s">
        <v>2506</v>
      </c>
      <c r="N30" s="79">
        <v>36</v>
      </c>
      <c r="O30" s="597">
        <v>42647</v>
      </c>
      <c r="P30" s="598" t="s">
        <v>1148</v>
      </c>
      <c r="Q30" s="149">
        <v>25</v>
      </c>
      <c r="R30" s="599">
        <v>4.3200000000000002E-2</v>
      </c>
      <c r="S30" s="173">
        <f t="shared" si="34"/>
        <v>0.74166367985229376</v>
      </c>
      <c r="T30" s="55">
        <f t="shared" si="35"/>
        <v>43742.75</v>
      </c>
      <c r="U30" s="149">
        <f ca="1">IFERROR(DATEDIF(O30,Stocks!$A$4,"M")*S30,0)</f>
        <v>2.966654719409175</v>
      </c>
      <c r="V30" s="149">
        <f t="shared" ca="1" si="36"/>
        <v>22.033345280590826</v>
      </c>
      <c r="W30" s="37">
        <f t="shared" si="37"/>
        <v>26.699892474682574</v>
      </c>
      <c r="X30" s="172">
        <f t="shared" si="38"/>
        <v>4</v>
      </c>
      <c r="Y30" s="172">
        <f ca="1">DATEDIF(Stocks!$A$4,'P2P Notes'!T30,"D")</f>
        <v>970</v>
      </c>
      <c r="Z30" s="1295">
        <f t="shared" ca="1" si="39"/>
        <v>2.6557152635181382</v>
      </c>
      <c r="AA30" s="22" t="str">
        <f t="shared" si="21"/>
        <v>Tues</v>
      </c>
    </row>
    <row r="31" spans="2:27">
      <c r="D31" s="610"/>
      <c r="I31" s="192">
        <v>30</v>
      </c>
      <c r="J31" s="172">
        <f t="shared" si="6"/>
        <v>3</v>
      </c>
      <c r="K31" s="149">
        <f t="shared" si="7"/>
        <v>2.2967422597595393</v>
      </c>
      <c r="L31" s="1180">
        <f t="shared" si="14"/>
        <v>72.321575483937707</v>
      </c>
      <c r="M31" s="79" t="s">
        <v>2500</v>
      </c>
      <c r="N31" s="79">
        <v>36</v>
      </c>
      <c r="O31" s="597">
        <v>42643</v>
      </c>
      <c r="P31" s="598" t="s">
        <v>1147</v>
      </c>
      <c r="Q31" s="149">
        <v>25</v>
      </c>
      <c r="R31" s="599">
        <v>8.0600000000000005E-2</v>
      </c>
      <c r="S31" s="173">
        <f t="shared" si="34"/>
        <v>0.78410130054280169</v>
      </c>
      <c r="T31" s="55">
        <f t="shared" si="35"/>
        <v>43738.75</v>
      </c>
      <c r="U31" s="149">
        <f ca="1">IFERROR(DATEDIF(O31,Stocks!$A$4,"M")*S31,0)</f>
        <v>3.1364052021712068</v>
      </c>
      <c r="V31" s="149">
        <f t="shared" ca="1" si="36"/>
        <v>21.863594797828792</v>
      </c>
      <c r="W31" s="37">
        <f t="shared" si="37"/>
        <v>28.227646819540862</v>
      </c>
      <c r="X31" s="172">
        <f t="shared" si="38"/>
        <v>30</v>
      </c>
      <c r="Y31" s="172">
        <f ca="1">DATEDIF(Stocks!$A$4,'P2P Notes'!T31,"D")</f>
        <v>966</v>
      </c>
      <c r="Z31" s="1295">
        <f t="shared" ca="1" si="39"/>
        <v>2.64476386036961</v>
      </c>
      <c r="AA31" s="22" t="str">
        <f t="shared" si="21"/>
        <v>Fri</v>
      </c>
    </row>
    <row r="32" spans="2:27" ht="13.5" thickBot="1">
      <c r="B32" s="656" t="s">
        <v>1300</v>
      </c>
      <c r="C32" s="37"/>
      <c r="D32" s="610"/>
      <c r="I32" s="51">
        <v>31</v>
      </c>
      <c r="J32" s="85">
        <f t="shared" si="6"/>
        <v>2</v>
      </c>
      <c r="K32" s="378">
        <f t="shared" si="7"/>
        <v>1.5053259377925574</v>
      </c>
      <c r="L32" s="1181">
        <f t="shared" si="14"/>
        <v>73.82690142173027</v>
      </c>
      <c r="M32" s="79" t="s">
        <v>2501</v>
      </c>
      <c r="N32" s="79">
        <v>36</v>
      </c>
      <c r="O32" s="597">
        <v>42643</v>
      </c>
      <c r="P32" s="598" t="s">
        <v>1148</v>
      </c>
      <c r="Q32" s="149">
        <v>25</v>
      </c>
      <c r="R32" s="599">
        <v>5.1299999999999998E-2</v>
      </c>
      <c r="S32" s="173">
        <f t="shared" si="34"/>
        <v>0.75073247714558911</v>
      </c>
      <c r="T32" s="55">
        <f t="shared" si="35"/>
        <v>43738.75</v>
      </c>
      <c r="U32" s="149">
        <f ca="1">IFERROR(DATEDIF(O32,Stocks!$A$4,"M")*S32,0)</f>
        <v>3.0029299085823564</v>
      </c>
      <c r="V32" s="149">
        <f t="shared" ca="1" si="36"/>
        <v>21.997070091417644</v>
      </c>
      <c r="W32" s="37">
        <f t="shared" si="37"/>
        <v>27.026369177241207</v>
      </c>
      <c r="X32" s="172">
        <f t="shared" si="38"/>
        <v>30</v>
      </c>
      <c r="Y32" s="172">
        <f ca="1">DATEDIF(Stocks!$A$4,'P2P Notes'!T32,"D")</f>
        <v>966</v>
      </c>
      <c r="Z32" s="1295">
        <f t="shared" ca="1" si="39"/>
        <v>2.64476386036961</v>
      </c>
      <c r="AA32" s="22" t="str">
        <f t="shared" si="21"/>
        <v>Fri</v>
      </c>
    </row>
    <row r="33" spans="2:27" ht="13.5" thickBot="1">
      <c r="B33" s="703" t="s">
        <v>143</v>
      </c>
      <c r="C33" s="704">
        <v>3</v>
      </c>
      <c r="E33" s="806" t="s">
        <v>1526</v>
      </c>
      <c r="F33" s="1182" t="s">
        <v>1526</v>
      </c>
      <c r="G33" s="912" t="s">
        <v>1526</v>
      </c>
      <c r="K33" s="37">
        <f>SUM(K2:K32)</f>
        <v>73.82690142173027</v>
      </c>
      <c r="M33" s="79" t="s">
        <v>2502</v>
      </c>
      <c r="N33" s="79">
        <v>36</v>
      </c>
      <c r="O33" s="597">
        <v>42643</v>
      </c>
      <c r="P33" s="598" t="s">
        <v>1148</v>
      </c>
      <c r="Q33" s="149">
        <v>25</v>
      </c>
      <c r="R33" s="599">
        <v>6.1199999999999997E-2</v>
      </c>
      <c r="S33" s="173">
        <f t="shared" si="34"/>
        <v>0.76190848207114847</v>
      </c>
      <c r="T33" s="55">
        <f t="shared" si="35"/>
        <v>43738.75</v>
      </c>
      <c r="U33" s="149">
        <f ca="1">IFERROR(DATEDIF(O33,Stocks!$A$4,"M")*S33,0)</f>
        <v>3.0476339282845939</v>
      </c>
      <c r="V33" s="149">
        <f t="shared" ca="1" si="36"/>
        <v>21.952366071715407</v>
      </c>
      <c r="W33" s="37">
        <f t="shared" si="37"/>
        <v>27.428705354561345</v>
      </c>
      <c r="X33" s="172">
        <f t="shared" si="38"/>
        <v>30</v>
      </c>
      <c r="Y33" s="172">
        <f ca="1">DATEDIF(Stocks!$A$4,'P2P Notes'!T33,"D")</f>
        <v>966</v>
      </c>
      <c r="Z33" s="1295">
        <f t="shared" ca="1" si="39"/>
        <v>2.64476386036961</v>
      </c>
      <c r="AA33" s="22" t="str">
        <f t="shared" si="21"/>
        <v>Fri</v>
      </c>
    </row>
    <row r="34" spans="2:27">
      <c r="B34" s="705">
        <f>INT((25*C33)/B25)+1-D12</f>
        <v>2</v>
      </c>
      <c r="C34" s="398" t="s">
        <v>1301</v>
      </c>
      <c r="E34" s="781">
        <f>1/(E23/25)</f>
        <v>0.33862995085205466</v>
      </c>
      <c r="F34" s="1172">
        <f>E34*(365.25/12)</f>
        <v>10.307049129059413</v>
      </c>
      <c r="G34" s="782">
        <f>F34*24</f>
        <v>247.3691790974259</v>
      </c>
      <c r="I34" s="1455" t="s">
        <v>2180</v>
      </c>
      <c r="J34" s="359">
        <f>COUNTIF($AA:$AA,I34)</f>
        <v>0</v>
      </c>
      <c r="K34" s="352">
        <f>SUMIF($AA:$AA,I34,$S:$S)</f>
        <v>0</v>
      </c>
      <c r="L34" s="356">
        <f>K34</f>
        <v>0</v>
      </c>
      <c r="M34" s="79" t="s">
        <v>2480</v>
      </c>
      <c r="N34" s="79">
        <v>36</v>
      </c>
      <c r="O34" s="597">
        <v>42642</v>
      </c>
      <c r="P34" s="598" t="s">
        <v>1148</v>
      </c>
      <c r="Q34" s="149">
        <v>25</v>
      </c>
      <c r="R34" s="599">
        <v>5.1299999999999998E-2</v>
      </c>
      <c r="S34" s="173">
        <f t="shared" si="34"/>
        <v>0.75073247714558911</v>
      </c>
      <c r="T34" s="55">
        <f t="shared" si="35"/>
        <v>43737.75</v>
      </c>
      <c r="U34" s="149">
        <f ca="1">IFERROR(DATEDIF(O34,Stocks!$A$4,"M")*S34,0)</f>
        <v>3.0029299085823564</v>
      </c>
      <c r="V34" s="149">
        <f t="shared" ca="1" si="36"/>
        <v>21.997070091417644</v>
      </c>
      <c r="W34" s="37">
        <f t="shared" si="37"/>
        <v>27.026369177241207</v>
      </c>
      <c r="X34" s="172">
        <f t="shared" si="38"/>
        <v>29</v>
      </c>
      <c r="Y34" s="172">
        <f ca="1">DATEDIF(Stocks!$A$4,'P2P Notes'!T34,"D")</f>
        <v>965</v>
      </c>
      <c r="Z34" s="1295">
        <f t="shared" ca="1" si="39"/>
        <v>2.6420260095824779</v>
      </c>
      <c r="AA34" s="22" t="str">
        <f t="shared" si="21"/>
        <v>Thurs</v>
      </c>
    </row>
    <row r="35" spans="2:27" ht="13.5" thickBot="1">
      <c r="B35" s="706" t="s">
        <v>1299</v>
      </c>
      <c r="C35" s="379">
        <f>B34*25</f>
        <v>50</v>
      </c>
      <c r="E35" s="51" t="s">
        <v>513</v>
      </c>
      <c r="F35" s="85" t="s">
        <v>845</v>
      </c>
      <c r="G35" s="744" t="s">
        <v>2286</v>
      </c>
      <c r="I35" s="1456" t="s">
        <v>2174</v>
      </c>
      <c r="J35" s="391">
        <f t="shared" ref="J35:J40" si="40">COUNTIF($AA:$AA,I35)</f>
        <v>7</v>
      </c>
      <c r="K35" s="149">
        <f t="shared" ref="K35:K40" si="41">SUMIF($AA:$AA,I35,$S:$S)</f>
        <v>5.1048605212891189</v>
      </c>
      <c r="L35" s="357">
        <f>K35+L34</f>
        <v>5.1048605212891189</v>
      </c>
      <c r="M35" s="79" t="s">
        <v>2481</v>
      </c>
      <c r="N35" s="79">
        <v>36</v>
      </c>
      <c r="O35" s="597">
        <v>42642</v>
      </c>
      <c r="P35" s="598" t="s">
        <v>1147</v>
      </c>
      <c r="Q35" s="149">
        <v>25</v>
      </c>
      <c r="R35" s="599">
        <v>8.0600000000000005E-2</v>
      </c>
      <c r="S35" s="173">
        <f t="shared" si="34"/>
        <v>0.78410130054280169</v>
      </c>
      <c r="T35" s="55">
        <f t="shared" si="35"/>
        <v>43737.75</v>
      </c>
      <c r="U35" s="149">
        <f ca="1">IFERROR(DATEDIF(O35,Stocks!$A$4,"M")*S35,0)</f>
        <v>3.1364052021712068</v>
      </c>
      <c r="V35" s="149">
        <f t="shared" ca="1" si="36"/>
        <v>21.863594797828792</v>
      </c>
      <c r="W35" s="37">
        <f t="shared" si="37"/>
        <v>28.227646819540862</v>
      </c>
      <c r="X35" s="172">
        <f t="shared" si="38"/>
        <v>29</v>
      </c>
      <c r="Y35" s="172">
        <f ca="1">DATEDIF(Stocks!$A$4,'P2P Notes'!T35,"D")</f>
        <v>965</v>
      </c>
      <c r="Z35" s="1295">
        <f t="shared" ca="1" si="39"/>
        <v>2.6420260095824779</v>
      </c>
      <c r="AA35" s="22" t="str">
        <f t="shared" si="21"/>
        <v>Thurs</v>
      </c>
    </row>
    <row r="36" spans="2:27" ht="13.5" thickBot="1">
      <c r="E36" s="3"/>
      <c r="F36" s="3">
        <f>F34/7</f>
        <v>1.4724355898656305</v>
      </c>
      <c r="I36" s="95" t="s">
        <v>2175</v>
      </c>
      <c r="J36" s="391">
        <f t="shared" si="40"/>
        <v>29</v>
      </c>
      <c r="K36" s="149">
        <f t="shared" si="41"/>
        <v>21.055593041494991</v>
      </c>
      <c r="L36" s="357">
        <f t="shared" ref="L36:L40" si="42">K36+L35</f>
        <v>26.160453562784109</v>
      </c>
      <c r="M36" s="79" t="s">
        <v>2482</v>
      </c>
      <c r="N36" s="79">
        <v>36</v>
      </c>
      <c r="O36" s="597">
        <v>42642</v>
      </c>
      <c r="P36" s="598" t="s">
        <v>1148</v>
      </c>
      <c r="Q36" s="149">
        <v>25</v>
      </c>
      <c r="R36" s="599">
        <v>6.1199999999999997E-2</v>
      </c>
      <c r="S36" s="173">
        <f t="shared" si="34"/>
        <v>0.76190848207114847</v>
      </c>
      <c r="T36" s="55">
        <f t="shared" si="35"/>
        <v>43737.75</v>
      </c>
      <c r="U36" s="149">
        <f ca="1">IFERROR(DATEDIF(O36,Stocks!$A$4,"M")*S36,0)</f>
        <v>3.0476339282845939</v>
      </c>
      <c r="V36" s="149">
        <f t="shared" ca="1" si="36"/>
        <v>21.952366071715407</v>
      </c>
      <c r="W36" s="37">
        <f t="shared" si="37"/>
        <v>27.428705354561345</v>
      </c>
      <c r="X36" s="172">
        <f t="shared" si="38"/>
        <v>29</v>
      </c>
      <c r="Y36" s="172">
        <f ca="1">DATEDIF(Stocks!$A$4,'P2P Notes'!T36,"D")</f>
        <v>965</v>
      </c>
      <c r="Z36" s="1295">
        <f t="shared" ca="1" si="39"/>
        <v>2.6420260095824779</v>
      </c>
      <c r="AA36" s="22" t="str">
        <f t="shared" si="21"/>
        <v>Thurs</v>
      </c>
    </row>
    <row r="37" spans="2:27">
      <c r="B37" s="964" t="s">
        <v>1894</v>
      </c>
      <c r="C37" s="912" t="s">
        <v>2352</v>
      </c>
      <c r="F37" s="1" t="s">
        <v>2432</v>
      </c>
      <c r="I37" s="95" t="s">
        <v>2176</v>
      </c>
      <c r="J37" s="391">
        <f t="shared" si="40"/>
        <v>16</v>
      </c>
      <c r="K37" s="149">
        <f t="shared" si="41"/>
        <v>11.379190159425526</v>
      </c>
      <c r="L37" s="357">
        <f t="shared" si="42"/>
        <v>37.539643722209632</v>
      </c>
      <c r="M37" s="79" t="s">
        <v>2483</v>
      </c>
      <c r="N37" s="79">
        <v>36</v>
      </c>
      <c r="O37" s="597">
        <v>42642</v>
      </c>
      <c r="P37" s="598" t="s">
        <v>1147</v>
      </c>
      <c r="Q37" s="149">
        <v>25</v>
      </c>
      <c r="R37" s="599">
        <v>7.51E-2</v>
      </c>
      <c r="S37" s="173">
        <f t="shared" si="34"/>
        <v>0.77777027640564222</v>
      </c>
      <c r="T37" s="55">
        <f t="shared" si="35"/>
        <v>43737.75</v>
      </c>
      <c r="U37" s="149">
        <f ca="1">IFERROR(DATEDIF(O37,Stocks!$A$4,"M")*S37,0)</f>
        <v>3.1110811056225689</v>
      </c>
      <c r="V37" s="149">
        <f t="shared" ca="1" si="36"/>
        <v>21.888918894377433</v>
      </c>
      <c r="W37" s="37">
        <f t="shared" si="37"/>
        <v>27.999729950603118</v>
      </c>
      <c r="X37" s="172">
        <f t="shared" si="38"/>
        <v>29</v>
      </c>
      <c r="Y37" s="172">
        <f ca="1">DATEDIF(Stocks!$A$4,'P2P Notes'!T37,"D")</f>
        <v>965</v>
      </c>
      <c r="Z37" s="1295">
        <f t="shared" ca="1" si="39"/>
        <v>2.6420260095824779</v>
      </c>
      <c r="AA37" s="22" t="str">
        <f t="shared" si="21"/>
        <v>Thurs</v>
      </c>
    </row>
    <row r="38" spans="2:27" ht="13.5" thickBot="1">
      <c r="B38" s="51">
        <f>COUNTIF(J2:J32,"=0")</f>
        <v>0</v>
      </c>
      <c r="C38" s="1011">
        <f>(31-B38)/31</f>
        <v>1</v>
      </c>
      <c r="D38" s="2"/>
      <c r="E38" s="2"/>
      <c r="I38" s="95" t="s">
        <v>2177</v>
      </c>
      <c r="J38" s="391">
        <f t="shared" si="40"/>
        <v>23</v>
      </c>
      <c r="K38" s="149">
        <f t="shared" si="41"/>
        <v>17.098444135783179</v>
      </c>
      <c r="L38" s="357">
        <f t="shared" si="42"/>
        <v>54.638087857992815</v>
      </c>
      <c r="M38" s="79" t="s">
        <v>2439</v>
      </c>
      <c r="N38" s="79">
        <v>36</v>
      </c>
      <c r="O38" s="597">
        <v>42639</v>
      </c>
      <c r="P38" s="598" t="s">
        <v>1148</v>
      </c>
      <c r="Q38" s="149">
        <v>25</v>
      </c>
      <c r="R38" s="599">
        <v>6.1199999999999997E-2</v>
      </c>
      <c r="S38" s="173">
        <f t="shared" si="34"/>
        <v>0.76190848207114847</v>
      </c>
      <c r="T38" s="55">
        <f t="shared" si="35"/>
        <v>43734.75</v>
      </c>
      <c r="U38" s="149">
        <f ca="1">IFERROR(DATEDIF(O38,Stocks!$A$4,"M")*S38,0)</f>
        <v>3.0476339282845939</v>
      </c>
      <c r="V38" s="149">
        <f t="shared" ca="1" si="36"/>
        <v>21.952366071715407</v>
      </c>
      <c r="W38" s="37">
        <f t="shared" si="37"/>
        <v>27.428705354561345</v>
      </c>
      <c r="X38" s="172">
        <f t="shared" si="38"/>
        <v>26</v>
      </c>
      <c r="Y38" s="172">
        <f ca="1">DATEDIF(Stocks!$A$4,'P2P Notes'!T38,"D")</f>
        <v>962</v>
      </c>
      <c r="Z38" s="1295">
        <f t="shared" ca="1" si="39"/>
        <v>2.6338124572210813</v>
      </c>
      <c r="AA38" s="22" t="str">
        <f t="shared" si="21"/>
        <v>Mon</v>
      </c>
    </row>
    <row r="39" spans="2:27" ht="13.5" thickBot="1">
      <c r="B39" s="610"/>
      <c r="G39" s="610"/>
      <c r="H39" s="610"/>
      <c r="I39" s="95" t="s">
        <v>2178</v>
      </c>
      <c r="J39" s="391">
        <f t="shared" si="40"/>
        <v>26</v>
      </c>
      <c r="K39" s="149">
        <f t="shared" si="41"/>
        <v>19.18881356373744</v>
      </c>
      <c r="L39" s="357">
        <f t="shared" si="42"/>
        <v>73.826901421730255</v>
      </c>
      <c r="M39" s="79" t="s">
        <v>2437</v>
      </c>
      <c r="N39" s="79">
        <v>36</v>
      </c>
      <c r="O39" s="597">
        <v>42634</v>
      </c>
      <c r="P39" s="598" t="s">
        <v>1148</v>
      </c>
      <c r="Q39" s="149">
        <v>25</v>
      </c>
      <c r="R39" s="599">
        <v>5.8999999999999997E-2</v>
      </c>
      <c r="S39" s="173">
        <f t="shared" si="34"/>
        <v>0.75941619754547773</v>
      </c>
      <c r="T39" s="55">
        <f t="shared" si="35"/>
        <v>43729.75</v>
      </c>
      <c r="U39" s="149">
        <f ca="1">IFERROR(DATEDIF(O39,Stocks!$A$4,"M")*S39,0)</f>
        <v>3.0376647901819109</v>
      </c>
      <c r="V39" s="149">
        <f t="shared" ca="1" si="36"/>
        <v>21.96233520981809</v>
      </c>
      <c r="W39" s="37">
        <f t="shared" si="37"/>
        <v>27.338983111637198</v>
      </c>
      <c r="X39" s="172">
        <f t="shared" si="38"/>
        <v>21</v>
      </c>
      <c r="Y39" s="172">
        <f ca="1">DATEDIF(Stocks!$A$4,'P2P Notes'!T39,"D")</f>
        <v>957</v>
      </c>
      <c r="Z39" s="1295">
        <f t="shared" ca="1" si="39"/>
        <v>2.6201232032854209</v>
      </c>
      <c r="AA39" s="22" t="str">
        <f t="shared" si="21"/>
        <v>Wed</v>
      </c>
    </row>
    <row r="40" spans="2:27" ht="13.5" thickBot="1">
      <c r="B40" s="388" t="s">
        <v>1462</v>
      </c>
      <c r="C40" s="389" t="s">
        <v>1463</v>
      </c>
      <c r="D40" s="389" t="s">
        <v>1464</v>
      </c>
      <c r="E40" s="455" t="s">
        <v>1465</v>
      </c>
      <c r="F40" s="610"/>
      <c r="I40" s="696" t="s">
        <v>2179</v>
      </c>
      <c r="J40" s="697">
        <f t="shared" si="40"/>
        <v>0</v>
      </c>
      <c r="K40" s="378">
        <f t="shared" si="41"/>
        <v>0</v>
      </c>
      <c r="L40" s="379">
        <f t="shared" si="42"/>
        <v>73.826901421730255</v>
      </c>
      <c r="M40" s="79" t="s">
        <v>2438</v>
      </c>
      <c r="N40" s="79">
        <v>60</v>
      </c>
      <c r="O40" s="597">
        <v>42634</v>
      </c>
      <c r="P40" s="598" t="s">
        <v>882</v>
      </c>
      <c r="Q40" s="149">
        <v>25</v>
      </c>
      <c r="R40" s="599">
        <v>9.8100000000000007E-2</v>
      </c>
      <c r="S40" s="173">
        <f t="shared" si="34"/>
        <v>0.52884194369854209</v>
      </c>
      <c r="T40" s="55">
        <f t="shared" si="35"/>
        <v>44460.25</v>
      </c>
      <c r="U40" s="149">
        <f ca="1">IFERROR(DATEDIF(O40,Stocks!$A$4,"M")*S40,0)</f>
        <v>2.1153677747941684</v>
      </c>
      <c r="V40" s="149">
        <f t="shared" ca="1" si="36"/>
        <v>22.884632225205831</v>
      </c>
      <c r="W40" s="37">
        <f t="shared" si="37"/>
        <v>31.730516621912525</v>
      </c>
      <c r="X40" s="172">
        <f t="shared" si="38"/>
        <v>21</v>
      </c>
      <c r="Y40" s="172">
        <f ca="1">DATEDIF(Stocks!$A$4,'P2P Notes'!T40,"D")</f>
        <v>1688</v>
      </c>
      <c r="Z40" s="1295">
        <f t="shared" ca="1" si="39"/>
        <v>4.6214921286789874</v>
      </c>
      <c r="AA40" s="22" t="str">
        <f t="shared" si="21"/>
        <v>Wed</v>
      </c>
    </row>
    <row r="41" spans="2:27">
      <c r="B41" s="741">
        <v>0.03</v>
      </c>
      <c r="C41" s="172">
        <f>B41*D12</f>
        <v>3.03</v>
      </c>
      <c r="D41" s="742">
        <f>C41*B25</f>
        <v>2.2148070426519073</v>
      </c>
      <c r="E41" s="743">
        <f>D41*12</f>
        <v>26.577684511822888</v>
      </c>
      <c r="G41" s="243"/>
      <c r="K41" s="37">
        <f>SUM(K34:K40)</f>
        <v>73.826901421730255</v>
      </c>
      <c r="M41" s="79" t="s">
        <v>2434</v>
      </c>
      <c r="N41" s="79">
        <v>36</v>
      </c>
      <c r="O41" s="597">
        <v>42628</v>
      </c>
      <c r="P41" s="598" t="s">
        <v>1148</v>
      </c>
      <c r="Q41" s="149">
        <v>25</v>
      </c>
      <c r="R41" s="599">
        <v>5.8999999999999997E-2</v>
      </c>
      <c r="S41" s="173">
        <f t="shared" si="34"/>
        <v>0.75941619754547773</v>
      </c>
      <c r="T41" s="55">
        <f t="shared" si="35"/>
        <v>43723.75</v>
      </c>
      <c r="U41" s="149">
        <f ca="1">IFERROR(DATEDIF(O41,Stocks!$A$4,"M")*S41,0)</f>
        <v>3.0376647901819109</v>
      </c>
      <c r="V41" s="149">
        <f t="shared" ca="1" si="36"/>
        <v>21.96233520981809</v>
      </c>
      <c r="W41" s="37">
        <f t="shared" si="37"/>
        <v>27.338983111637198</v>
      </c>
      <c r="X41" s="172">
        <f t="shared" si="38"/>
        <v>15</v>
      </c>
      <c r="Y41" s="172">
        <f ca="1">DATEDIF(Stocks!$A$4,'P2P Notes'!T41,"D")</f>
        <v>951</v>
      </c>
      <c r="Z41" s="1295">
        <f t="shared" ca="1" si="39"/>
        <v>2.6036960985626285</v>
      </c>
      <c r="AA41" s="22" t="str">
        <f t="shared" si="21"/>
        <v>Thurs</v>
      </c>
    </row>
    <row r="42" spans="2:27">
      <c r="B42" s="192"/>
      <c r="C42" s="172"/>
      <c r="D42" s="172"/>
      <c r="E42" s="398"/>
      <c r="K42" s="747"/>
      <c r="M42" s="79" t="s">
        <v>2413</v>
      </c>
      <c r="N42" s="79">
        <v>60</v>
      </c>
      <c r="O42" s="597">
        <v>42625</v>
      </c>
      <c r="P42" s="598" t="s">
        <v>1147</v>
      </c>
      <c r="Q42" s="149">
        <v>25</v>
      </c>
      <c r="R42" s="599">
        <v>8.6999999999999994E-2</v>
      </c>
      <c r="S42" s="173">
        <f t="shared" si="34"/>
        <v>0.51532646802793791</v>
      </c>
      <c r="T42" s="55">
        <f t="shared" si="35"/>
        <v>44451.25</v>
      </c>
      <c r="U42" s="149">
        <f ca="1">IFERROR(DATEDIF(O42,Stocks!$A$4,"M")*S42,0)</f>
        <v>2.0613058721117516</v>
      </c>
      <c r="V42" s="149">
        <f t="shared" ca="1" si="36"/>
        <v>22.938694127888247</v>
      </c>
      <c r="W42" s="37">
        <f t="shared" si="37"/>
        <v>30.919588081676274</v>
      </c>
      <c r="X42" s="172">
        <f t="shared" si="38"/>
        <v>12</v>
      </c>
      <c r="Y42" s="172">
        <f ca="1">DATEDIF(Stocks!$A$4,'P2P Notes'!T42,"D")</f>
        <v>1679</v>
      </c>
      <c r="Z42" s="1295">
        <f t="shared" ca="1" si="39"/>
        <v>4.5968514715947979</v>
      </c>
      <c r="AA42" s="22" t="str">
        <f t="shared" si="21"/>
        <v>Mon</v>
      </c>
    </row>
    <row r="43" spans="2:27">
      <c r="B43" s="192" t="s">
        <v>1466</v>
      </c>
      <c r="C43" s="172"/>
      <c r="D43" s="172"/>
      <c r="E43" s="398"/>
      <c r="K43" s="747"/>
      <c r="M43" s="79" t="s">
        <v>2414</v>
      </c>
      <c r="N43" s="79">
        <v>36</v>
      </c>
      <c r="O43" s="597">
        <v>42615</v>
      </c>
      <c r="P43" s="598" t="s">
        <v>1147</v>
      </c>
      <c r="Q43" s="149">
        <v>25</v>
      </c>
      <c r="R43" s="599">
        <v>9.4700000000000006E-2</v>
      </c>
      <c r="S43" s="173">
        <f t="shared" si="34"/>
        <v>0.80047319816402451</v>
      </c>
      <c r="T43" s="55">
        <f t="shared" si="35"/>
        <v>43710.75</v>
      </c>
      <c r="U43" s="149">
        <f ca="1">IFERROR(DATEDIF(O43,Stocks!$A$4,"M")*S43,0)</f>
        <v>4.0023659908201221</v>
      </c>
      <c r="V43" s="149">
        <f t="shared" ca="1" si="36"/>
        <v>20.997634009179876</v>
      </c>
      <c r="W43" s="37">
        <f t="shared" si="37"/>
        <v>28.817035133904881</v>
      </c>
      <c r="X43" s="172">
        <f t="shared" si="38"/>
        <v>2</v>
      </c>
      <c r="Y43" s="172">
        <f ca="1">DATEDIF(Stocks!$A$4,'P2P Notes'!T43,"D")</f>
        <v>938</v>
      </c>
      <c r="Z43" s="1295">
        <f t="shared" ca="1" si="39"/>
        <v>2.5681040383299112</v>
      </c>
      <c r="AA43" s="22" t="str">
        <f t="shared" si="21"/>
        <v>Fri</v>
      </c>
    </row>
    <row r="44" spans="2:27" ht="13.5" thickBot="1">
      <c r="B44" s="706">
        <f>B19*C41</f>
        <v>75.75</v>
      </c>
      <c r="C44" s="85"/>
      <c r="D44" s="85"/>
      <c r="E44" s="744"/>
      <c r="K44" s="747"/>
      <c r="M44" s="79" t="s">
        <v>2334</v>
      </c>
      <c r="N44" s="79">
        <v>36</v>
      </c>
      <c r="O44" s="597">
        <v>42598</v>
      </c>
      <c r="P44" s="598" t="s">
        <v>1148</v>
      </c>
      <c r="Q44" s="149">
        <v>25</v>
      </c>
      <c r="R44" s="599">
        <v>5.4399999999999997E-2</v>
      </c>
      <c r="S44" s="173">
        <f t="shared" si="34"/>
        <v>0.7542211695929748</v>
      </c>
      <c r="T44" s="55">
        <f t="shared" si="35"/>
        <v>43693.75</v>
      </c>
      <c r="U44" s="149">
        <f ca="1">IFERROR(DATEDIF(O44,Stocks!$A$4,"M")*S44,0)</f>
        <v>3.7711058479648738</v>
      </c>
      <c r="V44" s="149">
        <f t="shared" ca="1" si="36"/>
        <v>21.228894152035124</v>
      </c>
      <c r="W44" s="37">
        <f t="shared" si="37"/>
        <v>27.151962105347092</v>
      </c>
      <c r="X44" s="172">
        <f t="shared" si="38"/>
        <v>16</v>
      </c>
      <c r="Y44" s="172">
        <f ca="1">DATEDIF(Stocks!$A$4,'P2P Notes'!T44,"D")</f>
        <v>921</v>
      </c>
      <c r="Z44" s="1295">
        <f t="shared" ca="1" si="39"/>
        <v>2.5215605749486651</v>
      </c>
      <c r="AA44" s="22" t="str">
        <f t="shared" si="21"/>
        <v>Tues</v>
      </c>
    </row>
    <row r="45" spans="2:27" ht="13.5" thickBot="1">
      <c r="D45" s="610"/>
      <c r="K45" s="747"/>
      <c r="M45" s="79" t="s">
        <v>2325</v>
      </c>
      <c r="N45" s="79">
        <v>36</v>
      </c>
      <c r="O45" s="597">
        <v>42597</v>
      </c>
      <c r="P45" s="598" t="s">
        <v>1148</v>
      </c>
      <c r="Q45" s="149">
        <v>25</v>
      </c>
      <c r="R45" s="599">
        <v>5.4399999999999997E-2</v>
      </c>
      <c r="S45" s="173">
        <f t="shared" si="34"/>
        <v>0.7542211695929748</v>
      </c>
      <c r="T45" s="55">
        <f t="shared" si="35"/>
        <v>43692.75</v>
      </c>
      <c r="U45" s="149">
        <f ca="1">IFERROR(DATEDIF(O45,Stocks!$A$4,"M")*S45,0)</f>
        <v>3.7711058479648738</v>
      </c>
      <c r="V45" s="149">
        <f t="shared" ca="1" si="36"/>
        <v>21.228894152035124</v>
      </c>
      <c r="W45" s="37">
        <f t="shared" si="37"/>
        <v>27.151962105347092</v>
      </c>
      <c r="X45" s="172">
        <f t="shared" si="38"/>
        <v>15</v>
      </c>
      <c r="Y45" s="172">
        <f ca="1">DATEDIF(Stocks!$A$4,'P2P Notes'!T45,"D")</f>
        <v>920</v>
      </c>
      <c r="Z45" s="1295">
        <f t="shared" ca="1" si="39"/>
        <v>2.5188227241615331</v>
      </c>
      <c r="AA45" s="22" t="str">
        <f t="shared" si="21"/>
        <v>Mon</v>
      </c>
    </row>
    <row r="46" spans="2:27" ht="13.5" thickBot="1">
      <c r="B46" s="461" t="s">
        <v>1486</v>
      </c>
      <c r="C46" s="79"/>
      <c r="K46" s="747"/>
      <c r="M46" s="79" t="s">
        <v>2285</v>
      </c>
      <c r="N46" s="79">
        <v>36</v>
      </c>
      <c r="O46" s="597">
        <v>42587</v>
      </c>
      <c r="P46" s="598" t="s">
        <v>1148</v>
      </c>
      <c r="Q46" s="149">
        <v>25</v>
      </c>
      <c r="R46" s="599">
        <v>5.4399999999999997E-2</v>
      </c>
      <c r="S46" s="173">
        <f t="shared" si="34"/>
        <v>0.7542211695929748</v>
      </c>
      <c r="T46" s="55">
        <f t="shared" si="35"/>
        <v>43682.75</v>
      </c>
      <c r="U46" s="149">
        <f ca="1">IFERROR(DATEDIF(O46,Stocks!$A$4,"M")*S46,0)</f>
        <v>4.5253270175578493</v>
      </c>
      <c r="V46" s="149">
        <f t="shared" ca="1" si="36"/>
        <v>20.474672982442151</v>
      </c>
      <c r="W46" s="37">
        <f t="shared" si="37"/>
        <v>27.151962105347092</v>
      </c>
      <c r="X46" s="172">
        <f t="shared" si="38"/>
        <v>5</v>
      </c>
      <c r="Y46" s="172">
        <f ca="1">DATEDIF(Stocks!$A$4,'P2P Notes'!T46,"D")</f>
        <v>910</v>
      </c>
      <c r="Z46" s="1295">
        <f t="shared" ca="1" si="39"/>
        <v>2.4914442162902124</v>
      </c>
      <c r="AA46" s="22" t="str">
        <f t="shared" si="21"/>
        <v>Fri</v>
      </c>
    </row>
    <row r="47" spans="2:27">
      <c r="B47" s="751">
        <v>100</v>
      </c>
      <c r="C47" s="914"/>
      <c r="E47" s="806" t="s">
        <v>1641</v>
      </c>
      <c r="F47" s="389"/>
      <c r="G47" s="455"/>
      <c r="H47" s="172"/>
      <c r="K47" s="747"/>
      <c r="L47" s="172"/>
      <c r="M47" s="79" t="s">
        <v>2251</v>
      </c>
      <c r="N47" s="79">
        <v>36</v>
      </c>
      <c r="O47" s="597">
        <v>42585</v>
      </c>
      <c r="P47" s="598" t="s">
        <v>1147</v>
      </c>
      <c r="Q47" s="149">
        <v>25</v>
      </c>
      <c r="R47" s="599">
        <v>9.0899999999999995E-2</v>
      </c>
      <c r="S47" s="173">
        <f t="shared" si="34"/>
        <v>0.79604090911370706</v>
      </c>
      <c r="T47" s="55">
        <f t="shared" si="35"/>
        <v>43680.75</v>
      </c>
      <c r="U47" s="149">
        <f ca="1">IFERROR(DATEDIF(O47,Stocks!$A$4,"M")*S47,0)</f>
        <v>4.7762454546822424</v>
      </c>
      <c r="V47" s="149">
        <f t="shared" ca="1" si="36"/>
        <v>20.223754545317757</v>
      </c>
      <c r="W47" s="37">
        <f t="shared" si="37"/>
        <v>28.657472728093452</v>
      </c>
      <c r="X47" s="172">
        <f t="shared" si="38"/>
        <v>3</v>
      </c>
      <c r="Y47" s="172">
        <f ca="1">DATEDIF(Stocks!$A$4,'P2P Notes'!T47,"D")</f>
        <v>908</v>
      </c>
      <c r="Z47" s="1295">
        <f t="shared" ca="1" si="39"/>
        <v>2.4859685147159478</v>
      </c>
      <c r="AA47" s="22" t="str">
        <f t="shared" si="21"/>
        <v>Wed</v>
      </c>
    </row>
    <row r="48" spans="2:27">
      <c r="B48" s="466"/>
      <c r="C48" s="79"/>
      <c r="E48" s="113">
        <f>INT(E23/B19)</f>
        <v>2</v>
      </c>
      <c r="F48" s="172"/>
      <c r="G48" s="398"/>
      <c r="H48" s="172"/>
      <c r="J48" s="747"/>
      <c r="K48" s="747"/>
      <c r="L48" s="172"/>
      <c r="M48" s="79" t="s">
        <v>2250</v>
      </c>
      <c r="N48" s="79">
        <v>36</v>
      </c>
      <c r="O48" s="597">
        <v>42584</v>
      </c>
      <c r="P48" s="598" t="s">
        <v>1147</v>
      </c>
      <c r="Q48" s="149">
        <v>25</v>
      </c>
      <c r="R48" s="599">
        <v>6.9099999999999995E-2</v>
      </c>
      <c r="S48" s="173">
        <f t="shared" si="34"/>
        <v>0.77089910237713255</v>
      </c>
      <c r="T48" s="55">
        <f t="shared" si="35"/>
        <v>43679.75</v>
      </c>
      <c r="U48" s="149">
        <f ca="1">IFERROR(DATEDIF(O48,Stocks!$A$4,"M")*S48,0)</f>
        <v>4.6253946142627953</v>
      </c>
      <c r="V48" s="149">
        <f t="shared" ca="1" si="36"/>
        <v>20.374605385737205</v>
      </c>
      <c r="W48" s="37">
        <f t="shared" si="37"/>
        <v>27.752367685576772</v>
      </c>
      <c r="X48" s="172">
        <f t="shared" si="38"/>
        <v>2</v>
      </c>
      <c r="Y48" s="172">
        <f ca="1">DATEDIF(Stocks!$A$4,'P2P Notes'!T48,"D")</f>
        <v>907</v>
      </c>
      <c r="Z48" s="1295">
        <f t="shared" ca="1" si="39"/>
        <v>2.4832306639288158</v>
      </c>
      <c r="AA48" s="22" t="str">
        <f t="shared" si="21"/>
        <v>Tues</v>
      </c>
    </row>
    <row r="49" spans="2:27">
      <c r="B49" s="466" t="s">
        <v>1503</v>
      </c>
      <c r="C49" s="172"/>
      <c r="D49" s="37"/>
      <c r="E49" s="113"/>
      <c r="F49" s="172"/>
      <c r="G49" s="398"/>
      <c r="H49" s="172"/>
      <c r="K49" s="747"/>
      <c r="L49" s="172"/>
      <c r="M49" s="79" t="s">
        <v>2242</v>
      </c>
      <c r="N49" s="79">
        <v>36</v>
      </c>
      <c r="O49" s="597">
        <v>42584</v>
      </c>
      <c r="P49" s="598" t="s">
        <v>1148</v>
      </c>
      <c r="Q49" s="149">
        <v>25</v>
      </c>
      <c r="R49" s="599">
        <v>5.4399999999999997E-2</v>
      </c>
      <c r="S49" s="173">
        <f t="shared" si="34"/>
        <v>0.7542211695929748</v>
      </c>
      <c r="T49" s="55">
        <f t="shared" si="35"/>
        <v>43679.75</v>
      </c>
      <c r="U49" s="149">
        <f ca="1">IFERROR(DATEDIF(O49,Stocks!$A$4,"M")*S49,0)</f>
        <v>4.5253270175578493</v>
      </c>
      <c r="V49" s="149">
        <f t="shared" ca="1" si="36"/>
        <v>20.474672982442151</v>
      </c>
      <c r="W49" s="37">
        <f t="shared" si="37"/>
        <v>27.151962105347092</v>
      </c>
      <c r="X49" s="172">
        <f t="shared" si="38"/>
        <v>2</v>
      </c>
      <c r="Y49" s="172">
        <f ca="1">DATEDIF(Stocks!$A$4,'P2P Notes'!T49,"D")</f>
        <v>907</v>
      </c>
      <c r="Z49" s="1295">
        <f t="shared" ca="1" si="39"/>
        <v>2.4832306639288158</v>
      </c>
      <c r="AA49" s="22" t="str">
        <f t="shared" si="21"/>
        <v>Tues</v>
      </c>
    </row>
    <row r="50" spans="2:27">
      <c r="B50" s="753">
        <f>CEILING((B47-E23)/B25,1)</f>
        <v>36</v>
      </c>
      <c r="C50" s="913"/>
      <c r="E50" s="113" t="s">
        <v>1642</v>
      </c>
      <c r="F50" s="172"/>
      <c r="G50" s="398"/>
      <c r="H50" s="172"/>
      <c r="J50" s="52" t="s">
        <v>2445</v>
      </c>
      <c r="K50" s="747"/>
      <c r="L50" s="172"/>
      <c r="M50" s="79" t="s">
        <v>2243</v>
      </c>
      <c r="N50" s="79">
        <v>36</v>
      </c>
      <c r="O50" s="597">
        <v>42584</v>
      </c>
      <c r="P50" s="598" t="s">
        <v>1148</v>
      </c>
      <c r="Q50" s="149">
        <v>25</v>
      </c>
      <c r="R50" s="599">
        <v>5.8999999999999997E-2</v>
      </c>
      <c r="S50" s="173">
        <f t="shared" si="34"/>
        <v>0.75941619754547773</v>
      </c>
      <c r="T50" s="55">
        <f t="shared" si="35"/>
        <v>43679.75</v>
      </c>
      <c r="U50" s="149">
        <f ca="1">IFERROR(DATEDIF(O50,Stocks!$A$4,"M")*S50,0)</f>
        <v>4.5564971852728666</v>
      </c>
      <c r="V50" s="149">
        <f t="shared" ca="1" si="36"/>
        <v>20.443502814727132</v>
      </c>
      <c r="W50" s="37">
        <f t="shared" si="37"/>
        <v>27.338983111637198</v>
      </c>
      <c r="X50" s="172">
        <f t="shared" si="38"/>
        <v>2</v>
      </c>
      <c r="Y50" s="172">
        <f ca="1">DATEDIF(Stocks!$A$4,'P2P Notes'!T50,"D")</f>
        <v>907</v>
      </c>
      <c r="Z50" s="1295">
        <f t="shared" ca="1" si="39"/>
        <v>2.4832306639288158</v>
      </c>
      <c r="AA50" s="22" t="str">
        <f t="shared" si="21"/>
        <v>Tues</v>
      </c>
    </row>
    <row r="51" spans="2:27" ht="13.5" thickBot="1">
      <c r="B51" s="466"/>
      <c r="C51" s="172"/>
      <c r="D51" s="747"/>
      <c r="E51" s="109">
        <f>INT(E23/B19)*B25</f>
        <v>1.4619188400342624</v>
      </c>
      <c r="F51" s="85"/>
      <c r="G51" s="744"/>
      <c r="H51" s="172"/>
      <c r="J51" s="52" t="s">
        <v>2446</v>
      </c>
      <c r="K51" s="747"/>
      <c r="L51" s="172"/>
      <c r="M51" s="79" t="s">
        <v>2231</v>
      </c>
      <c r="N51" s="79">
        <v>36</v>
      </c>
      <c r="O51" s="597">
        <v>42580</v>
      </c>
      <c r="P51" s="598" t="s">
        <v>1147</v>
      </c>
      <c r="Q51" s="149">
        <v>25</v>
      </c>
      <c r="R51" s="599">
        <v>6.9099999999999995E-2</v>
      </c>
      <c r="S51" s="173">
        <f t="shared" si="34"/>
        <v>0.77089910237713255</v>
      </c>
      <c r="T51" s="55">
        <f t="shared" si="35"/>
        <v>43675.75</v>
      </c>
      <c r="U51" s="149">
        <f ca="1">IFERROR(DATEDIF(O51,Stocks!$A$4,"M")*S51,0)</f>
        <v>4.6253946142627953</v>
      </c>
      <c r="V51" s="149">
        <f t="shared" ca="1" si="36"/>
        <v>20.374605385737205</v>
      </c>
      <c r="W51" s="37">
        <f t="shared" si="37"/>
        <v>27.752367685576772</v>
      </c>
      <c r="X51" s="172">
        <f t="shared" si="38"/>
        <v>29</v>
      </c>
      <c r="Y51" s="172">
        <f ca="1">DATEDIF(Stocks!$A$4,'P2P Notes'!T51,"D")</f>
        <v>903</v>
      </c>
      <c r="Z51" s="1295">
        <f t="shared" ca="1" si="39"/>
        <v>2.4722792607802875</v>
      </c>
      <c r="AA51" s="22" t="str">
        <f t="shared" si="21"/>
        <v>Fri</v>
      </c>
    </row>
    <row r="52" spans="2:27">
      <c r="B52" s="466" t="s">
        <v>533</v>
      </c>
      <c r="C52" s="172"/>
      <c r="D52" s="747"/>
      <c r="F52" s="747"/>
      <c r="G52" s="747"/>
      <c r="K52" s="747"/>
      <c r="M52" s="79" t="s">
        <v>2218</v>
      </c>
      <c r="N52" s="79">
        <v>36</v>
      </c>
      <c r="O52" s="597">
        <v>42577</v>
      </c>
      <c r="P52" s="598" t="s">
        <v>1147</v>
      </c>
      <c r="Q52" s="149">
        <v>25</v>
      </c>
      <c r="R52" s="599">
        <v>8.0600000000000005E-2</v>
      </c>
      <c r="S52" s="173">
        <f t="shared" si="34"/>
        <v>0.78410130054280169</v>
      </c>
      <c r="T52" s="55">
        <f t="shared" si="35"/>
        <v>43672.75</v>
      </c>
      <c r="U52" s="149">
        <f ca="1">IFERROR(DATEDIF(O52,Stocks!$A$4,"M")*S52,0)</f>
        <v>4.7046078032568097</v>
      </c>
      <c r="V52" s="149">
        <f t="shared" ca="1" si="36"/>
        <v>20.29539219674319</v>
      </c>
      <c r="W52" s="37">
        <f t="shared" si="37"/>
        <v>28.227646819540862</v>
      </c>
      <c r="X52" s="172">
        <f t="shared" si="38"/>
        <v>26</v>
      </c>
      <c r="Y52" s="172">
        <f ca="1">DATEDIF(Stocks!$A$4,'P2P Notes'!T52,"D")</f>
        <v>900</v>
      </c>
      <c r="Z52" s="1295">
        <f t="shared" ca="1" si="39"/>
        <v>2.4640657084188913</v>
      </c>
      <c r="AA52" s="22" t="str">
        <f t="shared" si="21"/>
        <v>Tues</v>
      </c>
    </row>
    <row r="53" spans="2:27" ht="13.5" thickBot="1">
      <c r="B53" s="752">
        <f>B50*25</f>
        <v>900</v>
      </c>
      <c r="C53" s="742"/>
      <c r="D53" s="747"/>
      <c r="F53" s="747"/>
      <c r="G53" s="747"/>
      <c r="K53" s="747"/>
      <c r="M53" s="79" t="s">
        <v>2219</v>
      </c>
      <c r="N53" s="79">
        <v>36</v>
      </c>
      <c r="O53" s="597">
        <v>42577</v>
      </c>
      <c r="P53" s="598" t="s">
        <v>1148</v>
      </c>
      <c r="Q53" s="149">
        <v>25</v>
      </c>
      <c r="R53" s="599">
        <v>5.1299999999999998E-2</v>
      </c>
      <c r="S53" s="173">
        <f t="shared" si="34"/>
        <v>0.75073247714558911</v>
      </c>
      <c r="T53" s="55">
        <f t="shared" si="35"/>
        <v>43672.75</v>
      </c>
      <c r="U53" s="149">
        <f ca="1">IFERROR(DATEDIF(O53,Stocks!$A$4,"M")*S53,0)</f>
        <v>4.5043948628735349</v>
      </c>
      <c r="V53" s="149">
        <f t="shared" ca="1" si="36"/>
        <v>20.495605137126464</v>
      </c>
      <c r="W53" s="37">
        <f t="shared" si="37"/>
        <v>27.026369177241207</v>
      </c>
      <c r="X53" s="172">
        <f t="shared" si="38"/>
        <v>26</v>
      </c>
      <c r="Y53" s="172">
        <f ca="1">DATEDIF(Stocks!$A$4,'P2P Notes'!T53,"D")</f>
        <v>900</v>
      </c>
      <c r="Z53" s="1295">
        <f t="shared" ca="1" si="39"/>
        <v>2.4640657084188913</v>
      </c>
      <c r="AA53" s="22" t="str">
        <f t="shared" si="21"/>
        <v>Tues</v>
      </c>
    </row>
    <row r="54" spans="2:27">
      <c r="D54" s="610"/>
      <c r="F54" s="747"/>
      <c r="G54" s="747"/>
      <c r="K54" s="747"/>
      <c r="M54" s="79" t="s">
        <v>2198</v>
      </c>
      <c r="N54" s="79">
        <v>36</v>
      </c>
      <c r="O54" s="597">
        <v>42565</v>
      </c>
      <c r="P54" s="598" t="s">
        <v>1147</v>
      </c>
      <c r="Q54" s="149">
        <v>25</v>
      </c>
      <c r="R54" s="599">
        <v>6.6600000000000006E-2</v>
      </c>
      <c r="S54" s="173">
        <f t="shared" si="34"/>
        <v>0.7680470276128688</v>
      </c>
      <c r="T54" s="55">
        <f t="shared" si="35"/>
        <v>43660.75</v>
      </c>
      <c r="U54" s="149">
        <f ca="1">IFERROR(DATEDIF(O54,Stocks!$A$4,"M")*S54,0)</f>
        <v>4.6082821656772133</v>
      </c>
      <c r="V54" s="149">
        <f t="shared" ca="1" si="36"/>
        <v>20.391717834322787</v>
      </c>
      <c r="W54" s="37">
        <f t="shared" si="37"/>
        <v>27.649692994063276</v>
      </c>
      <c r="X54" s="172">
        <f t="shared" si="38"/>
        <v>14</v>
      </c>
      <c r="Y54" s="172">
        <f ca="1">DATEDIF(Stocks!$A$4,'P2P Notes'!T54,"D")</f>
        <v>888</v>
      </c>
      <c r="Z54" s="1295">
        <f t="shared" ca="1" si="39"/>
        <v>2.431211498973306</v>
      </c>
      <c r="AA54" s="22" t="str">
        <f t="shared" si="21"/>
        <v>Thurs</v>
      </c>
    </row>
    <row r="55" spans="2:27" ht="13.5" thickBot="1">
      <c r="B55" s="587" t="s">
        <v>2142</v>
      </c>
      <c r="D55" s="1395" t="s">
        <v>2766</v>
      </c>
      <c r="E55" s="747"/>
      <c r="F55" s="747"/>
      <c r="G55" s="747"/>
      <c r="K55" s="747"/>
      <c r="M55" s="79" t="s">
        <v>2193</v>
      </c>
      <c r="N55" s="79">
        <v>60</v>
      </c>
      <c r="O55" s="597">
        <v>42563</v>
      </c>
      <c r="P55" s="598" t="s">
        <v>1147</v>
      </c>
      <c r="Q55" s="149">
        <v>25</v>
      </c>
      <c r="R55" s="599">
        <v>6.6600000000000006E-2</v>
      </c>
      <c r="S55" s="173">
        <f t="shared" si="34"/>
        <v>0.49102947872742536</v>
      </c>
      <c r="T55" s="55">
        <f t="shared" si="35"/>
        <v>44389.25</v>
      </c>
      <c r="U55" s="149">
        <f ca="1">IFERROR(DATEDIF(O55,Stocks!$A$4,"M")*S55,0)</f>
        <v>2.9461768723645521</v>
      </c>
      <c r="V55" s="149">
        <f t="shared" ca="1" si="36"/>
        <v>22.053823127635447</v>
      </c>
      <c r="W55" s="37">
        <f t="shared" si="37"/>
        <v>29.461768723645523</v>
      </c>
      <c r="X55" s="172">
        <f t="shared" si="38"/>
        <v>12</v>
      </c>
      <c r="Y55" s="172">
        <f ca="1">DATEDIF(Stocks!$A$4,'P2P Notes'!T55,"D")</f>
        <v>1617</v>
      </c>
      <c r="Z55" s="1295">
        <f t="shared" ca="1" si="39"/>
        <v>4.4271047227926079</v>
      </c>
      <c r="AA55" s="22" t="str">
        <f t="shared" si="21"/>
        <v>Tues</v>
      </c>
    </row>
    <row r="56" spans="2:27">
      <c r="B56" s="1106" t="s">
        <v>1148</v>
      </c>
      <c r="C56" s="1393">
        <v>65</v>
      </c>
      <c r="D56" s="1396">
        <f>D2/$D$12</f>
        <v>0.58415841584158412</v>
      </c>
      <c r="F56" s="747"/>
      <c r="G56" s="747"/>
      <c r="K56" s="747"/>
      <c r="M56" s="79" t="s">
        <v>2189</v>
      </c>
      <c r="N56" s="79">
        <v>60</v>
      </c>
      <c r="O56" s="597">
        <v>42556</v>
      </c>
      <c r="P56" s="598" t="s">
        <v>1147</v>
      </c>
      <c r="Q56" s="149">
        <v>25</v>
      </c>
      <c r="R56" s="599">
        <v>7.51E-2</v>
      </c>
      <c r="S56" s="173">
        <f t="shared" si="34"/>
        <v>0.50106752265526422</v>
      </c>
      <c r="T56" s="55">
        <f t="shared" si="35"/>
        <v>44382.25</v>
      </c>
      <c r="U56" s="149">
        <f ca="1">IFERROR(DATEDIF(O56,Stocks!$A$4,"M")*S56,0)</f>
        <v>3.5074726585868494</v>
      </c>
      <c r="V56" s="149">
        <f t="shared" ca="1" si="36"/>
        <v>21.492527341413151</v>
      </c>
      <c r="W56" s="37">
        <f t="shared" si="37"/>
        <v>30.064051359315854</v>
      </c>
      <c r="X56" s="172">
        <f t="shared" si="38"/>
        <v>5</v>
      </c>
      <c r="Y56" s="172">
        <f ca="1">DATEDIF(Stocks!$A$4,'P2P Notes'!T56,"D")</f>
        <v>1610</v>
      </c>
      <c r="Z56" s="1295">
        <f t="shared" ca="1" si="39"/>
        <v>4.4079397672826834</v>
      </c>
      <c r="AA56" s="22" t="str">
        <f t="shared" si="21"/>
        <v>Tues</v>
      </c>
    </row>
    <row r="57" spans="2:27">
      <c r="B57" s="1107" t="s">
        <v>1147</v>
      </c>
      <c r="C57" s="172">
        <v>30</v>
      </c>
      <c r="D57" s="1397">
        <f t="shared" ref="D57:D62" si="43">D3/$D$12</f>
        <v>0.33663366336633666</v>
      </c>
      <c r="F57" s="747"/>
      <c r="G57" s="747"/>
      <c r="K57" s="747"/>
      <c r="M57" s="79" t="s">
        <v>2166</v>
      </c>
      <c r="N57" s="79">
        <v>60</v>
      </c>
      <c r="O57" s="597">
        <v>42550</v>
      </c>
      <c r="P57" s="598" t="s">
        <v>1147</v>
      </c>
      <c r="Q57" s="149">
        <v>25</v>
      </c>
      <c r="R57" s="599">
        <v>8.0600000000000005E-2</v>
      </c>
      <c r="S57" s="173">
        <f t="shared" si="34"/>
        <v>0.50762803791541455</v>
      </c>
      <c r="T57" s="55">
        <f t="shared" si="35"/>
        <v>44376.25</v>
      </c>
      <c r="U57" s="149">
        <f ca="1">IFERROR(DATEDIF(O57,Stocks!$A$4,"M")*S57,0)</f>
        <v>3.5533962654079021</v>
      </c>
      <c r="V57" s="149">
        <f t="shared" ca="1" si="36"/>
        <v>21.446603734592099</v>
      </c>
      <c r="W57" s="37">
        <f t="shared" si="37"/>
        <v>30.457682274924874</v>
      </c>
      <c r="X57" s="172">
        <f t="shared" si="38"/>
        <v>29</v>
      </c>
      <c r="Y57" s="172">
        <f ca="1">DATEDIF(Stocks!$A$4,'P2P Notes'!T57,"D")</f>
        <v>1604</v>
      </c>
      <c r="Z57" s="1295">
        <f t="shared" ca="1" si="39"/>
        <v>4.3915126625598901</v>
      </c>
      <c r="AA57" s="22" t="str">
        <f t="shared" si="21"/>
        <v>Wed</v>
      </c>
    </row>
    <row r="58" spans="2:27">
      <c r="B58" s="1107" t="s">
        <v>882</v>
      </c>
      <c r="C58" s="172">
        <v>5</v>
      </c>
      <c r="D58" s="1397">
        <f t="shared" si="43"/>
        <v>4.9504950495049507E-2</v>
      </c>
      <c r="E58" s="747"/>
      <c r="F58" s="747"/>
      <c r="G58" s="747"/>
      <c r="K58" s="747"/>
      <c r="M58" s="79" t="s">
        <v>2148</v>
      </c>
      <c r="N58" s="79">
        <v>36</v>
      </c>
      <c r="O58" s="597">
        <v>42544</v>
      </c>
      <c r="P58" s="598" t="s">
        <v>1147</v>
      </c>
      <c r="Q58" s="149">
        <v>25</v>
      </c>
      <c r="R58" s="599">
        <v>9.4700000000000006E-2</v>
      </c>
      <c r="S58" s="173">
        <f t="shared" si="34"/>
        <v>0.80047319816402451</v>
      </c>
      <c r="T58" s="55">
        <f t="shared" si="35"/>
        <v>43639.75</v>
      </c>
      <c r="U58" s="149">
        <f ca="1">IFERROR(DATEDIF(O58,Stocks!$A$4,"M")*S58,0)</f>
        <v>5.603312387148172</v>
      </c>
      <c r="V58" s="149">
        <f t="shared" ca="1" si="36"/>
        <v>19.396687612851828</v>
      </c>
      <c r="W58" s="37">
        <f t="shared" si="37"/>
        <v>28.817035133904881</v>
      </c>
      <c r="X58" s="172">
        <f t="shared" si="38"/>
        <v>23</v>
      </c>
      <c r="Y58" s="172">
        <f ca="1">DATEDIF(Stocks!$A$4,'P2P Notes'!T58,"D")</f>
        <v>867</v>
      </c>
      <c r="Z58" s="1295">
        <f t="shared" ca="1" si="39"/>
        <v>2.3737166324435317</v>
      </c>
      <c r="AA58" s="22" t="str">
        <f t="shared" si="21"/>
        <v>Thurs</v>
      </c>
    </row>
    <row r="59" spans="2:27">
      <c r="B59" s="1107" t="s">
        <v>0</v>
      </c>
      <c r="C59" s="172">
        <v>0</v>
      </c>
      <c r="D59" s="1397">
        <f t="shared" si="43"/>
        <v>0</v>
      </c>
      <c r="E59" s="747"/>
      <c r="F59" s="747"/>
      <c r="G59" s="747"/>
      <c r="K59" s="747"/>
      <c r="M59" s="79" t="s">
        <v>2149</v>
      </c>
      <c r="N59" s="79">
        <v>36</v>
      </c>
      <c r="O59" s="597">
        <v>42544</v>
      </c>
      <c r="P59" s="598" t="s">
        <v>1147</v>
      </c>
      <c r="Q59" s="149">
        <v>25</v>
      </c>
      <c r="R59" s="599">
        <v>7.51E-2</v>
      </c>
      <c r="S59" s="173">
        <f t="shared" si="34"/>
        <v>0.77777027640564222</v>
      </c>
      <c r="T59" s="55">
        <f t="shared" si="35"/>
        <v>43639.75</v>
      </c>
      <c r="U59" s="149">
        <f ca="1">IFERROR(DATEDIF(O59,Stocks!$A$4,"M")*S59,0)</f>
        <v>5.444391934839496</v>
      </c>
      <c r="V59" s="149">
        <f t="shared" ca="1" si="36"/>
        <v>19.555608065160506</v>
      </c>
      <c r="W59" s="37">
        <f t="shared" si="37"/>
        <v>27.999729950603118</v>
      </c>
      <c r="X59" s="172">
        <f t="shared" si="38"/>
        <v>23</v>
      </c>
      <c r="Y59" s="172">
        <f ca="1">DATEDIF(Stocks!$A$4,'P2P Notes'!T59,"D")</f>
        <v>867</v>
      </c>
      <c r="Z59" s="1295">
        <f t="shared" ca="1" si="39"/>
        <v>2.3737166324435317</v>
      </c>
      <c r="AA59" s="22" t="str">
        <f t="shared" si="21"/>
        <v>Thurs</v>
      </c>
    </row>
    <row r="60" spans="2:27">
      <c r="B60" s="1107" t="s">
        <v>1150</v>
      </c>
      <c r="C60" s="172">
        <v>0</v>
      </c>
      <c r="D60" s="1397">
        <f t="shared" si="43"/>
        <v>1.9801980198019802E-2</v>
      </c>
      <c r="E60" s="747"/>
      <c r="F60" s="747"/>
      <c r="G60" s="747"/>
      <c r="J60" s="616"/>
      <c r="K60" s="747"/>
      <c r="M60" s="79" t="s">
        <v>2116</v>
      </c>
      <c r="N60" s="79">
        <v>36</v>
      </c>
      <c r="O60" s="597">
        <v>42538</v>
      </c>
      <c r="P60" s="598" t="s">
        <v>1148</v>
      </c>
      <c r="Q60" s="149">
        <v>25</v>
      </c>
      <c r="R60" s="599">
        <v>4.3200000000000002E-2</v>
      </c>
      <c r="S60" s="173">
        <f t="shared" si="34"/>
        <v>0.74166367985229376</v>
      </c>
      <c r="T60" s="55">
        <f t="shared" si="35"/>
        <v>43633.75</v>
      </c>
      <c r="U60" s="149">
        <f ca="1">IFERROR(DATEDIF(O60,Stocks!$A$4,"M")*S60,0)</f>
        <v>5.1916457589660565</v>
      </c>
      <c r="V60" s="149">
        <f t="shared" ca="1" si="36"/>
        <v>19.808354241033943</v>
      </c>
      <c r="W60" s="37">
        <f t="shared" si="37"/>
        <v>26.699892474682574</v>
      </c>
      <c r="X60" s="172">
        <f t="shared" si="38"/>
        <v>17</v>
      </c>
      <c r="Y60" s="172">
        <f ca="1">DATEDIF(Stocks!$A$4,'P2P Notes'!T60,"D")</f>
        <v>861</v>
      </c>
      <c r="Z60" s="1295">
        <f t="shared" ca="1" si="39"/>
        <v>2.3572895277207393</v>
      </c>
      <c r="AA60" s="22" t="str">
        <f t="shared" si="21"/>
        <v>Fri</v>
      </c>
    </row>
    <row r="61" spans="2:27">
      <c r="B61" s="1107" t="s">
        <v>1146</v>
      </c>
      <c r="C61" s="172">
        <v>0</v>
      </c>
      <c r="D61" s="1397">
        <f t="shared" si="43"/>
        <v>9.9009900990099011E-3</v>
      </c>
      <c r="E61" s="747"/>
      <c r="F61" s="747"/>
      <c r="G61" s="747"/>
      <c r="K61" s="747"/>
      <c r="M61" s="79" t="s">
        <v>2009</v>
      </c>
      <c r="N61" s="79">
        <v>36</v>
      </c>
      <c r="O61" s="597">
        <v>42524</v>
      </c>
      <c r="P61" s="598" t="s">
        <v>1148</v>
      </c>
      <c r="Q61" s="149">
        <v>25</v>
      </c>
      <c r="R61" s="599">
        <v>5.4399999999999997E-2</v>
      </c>
      <c r="S61" s="173">
        <f t="shared" si="34"/>
        <v>0.7542211695929748</v>
      </c>
      <c r="T61" s="55">
        <f t="shared" si="35"/>
        <v>43619.75</v>
      </c>
      <c r="U61" s="149">
        <f ca="1">IFERROR(DATEDIF(O61,Stocks!$A$4,"M")*S61,0)</f>
        <v>6.0337693567437984</v>
      </c>
      <c r="V61" s="149">
        <f t="shared" ca="1" si="36"/>
        <v>18.966230643256203</v>
      </c>
      <c r="W61" s="37">
        <f t="shared" si="37"/>
        <v>27.151962105347092</v>
      </c>
      <c r="X61" s="172">
        <f t="shared" si="38"/>
        <v>3</v>
      </c>
      <c r="Y61" s="172">
        <f ca="1">DATEDIF(Stocks!$A$4,'P2P Notes'!T61,"D")</f>
        <v>847</v>
      </c>
      <c r="Z61" s="1295">
        <f t="shared" ca="1" si="39"/>
        <v>2.3189596167008899</v>
      </c>
      <c r="AA61" s="22" t="str">
        <f t="shared" si="21"/>
        <v>Fri</v>
      </c>
    </row>
    <row r="62" spans="2:27">
      <c r="B62" s="1107" t="s">
        <v>1166</v>
      </c>
      <c r="C62" s="172">
        <v>0</v>
      </c>
      <c r="D62" s="1397">
        <f t="shared" si="43"/>
        <v>0</v>
      </c>
      <c r="E62" s="747"/>
      <c r="F62" s="747"/>
      <c r="G62" s="747"/>
      <c r="K62" s="747"/>
      <c r="M62" s="79" t="s">
        <v>2005</v>
      </c>
      <c r="N62" s="79">
        <v>36</v>
      </c>
      <c r="O62" s="597">
        <v>42517</v>
      </c>
      <c r="P62" s="598" t="s">
        <v>1148</v>
      </c>
      <c r="Q62" s="149">
        <v>25</v>
      </c>
      <c r="R62" s="599">
        <v>5.8999999999999997E-2</v>
      </c>
      <c r="S62" s="173">
        <f t="shared" si="34"/>
        <v>0.75941619754547773</v>
      </c>
      <c r="T62" s="55">
        <f t="shared" si="35"/>
        <v>43612.75</v>
      </c>
      <c r="U62" s="149">
        <f ca="1">IFERROR(DATEDIF(O62,Stocks!$A$4,"M")*S62,0)</f>
        <v>6.0753295803638219</v>
      </c>
      <c r="V62" s="149">
        <f t="shared" ca="1" si="36"/>
        <v>18.924670419636179</v>
      </c>
      <c r="W62" s="37">
        <f t="shared" si="37"/>
        <v>27.338983111637198</v>
      </c>
      <c r="X62" s="172">
        <f t="shared" si="38"/>
        <v>27</v>
      </c>
      <c r="Y62" s="172">
        <f ca="1">DATEDIF(Stocks!$A$4,'P2P Notes'!T62,"D")</f>
        <v>840</v>
      </c>
      <c r="Z62" s="1295">
        <f t="shared" ca="1" si="39"/>
        <v>2.299794661190965</v>
      </c>
      <c r="AA62" s="22" t="str">
        <f t="shared" si="21"/>
        <v>Fri</v>
      </c>
    </row>
    <row r="63" spans="2:27">
      <c r="B63" s="192"/>
      <c r="C63" s="172"/>
      <c r="D63" s="398"/>
      <c r="E63" s="747"/>
      <c r="F63" s="747"/>
      <c r="G63" s="747"/>
      <c r="K63" s="747"/>
      <c r="M63" s="79" t="s">
        <v>1987</v>
      </c>
      <c r="N63" s="79">
        <v>36</v>
      </c>
      <c r="O63" s="597">
        <v>42514</v>
      </c>
      <c r="P63" s="598" t="s">
        <v>1148</v>
      </c>
      <c r="Q63" s="149">
        <v>25</v>
      </c>
      <c r="R63" s="599">
        <v>6.5100000000000005E-2</v>
      </c>
      <c r="S63" s="173">
        <f t="shared" si="34"/>
        <v>0.76633886701196952</v>
      </c>
      <c r="T63" s="55">
        <f t="shared" si="35"/>
        <v>43609.75</v>
      </c>
      <c r="U63" s="149">
        <f ca="1">IFERROR(DATEDIF(O63,Stocks!$A$4,"M")*S63,0)</f>
        <v>6.1307109360957561</v>
      </c>
      <c r="V63" s="149">
        <f t="shared" ca="1" si="36"/>
        <v>18.869289063904244</v>
      </c>
      <c r="W63" s="37">
        <f t="shared" si="37"/>
        <v>27.588199212430901</v>
      </c>
      <c r="X63" s="172">
        <f t="shared" si="38"/>
        <v>24</v>
      </c>
      <c r="Y63" s="172">
        <f ca="1">DATEDIF(Stocks!$A$4,'P2P Notes'!T63,"D")</f>
        <v>837</v>
      </c>
      <c r="Z63" s="1295">
        <f t="shared" ca="1" si="39"/>
        <v>2.2915811088295688</v>
      </c>
      <c r="AA63" s="22" t="str">
        <f t="shared" si="21"/>
        <v>Tues</v>
      </c>
    </row>
    <row r="64" spans="2:27" ht="13.5" thickBot="1">
      <c r="B64" s="51"/>
      <c r="C64" s="85">
        <f>SUM(C56:C63)</f>
        <v>100</v>
      </c>
      <c r="D64" s="1398">
        <f>SUM(D56:D62)</f>
        <v>1</v>
      </c>
      <c r="E64" s="747"/>
      <c r="F64" s="747"/>
      <c r="G64" s="747"/>
      <c r="K64" s="747"/>
      <c r="M64" s="79" t="s">
        <v>1950</v>
      </c>
      <c r="N64" s="79">
        <v>36</v>
      </c>
      <c r="O64" s="597">
        <v>42496</v>
      </c>
      <c r="P64" s="598" t="s">
        <v>1148</v>
      </c>
      <c r="Q64" s="149">
        <v>25</v>
      </c>
      <c r="R64" s="599">
        <v>5.1299999999999998E-2</v>
      </c>
      <c r="S64" s="173">
        <f t="shared" si="34"/>
        <v>0.75073247714558911</v>
      </c>
      <c r="T64" s="55">
        <f t="shared" si="35"/>
        <v>43591.75</v>
      </c>
      <c r="U64" s="149">
        <f ca="1">IFERROR(DATEDIF(O64,Stocks!$A$4,"M")*S64,0)</f>
        <v>6.7565922943103018</v>
      </c>
      <c r="V64" s="149">
        <f t="shared" ca="1" si="36"/>
        <v>18.243407705689698</v>
      </c>
      <c r="W64" s="37">
        <f t="shared" si="37"/>
        <v>27.026369177241207</v>
      </c>
      <c r="X64" s="172">
        <f t="shared" si="38"/>
        <v>6</v>
      </c>
      <c r="Y64" s="172">
        <f ca="1">DATEDIF(Stocks!$A$4,'P2P Notes'!T64,"D")</f>
        <v>819</v>
      </c>
      <c r="Z64" s="1295">
        <f t="shared" ca="1" si="39"/>
        <v>2.2422997946611911</v>
      </c>
      <c r="AA64" s="22" t="str">
        <f t="shared" si="21"/>
        <v>Fri</v>
      </c>
    </row>
    <row r="65" spans="4:27">
      <c r="D65" s="747"/>
      <c r="E65" s="747"/>
      <c r="F65" s="747"/>
      <c r="G65" s="747"/>
      <c r="K65" s="747"/>
      <c r="M65" s="79" t="s">
        <v>1951</v>
      </c>
      <c r="N65" s="79">
        <v>36</v>
      </c>
      <c r="O65" s="597">
        <v>42496</v>
      </c>
      <c r="P65" s="598" t="s">
        <v>1147</v>
      </c>
      <c r="Q65" s="149">
        <v>25</v>
      </c>
      <c r="R65" s="599">
        <v>6.9099999999999995E-2</v>
      </c>
      <c r="S65" s="173">
        <f t="shared" si="34"/>
        <v>0.77089910237713255</v>
      </c>
      <c r="T65" s="55">
        <f t="shared" si="35"/>
        <v>43591.75</v>
      </c>
      <c r="U65" s="149">
        <f ca="1">IFERROR(DATEDIF(O65,Stocks!$A$4,"M")*S65,0)</f>
        <v>6.938091921394193</v>
      </c>
      <c r="V65" s="149">
        <f t="shared" ca="1" si="36"/>
        <v>18.061908078605807</v>
      </c>
      <c r="W65" s="37">
        <f t="shared" si="37"/>
        <v>27.752367685576772</v>
      </c>
      <c r="X65" s="172">
        <f t="shared" si="38"/>
        <v>6</v>
      </c>
      <c r="Y65" s="172">
        <f ca="1">DATEDIF(Stocks!$A$4,'P2P Notes'!T65,"D")</f>
        <v>819</v>
      </c>
      <c r="Z65" s="1295">
        <f t="shared" ca="1" si="39"/>
        <v>2.2422997946611911</v>
      </c>
      <c r="AA65" s="22" t="str">
        <f t="shared" si="21"/>
        <v>Fri</v>
      </c>
    </row>
    <row r="66" spans="4:27">
      <c r="D66" s="747"/>
      <c r="E66" s="747"/>
      <c r="F66" s="747"/>
      <c r="G66" s="747"/>
      <c r="K66" s="747"/>
      <c r="M66" s="79" t="s">
        <v>1935</v>
      </c>
      <c r="N66" s="79">
        <v>36</v>
      </c>
      <c r="O66" s="597">
        <v>42480</v>
      </c>
      <c r="P66" s="598" t="s">
        <v>1148</v>
      </c>
      <c r="Q66" s="149">
        <v>25</v>
      </c>
      <c r="R66" s="599">
        <v>5.4399999999999997E-2</v>
      </c>
      <c r="S66" s="173">
        <f t="shared" si="34"/>
        <v>0.7542211695929748</v>
      </c>
      <c r="T66" s="55">
        <f t="shared" si="35"/>
        <v>43575.75</v>
      </c>
      <c r="U66" s="149">
        <f ca="1">IFERROR(DATEDIF(O66,Stocks!$A$4,"M")*S66,0)</f>
        <v>6.787990526336773</v>
      </c>
      <c r="V66" s="149">
        <f t="shared" ca="1" si="36"/>
        <v>18.212009473663226</v>
      </c>
      <c r="W66" s="37">
        <f t="shared" si="37"/>
        <v>27.151962105347092</v>
      </c>
      <c r="X66" s="172">
        <f t="shared" si="38"/>
        <v>20</v>
      </c>
      <c r="Y66" s="172">
        <f ca="1">DATEDIF(Stocks!$A$4,'P2P Notes'!T66,"D")</f>
        <v>803</v>
      </c>
      <c r="Z66" s="1295">
        <f t="shared" ca="1" si="39"/>
        <v>2.1984941820670771</v>
      </c>
      <c r="AA66" s="22" t="str">
        <f t="shared" si="21"/>
        <v>Wed</v>
      </c>
    </row>
    <row r="67" spans="4:27">
      <c r="D67" s="747"/>
      <c r="E67" s="747"/>
      <c r="F67" s="747"/>
      <c r="G67" s="747"/>
      <c r="I67" s="747"/>
      <c r="J67" s="747"/>
      <c r="K67" s="747"/>
      <c r="M67" s="79" t="s">
        <v>1927</v>
      </c>
      <c r="N67" s="79">
        <v>36</v>
      </c>
      <c r="O67" s="597">
        <v>42473</v>
      </c>
      <c r="P67" s="598" t="s">
        <v>1148</v>
      </c>
      <c r="Q67" s="149">
        <v>25</v>
      </c>
      <c r="R67" s="599">
        <v>6.5100000000000005E-2</v>
      </c>
      <c r="S67" s="173">
        <f t="shared" si="34"/>
        <v>0.76633886701196952</v>
      </c>
      <c r="T67" s="55">
        <f t="shared" si="35"/>
        <v>43568.75</v>
      </c>
      <c r="U67" s="149">
        <f ca="1">IFERROR(DATEDIF(O67,Stocks!$A$4,"M")*S67,0)</f>
        <v>6.8970498031077252</v>
      </c>
      <c r="V67" s="149">
        <f t="shared" ca="1" si="36"/>
        <v>18.102950196892273</v>
      </c>
      <c r="W67" s="37">
        <f t="shared" si="37"/>
        <v>27.588199212430901</v>
      </c>
      <c r="X67" s="172">
        <f t="shared" si="38"/>
        <v>13</v>
      </c>
      <c r="Y67" s="172">
        <f ca="1">DATEDIF(Stocks!$A$4,'P2P Notes'!T67,"D")</f>
        <v>796</v>
      </c>
      <c r="Z67" s="1295">
        <f t="shared" ca="1" si="39"/>
        <v>2.1793292265571527</v>
      </c>
      <c r="AA67" s="22" t="str">
        <f t="shared" ref="AA67:AA102" si="44">CHOOSE(WEEKDAY(O67),"Sun","Mon","Tues","Wed","Thurs","Fri","Sat")</f>
        <v>Wed</v>
      </c>
    </row>
    <row r="68" spans="4:27">
      <c r="D68" s="747"/>
      <c r="E68" s="747"/>
      <c r="F68" s="747"/>
      <c r="G68" s="747"/>
      <c r="M68" s="79" t="s">
        <v>1918</v>
      </c>
      <c r="N68" s="79">
        <v>60</v>
      </c>
      <c r="O68" s="597">
        <v>42458</v>
      </c>
      <c r="P68" s="598" t="s">
        <v>1147</v>
      </c>
      <c r="Q68" s="149">
        <v>25</v>
      </c>
      <c r="R68" s="599">
        <v>8.6999999999999994E-2</v>
      </c>
      <c r="S68" s="173">
        <f t="shared" si="34"/>
        <v>0.51532646802793791</v>
      </c>
      <c r="T68" s="55">
        <f t="shared" si="35"/>
        <v>44284.25</v>
      </c>
      <c r="U68" s="149">
        <f ca="1">IFERROR(DATEDIF(O68,Stocks!$A$4,"M")*S68,0)</f>
        <v>5.1532646802793796</v>
      </c>
      <c r="V68" s="149">
        <f t="shared" ca="1" si="36"/>
        <v>19.846735319720622</v>
      </c>
      <c r="W68" s="37">
        <f t="shared" si="37"/>
        <v>30.919588081676274</v>
      </c>
      <c r="X68" s="172">
        <f t="shared" si="38"/>
        <v>29</v>
      </c>
      <c r="Y68" s="172">
        <f ca="1">DATEDIF(Stocks!$A$4,'P2P Notes'!T68,"D")</f>
        <v>1512</v>
      </c>
      <c r="Z68" s="1295">
        <f t="shared" ca="1" si="39"/>
        <v>4.1396303901437372</v>
      </c>
      <c r="AA68" s="22" t="str">
        <f t="shared" si="44"/>
        <v>Tues</v>
      </c>
    </row>
    <row r="69" spans="4:27">
      <c r="D69" s="747"/>
      <c r="E69" s="747"/>
      <c r="F69" s="747"/>
      <c r="G69" s="747"/>
      <c r="M69" s="79" t="s">
        <v>1892</v>
      </c>
      <c r="N69" s="79">
        <v>36</v>
      </c>
      <c r="O69" s="597">
        <v>42445</v>
      </c>
      <c r="P69" s="598" t="s">
        <v>1148</v>
      </c>
      <c r="Q69" s="149">
        <v>25</v>
      </c>
      <c r="R69" s="599">
        <v>6.5100000000000005E-2</v>
      </c>
      <c r="S69" s="173">
        <f t="shared" si="34"/>
        <v>0.76633886701196952</v>
      </c>
      <c r="T69" s="55">
        <f t="shared" si="35"/>
        <v>43540.75</v>
      </c>
      <c r="U69" s="149">
        <f ca="1">IFERROR(DATEDIF(O69,Stocks!$A$4,"M")*S69,0)</f>
        <v>7.6633886701196952</v>
      </c>
      <c r="V69" s="149">
        <f t="shared" ca="1" si="36"/>
        <v>17.336611329880306</v>
      </c>
      <c r="W69" s="37">
        <f t="shared" si="37"/>
        <v>27.588199212430901</v>
      </c>
      <c r="X69" s="172">
        <f t="shared" si="38"/>
        <v>16</v>
      </c>
      <c r="Y69" s="172">
        <f ca="1">DATEDIF(Stocks!$A$4,'P2P Notes'!T69,"D")</f>
        <v>768</v>
      </c>
      <c r="Z69" s="1295">
        <f t="shared" ca="1" si="39"/>
        <v>2.1026694045174539</v>
      </c>
      <c r="AA69" s="22" t="str">
        <f t="shared" si="44"/>
        <v>Wed</v>
      </c>
    </row>
    <row r="70" spans="4:27">
      <c r="D70" s="747"/>
      <c r="E70" s="747"/>
      <c r="F70" s="747"/>
      <c r="G70" s="747"/>
      <c r="M70" s="79" t="s">
        <v>1842</v>
      </c>
      <c r="N70" s="79">
        <v>36</v>
      </c>
      <c r="O70" s="597">
        <v>42418</v>
      </c>
      <c r="P70" s="598" t="s">
        <v>1148</v>
      </c>
      <c r="Q70" s="149">
        <v>25</v>
      </c>
      <c r="R70" s="599">
        <v>6.3600000000000004E-2</v>
      </c>
      <c r="S70" s="173">
        <f t="shared" ref="S70:S102" si="45">PMT(R70/12,N70,-Q70)</f>
        <v>0.76463302063168959</v>
      </c>
      <c r="T70" s="55">
        <f t="shared" ref="T70:T102" si="46">O70+365.25*(N70/12)</f>
        <v>43513.75</v>
      </c>
      <c r="U70" s="149">
        <f ca="1">IFERROR(DATEDIF(O70,Stocks!$A$4,"M")*S70,0)</f>
        <v>8.410963226948585</v>
      </c>
      <c r="V70" s="149">
        <f t="shared" ref="V70:V102" ca="1" si="47">Q70-U70</f>
        <v>16.589036773051415</v>
      </c>
      <c r="W70" s="37">
        <f t="shared" ref="W70:W102" si="48">N70*S70</f>
        <v>27.526788742740827</v>
      </c>
      <c r="X70" s="172">
        <f t="shared" ref="X70:X102" si="49">DAY(O70)</f>
        <v>18</v>
      </c>
      <c r="Y70" s="172">
        <f ca="1">DATEDIF(Stocks!$A$4,'P2P Notes'!T70,"D")</f>
        <v>741</v>
      </c>
      <c r="Z70" s="1295">
        <f t="shared" ref="Z70:Z102" ca="1" si="50">Y70/365.25</f>
        <v>2.0287474332648872</v>
      </c>
      <c r="AA70" s="22" t="str">
        <f t="shared" si="44"/>
        <v>Thurs</v>
      </c>
    </row>
    <row r="71" spans="4:27">
      <c r="D71" s="747"/>
      <c r="E71" s="747"/>
      <c r="F71" s="747"/>
      <c r="G71" s="747"/>
      <c r="M71" s="79" t="s">
        <v>1806</v>
      </c>
      <c r="N71" s="79">
        <v>36</v>
      </c>
      <c r="O71" s="597">
        <v>42404</v>
      </c>
      <c r="P71" s="598" t="s">
        <v>1148</v>
      </c>
      <c r="Q71" s="149">
        <v>25</v>
      </c>
      <c r="R71" s="599">
        <v>5.3100000000000001E-2</v>
      </c>
      <c r="S71" s="173">
        <f t="shared" si="45"/>
        <v>0.75275696277111681</v>
      </c>
      <c r="T71" s="55">
        <f t="shared" si="46"/>
        <v>43499.75</v>
      </c>
      <c r="U71" s="149">
        <f ca="1">IFERROR(DATEDIF(O71,Stocks!$A$4,"M")*S71,0)</f>
        <v>9.0330835532534017</v>
      </c>
      <c r="V71" s="149">
        <f t="shared" ca="1" si="47"/>
        <v>15.966916446746598</v>
      </c>
      <c r="W71" s="37">
        <f t="shared" si="48"/>
        <v>27.099250659760205</v>
      </c>
      <c r="X71" s="172">
        <f t="shared" si="49"/>
        <v>4</v>
      </c>
      <c r="Y71" s="172">
        <f ca="1">DATEDIF(Stocks!$A$4,'P2P Notes'!T71,"D")</f>
        <v>727</v>
      </c>
      <c r="Z71" s="1295">
        <f t="shared" ca="1" si="50"/>
        <v>1.9904175222450375</v>
      </c>
      <c r="AA71" s="22" t="str">
        <f t="shared" si="44"/>
        <v>Thurs</v>
      </c>
    </row>
    <row r="72" spans="4:27">
      <c r="D72" s="747"/>
      <c r="E72" s="747"/>
      <c r="F72" s="747"/>
      <c r="G72" s="747"/>
      <c r="M72" s="79" t="s">
        <v>1801</v>
      </c>
      <c r="N72" s="79">
        <v>36</v>
      </c>
      <c r="O72" s="597">
        <v>42391</v>
      </c>
      <c r="P72" s="598" t="s">
        <v>1148</v>
      </c>
      <c r="Q72" s="149">
        <v>25</v>
      </c>
      <c r="R72" s="599">
        <v>6.3600000000000004E-2</v>
      </c>
      <c r="S72" s="173">
        <f t="shared" si="45"/>
        <v>0.76463302063168959</v>
      </c>
      <c r="T72" s="55">
        <f t="shared" si="46"/>
        <v>43486.75</v>
      </c>
      <c r="U72" s="149">
        <f ca="1">IFERROR(DATEDIF(O72,Stocks!$A$4,"M")*S72,0)</f>
        <v>9.175596247580275</v>
      </c>
      <c r="V72" s="149">
        <f t="shared" ca="1" si="47"/>
        <v>15.824403752419725</v>
      </c>
      <c r="W72" s="37">
        <f t="shared" si="48"/>
        <v>27.526788742740827</v>
      </c>
      <c r="X72" s="172">
        <f t="shared" si="49"/>
        <v>22</v>
      </c>
      <c r="Y72" s="172">
        <f ca="1">DATEDIF(Stocks!$A$4,'P2P Notes'!T72,"D")</f>
        <v>714</v>
      </c>
      <c r="Z72" s="1295">
        <f t="shared" ca="1" si="50"/>
        <v>1.9548254620123204</v>
      </c>
      <c r="AA72" s="22" t="str">
        <f t="shared" si="44"/>
        <v>Fri</v>
      </c>
    </row>
    <row r="73" spans="4:27">
      <c r="M73" s="79" t="s">
        <v>1793</v>
      </c>
      <c r="N73" s="79">
        <v>36</v>
      </c>
      <c r="O73" s="597">
        <v>42376</v>
      </c>
      <c r="P73" s="598" t="s">
        <v>1148</v>
      </c>
      <c r="Q73" s="149">
        <v>25</v>
      </c>
      <c r="R73" s="599">
        <v>6.3600000000000004E-2</v>
      </c>
      <c r="S73" s="173">
        <f t="shared" si="45"/>
        <v>0.76463302063168959</v>
      </c>
      <c r="T73" s="55">
        <f t="shared" si="46"/>
        <v>43471.75</v>
      </c>
      <c r="U73" s="149">
        <f ca="1">IFERROR(DATEDIF(O73,Stocks!$A$4,"M")*S73,0)</f>
        <v>9.175596247580275</v>
      </c>
      <c r="V73" s="149">
        <f t="shared" ca="1" si="47"/>
        <v>15.824403752419725</v>
      </c>
      <c r="W73" s="37">
        <f t="shared" si="48"/>
        <v>27.526788742740827</v>
      </c>
      <c r="X73" s="172">
        <f t="shared" si="49"/>
        <v>7</v>
      </c>
      <c r="Y73" s="172">
        <f ca="1">DATEDIF(Stocks!$A$4,'P2P Notes'!T73,"D")</f>
        <v>699</v>
      </c>
      <c r="Z73" s="1295">
        <f t="shared" ca="1" si="50"/>
        <v>1.9137577002053388</v>
      </c>
      <c r="AA73" s="22" t="str">
        <f t="shared" si="44"/>
        <v>Thurs</v>
      </c>
    </row>
    <row r="74" spans="4:27">
      <c r="M74" s="79" t="s">
        <v>1794</v>
      </c>
      <c r="N74" s="79">
        <v>36</v>
      </c>
      <c r="O74" s="597">
        <v>42376</v>
      </c>
      <c r="P74" s="598" t="s">
        <v>1148</v>
      </c>
      <c r="Q74" s="149">
        <v>25</v>
      </c>
      <c r="R74" s="599">
        <v>6.3600000000000004E-2</v>
      </c>
      <c r="S74" s="173">
        <f t="shared" si="45"/>
        <v>0.76463302063168959</v>
      </c>
      <c r="T74" s="55">
        <f t="shared" si="46"/>
        <v>43471.75</v>
      </c>
      <c r="U74" s="149">
        <f ca="1">IFERROR(DATEDIF(O74,Stocks!$A$4,"M")*S74,0)</f>
        <v>9.175596247580275</v>
      </c>
      <c r="V74" s="149">
        <f t="shared" ca="1" si="47"/>
        <v>15.824403752419725</v>
      </c>
      <c r="W74" s="37">
        <f t="shared" si="48"/>
        <v>27.526788742740827</v>
      </c>
      <c r="X74" s="172">
        <f t="shared" si="49"/>
        <v>7</v>
      </c>
      <c r="Y74" s="172">
        <f ca="1">DATEDIF(Stocks!$A$4,'P2P Notes'!T74,"D")</f>
        <v>699</v>
      </c>
      <c r="Z74" s="1295">
        <f t="shared" ca="1" si="50"/>
        <v>1.9137577002053388</v>
      </c>
      <c r="AA74" s="22" t="str">
        <f t="shared" si="44"/>
        <v>Thurs</v>
      </c>
    </row>
    <row r="75" spans="4:27">
      <c r="M75" s="79" t="s">
        <v>1747</v>
      </c>
      <c r="N75" s="79">
        <v>36</v>
      </c>
      <c r="O75" s="597">
        <v>42362</v>
      </c>
      <c r="P75" s="598" t="s">
        <v>1148</v>
      </c>
      <c r="Q75" s="149">
        <v>25</v>
      </c>
      <c r="R75" s="599">
        <v>5.9799999999999999E-2</v>
      </c>
      <c r="S75" s="173">
        <f t="shared" si="45"/>
        <v>0.76032190615007444</v>
      </c>
      <c r="T75" s="55">
        <f t="shared" si="46"/>
        <v>43457.75</v>
      </c>
      <c r="U75" s="149">
        <f ca="1">IFERROR(DATEDIF(O75,Stocks!$A$4,"M")*S75,0)</f>
        <v>9.8841847799509672</v>
      </c>
      <c r="V75" s="149">
        <f t="shared" ca="1" si="47"/>
        <v>15.115815220049033</v>
      </c>
      <c r="W75" s="37">
        <f t="shared" si="48"/>
        <v>27.37158862140268</v>
      </c>
      <c r="X75" s="172">
        <f t="shared" si="49"/>
        <v>24</v>
      </c>
      <c r="Y75" s="172">
        <f ca="1">DATEDIF(Stocks!$A$4,'P2P Notes'!T75,"D")</f>
        <v>685</v>
      </c>
      <c r="Z75" s="1295">
        <f t="shared" ca="1" si="50"/>
        <v>1.8754277891854894</v>
      </c>
      <c r="AA75" s="22" t="str">
        <f t="shared" si="44"/>
        <v>Thurs</v>
      </c>
    </row>
    <row r="76" spans="4:27">
      <c r="M76" s="79" t="s">
        <v>1743</v>
      </c>
      <c r="N76" s="79">
        <v>36</v>
      </c>
      <c r="O76" s="597">
        <v>42361</v>
      </c>
      <c r="P76" s="598" t="s">
        <v>1147</v>
      </c>
      <c r="Q76" s="149">
        <v>25</v>
      </c>
      <c r="R76" s="599">
        <v>6.4899999999999999E-2</v>
      </c>
      <c r="S76" s="173">
        <f t="shared" si="45"/>
        <v>0.76611128709919507</v>
      </c>
      <c r="T76" s="55">
        <f t="shared" si="46"/>
        <v>43456.75</v>
      </c>
      <c r="U76" s="149">
        <f ca="1">IFERROR(DATEDIF(O76,Stocks!$A$4,"M")*S76,0)</f>
        <v>9.9594467322895355</v>
      </c>
      <c r="V76" s="149">
        <f t="shared" ca="1" si="47"/>
        <v>15.040553267710465</v>
      </c>
      <c r="W76" s="37">
        <f t="shared" si="48"/>
        <v>27.580006335571021</v>
      </c>
      <c r="X76" s="172">
        <f t="shared" si="49"/>
        <v>23</v>
      </c>
      <c r="Y76" s="172">
        <f ca="1">DATEDIF(Stocks!$A$4,'P2P Notes'!T76,"D")</f>
        <v>684</v>
      </c>
      <c r="Z76" s="1295">
        <f t="shared" ca="1" si="50"/>
        <v>1.8726899383983573</v>
      </c>
      <c r="AA76" s="22" t="str">
        <f t="shared" si="44"/>
        <v>Wed</v>
      </c>
    </row>
    <row r="77" spans="4:27">
      <c r="M77" s="79" t="s">
        <v>1744</v>
      </c>
      <c r="N77" s="79">
        <v>36</v>
      </c>
      <c r="O77" s="597">
        <v>42361</v>
      </c>
      <c r="P77" s="598" t="s">
        <v>882</v>
      </c>
      <c r="Q77" s="149">
        <v>25</v>
      </c>
      <c r="R77" s="599">
        <v>0.10680000000000001</v>
      </c>
      <c r="S77" s="173">
        <f t="shared" si="45"/>
        <v>0.8146846223638684</v>
      </c>
      <c r="T77" s="55">
        <f t="shared" si="46"/>
        <v>43456.75</v>
      </c>
      <c r="U77" s="149">
        <f ca="1">IFERROR(DATEDIF(O77,Stocks!$A$4,"M")*S77,0)</f>
        <v>10.590900090730289</v>
      </c>
      <c r="V77" s="149">
        <f t="shared" ca="1" si="47"/>
        <v>14.409099909269711</v>
      </c>
      <c r="W77" s="37">
        <f t="shared" si="48"/>
        <v>29.328646405099263</v>
      </c>
      <c r="X77" s="172">
        <f t="shared" si="49"/>
        <v>23</v>
      </c>
      <c r="Y77" s="172">
        <f ca="1">DATEDIF(Stocks!$A$4,'P2P Notes'!T77,"D")</f>
        <v>684</v>
      </c>
      <c r="Z77" s="1295">
        <f t="shared" ca="1" si="50"/>
        <v>1.8726899383983573</v>
      </c>
      <c r="AA77" s="22" t="str">
        <f t="shared" si="44"/>
        <v>Wed</v>
      </c>
    </row>
    <row r="78" spans="4:27">
      <c r="M78" s="79" t="s">
        <v>1740</v>
      </c>
      <c r="N78" s="79">
        <v>60</v>
      </c>
      <c r="O78" s="597">
        <v>42361</v>
      </c>
      <c r="P78" s="598" t="s">
        <v>1150</v>
      </c>
      <c r="Q78" s="149">
        <v>25</v>
      </c>
      <c r="R78" s="599">
        <v>0.17610000000000001</v>
      </c>
      <c r="S78" s="173">
        <f t="shared" si="45"/>
        <v>0.62954364521351791</v>
      </c>
      <c r="T78" s="55">
        <f t="shared" si="46"/>
        <v>44187.25</v>
      </c>
      <c r="U78" s="149">
        <f ca="1">IFERROR(DATEDIF(O78,Stocks!$A$4,"M")*S78,0)</f>
        <v>8.1840673877757322</v>
      </c>
      <c r="V78" s="149">
        <f t="shared" ca="1" si="47"/>
        <v>16.815932612224266</v>
      </c>
      <c r="W78" s="37">
        <f t="shared" si="48"/>
        <v>37.772618712811074</v>
      </c>
      <c r="X78" s="172">
        <f t="shared" si="49"/>
        <v>23</v>
      </c>
      <c r="Y78" s="172">
        <f ca="1">DATEDIF(Stocks!$A$4,'P2P Notes'!T78,"D")</f>
        <v>1415</v>
      </c>
      <c r="Z78" s="1295">
        <f t="shared" ca="1" si="50"/>
        <v>3.8740588637919235</v>
      </c>
      <c r="AA78" s="22" t="str">
        <f t="shared" si="44"/>
        <v>Wed</v>
      </c>
    </row>
    <row r="79" spans="4:27">
      <c r="M79" s="79" t="s">
        <v>1741</v>
      </c>
      <c r="N79" s="79">
        <v>36</v>
      </c>
      <c r="O79" s="597">
        <v>42360</v>
      </c>
      <c r="P79" s="598" t="s">
        <v>1147</v>
      </c>
      <c r="Q79" s="149">
        <v>25</v>
      </c>
      <c r="R79" s="599">
        <v>6.7400000000000002E-2</v>
      </c>
      <c r="S79" s="173">
        <f t="shared" si="45"/>
        <v>0.7689589925697381</v>
      </c>
      <c r="T79" s="55">
        <f t="shared" si="46"/>
        <v>43455.75</v>
      </c>
      <c r="U79" s="149">
        <f ca="1">IFERROR(DATEDIF(O79,Stocks!$A$4,"M")*S79,0)</f>
        <v>9.9964669034065956</v>
      </c>
      <c r="V79" s="149">
        <f t="shared" ca="1" si="47"/>
        <v>15.003533096593404</v>
      </c>
      <c r="W79" s="37">
        <f t="shared" si="48"/>
        <v>27.682523732510571</v>
      </c>
      <c r="X79" s="172">
        <f t="shared" si="49"/>
        <v>22</v>
      </c>
      <c r="Y79" s="172">
        <f ca="1">DATEDIF(Stocks!$A$4,'P2P Notes'!T79,"D")</f>
        <v>683</v>
      </c>
      <c r="Z79" s="1295">
        <f t="shared" ca="1" si="50"/>
        <v>1.8699520876112252</v>
      </c>
      <c r="AA79" s="22" t="str">
        <f t="shared" si="44"/>
        <v>Tues</v>
      </c>
    </row>
    <row r="80" spans="4:27">
      <c r="M80" s="79" t="s">
        <v>1687</v>
      </c>
      <c r="N80" s="79">
        <v>36</v>
      </c>
      <c r="O80" s="597">
        <v>42346</v>
      </c>
      <c r="P80" s="598" t="s">
        <v>1148</v>
      </c>
      <c r="Q80" s="149">
        <v>25</v>
      </c>
      <c r="R80" s="599">
        <v>6.3600000000000004E-2</v>
      </c>
      <c r="S80" s="173">
        <f t="shared" si="45"/>
        <v>0.76463302063168959</v>
      </c>
      <c r="T80" s="55">
        <f t="shared" si="46"/>
        <v>43441.75</v>
      </c>
      <c r="U80" s="149">
        <f ca="1">IFERROR(DATEDIF(O80,Stocks!$A$4,"M")*S80,0)</f>
        <v>9.9402292682119651</v>
      </c>
      <c r="V80" s="149">
        <f t="shared" ca="1" si="47"/>
        <v>15.059770731788035</v>
      </c>
      <c r="W80" s="37">
        <f t="shared" si="48"/>
        <v>27.526788742740827</v>
      </c>
      <c r="X80" s="172">
        <f t="shared" si="49"/>
        <v>8</v>
      </c>
      <c r="Y80" s="172">
        <f ca="1">DATEDIF(Stocks!$A$4,'P2P Notes'!T80,"D")</f>
        <v>669</v>
      </c>
      <c r="Z80" s="1295">
        <f t="shared" ca="1" si="50"/>
        <v>1.8316221765913758</v>
      </c>
      <c r="AA80" s="22" t="str">
        <f t="shared" si="44"/>
        <v>Tues</v>
      </c>
    </row>
    <row r="81" spans="13:27">
      <c r="M81" s="79" t="s">
        <v>1685</v>
      </c>
      <c r="N81" s="79">
        <v>36</v>
      </c>
      <c r="O81" s="597">
        <v>42346</v>
      </c>
      <c r="P81" s="598" t="s">
        <v>1148</v>
      </c>
      <c r="Q81" s="149">
        <v>25</v>
      </c>
      <c r="R81" s="599">
        <v>5.3100000000000001E-2</v>
      </c>
      <c r="S81" s="173">
        <f t="shared" si="45"/>
        <v>0.75275696277111681</v>
      </c>
      <c r="T81" s="55">
        <f t="shared" si="46"/>
        <v>43441.75</v>
      </c>
      <c r="U81" s="149">
        <f ca="1">IFERROR(DATEDIF(O81,Stocks!$A$4,"M")*S81,0)</f>
        <v>9.7858405160245177</v>
      </c>
      <c r="V81" s="149">
        <f t="shared" ca="1" si="47"/>
        <v>15.214159483975482</v>
      </c>
      <c r="W81" s="37">
        <f t="shared" si="48"/>
        <v>27.099250659760205</v>
      </c>
      <c r="X81" s="172">
        <f t="shared" si="49"/>
        <v>8</v>
      </c>
      <c r="Y81" s="172">
        <f ca="1">DATEDIF(Stocks!$A$4,'P2P Notes'!T81,"D")</f>
        <v>669</v>
      </c>
      <c r="Z81" s="1295">
        <f t="shared" ca="1" si="50"/>
        <v>1.8316221765913758</v>
      </c>
      <c r="AA81" s="22" t="str">
        <f t="shared" si="44"/>
        <v>Tues</v>
      </c>
    </row>
    <row r="82" spans="13:27">
      <c r="M82" s="79" t="s">
        <v>1680</v>
      </c>
      <c r="N82" s="79">
        <v>60</v>
      </c>
      <c r="O82" s="597">
        <v>42342</v>
      </c>
      <c r="P82" s="598" t="s">
        <v>1147</v>
      </c>
      <c r="Q82" s="149">
        <v>25</v>
      </c>
      <c r="R82" s="599">
        <v>8.3799999999999999E-2</v>
      </c>
      <c r="S82" s="173">
        <f t="shared" si="45"/>
        <v>0.51146861059553361</v>
      </c>
      <c r="T82" s="55">
        <f t="shared" si="46"/>
        <v>44168.25</v>
      </c>
      <c r="U82" s="149">
        <f ca="1">IFERROR(DATEDIF(O82,Stocks!$A$4,"M")*S82,0)</f>
        <v>7.1605605483374708</v>
      </c>
      <c r="V82" s="149">
        <f t="shared" ca="1" si="47"/>
        <v>17.839439451662528</v>
      </c>
      <c r="W82" s="37">
        <f t="shared" si="48"/>
        <v>30.688116635732015</v>
      </c>
      <c r="X82" s="172">
        <f t="shared" si="49"/>
        <v>4</v>
      </c>
      <c r="Y82" s="172">
        <f ca="1">DATEDIF(Stocks!$A$4,'P2P Notes'!T82,"D")</f>
        <v>1396</v>
      </c>
      <c r="Z82" s="1295">
        <f t="shared" ca="1" si="50"/>
        <v>3.8220396988364134</v>
      </c>
      <c r="AA82" s="22" t="str">
        <f t="shared" si="44"/>
        <v>Fri</v>
      </c>
    </row>
    <row r="83" spans="13:27">
      <c r="M83" s="79" t="s">
        <v>1677</v>
      </c>
      <c r="N83" s="79">
        <v>60</v>
      </c>
      <c r="O83" s="597">
        <v>42340</v>
      </c>
      <c r="P83" s="598" t="s">
        <v>1147</v>
      </c>
      <c r="Q83" s="149">
        <v>25</v>
      </c>
      <c r="R83" s="599">
        <v>8.3799999999999999E-2</v>
      </c>
      <c r="S83" s="173">
        <f t="shared" si="45"/>
        <v>0.51146861059553361</v>
      </c>
      <c r="T83" s="55">
        <f t="shared" si="46"/>
        <v>44166.25</v>
      </c>
      <c r="U83" s="149">
        <f ca="1">IFERROR(DATEDIF(O83,Stocks!$A$4,"M")*S83,0)</f>
        <v>7.1605605483374708</v>
      </c>
      <c r="V83" s="149">
        <f t="shared" ca="1" si="47"/>
        <v>17.839439451662528</v>
      </c>
      <c r="W83" s="37">
        <f t="shared" si="48"/>
        <v>30.688116635732015</v>
      </c>
      <c r="X83" s="172">
        <f t="shared" si="49"/>
        <v>2</v>
      </c>
      <c r="Y83" s="172">
        <f ca="1">DATEDIF(Stocks!$A$4,'P2P Notes'!T83,"D")</f>
        <v>1394</v>
      </c>
      <c r="Z83" s="1295">
        <f t="shared" ca="1" si="50"/>
        <v>3.8165639972621492</v>
      </c>
      <c r="AA83" s="22" t="str">
        <f t="shared" si="44"/>
        <v>Wed</v>
      </c>
    </row>
    <row r="84" spans="13:27">
      <c r="M84" s="79" t="s">
        <v>1669</v>
      </c>
      <c r="N84" s="79">
        <v>36</v>
      </c>
      <c r="O84" s="597">
        <v>42332</v>
      </c>
      <c r="P84" s="598" t="s">
        <v>1148</v>
      </c>
      <c r="Q84" s="149">
        <v>25</v>
      </c>
      <c r="R84" s="599">
        <v>6.3600000000000004E-2</v>
      </c>
      <c r="S84" s="173">
        <f t="shared" si="45"/>
        <v>0.76463302063168959</v>
      </c>
      <c r="T84" s="55">
        <f t="shared" si="46"/>
        <v>43427.75</v>
      </c>
      <c r="U84" s="149">
        <f ca="1">IFERROR(DATEDIF(O84,Stocks!$A$4,"M")*S84,0)</f>
        <v>10.704862288843653</v>
      </c>
      <c r="V84" s="149">
        <f t="shared" ca="1" si="47"/>
        <v>14.295137711156347</v>
      </c>
      <c r="W84" s="37">
        <f t="shared" si="48"/>
        <v>27.526788742740827</v>
      </c>
      <c r="X84" s="172">
        <f t="shared" si="49"/>
        <v>24</v>
      </c>
      <c r="Y84" s="172">
        <f ca="1">DATEDIF(Stocks!$A$4,'P2P Notes'!T84,"D")</f>
        <v>655</v>
      </c>
      <c r="Z84" s="1295">
        <f t="shared" ca="1" si="50"/>
        <v>1.7932922655715264</v>
      </c>
      <c r="AA84" s="22" t="str">
        <f t="shared" si="44"/>
        <v>Tues</v>
      </c>
    </row>
    <row r="85" spans="13:27">
      <c r="M85" s="79" t="s">
        <v>1640</v>
      </c>
      <c r="N85" s="79">
        <v>36</v>
      </c>
      <c r="O85" s="597">
        <v>42311</v>
      </c>
      <c r="P85" s="598" t="s">
        <v>1148</v>
      </c>
      <c r="Q85" s="149">
        <v>25</v>
      </c>
      <c r="R85" s="599">
        <v>5.1299999999999998E-2</v>
      </c>
      <c r="S85" s="173">
        <f t="shared" si="45"/>
        <v>0.75073247714558911</v>
      </c>
      <c r="T85" s="55">
        <f t="shared" si="46"/>
        <v>43406.75</v>
      </c>
      <c r="U85" s="149">
        <f ca="1">IFERROR(DATEDIF(O85,Stocks!$A$4,"M")*S85,0)</f>
        <v>11.260987157183836</v>
      </c>
      <c r="V85" s="149">
        <f t="shared" ca="1" si="47"/>
        <v>13.739012842816164</v>
      </c>
      <c r="W85" s="37">
        <f t="shared" si="48"/>
        <v>27.026369177241207</v>
      </c>
      <c r="X85" s="172">
        <f t="shared" si="49"/>
        <v>3</v>
      </c>
      <c r="Y85" s="172">
        <f ca="1">DATEDIF(Stocks!$A$4,'P2P Notes'!T85,"D")</f>
        <v>634</v>
      </c>
      <c r="Z85" s="1295">
        <f t="shared" ca="1" si="50"/>
        <v>1.7357973990417521</v>
      </c>
      <c r="AA85" s="22" t="str">
        <f t="shared" si="44"/>
        <v>Tues</v>
      </c>
    </row>
    <row r="86" spans="13:27">
      <c r="M86" s="79" t="s">
        <v>1631</v>
      </c>
      <c r="N86" s="79">
        <v>36</v>
      </c>
      <c r="O86" s="597">
        <v>42304</v>
      </c>
      <c r="P86" s="598" t="s">
        <v>1148</v>
      </c>
      <c r="Q86" s="149">
        <v>25</v>
      </c>
      <c r="R86" s="599">
        <v>6.3600000000000004E-2</v>
      </c>
      <c r="S86" s="173">
        <f t="shared" si="45"/>
        <v>0.76463302063168959</v>
      </c>
      <c r="T86" s="55">
        <f t="shared" si="46"/>
        <v>43399.75</v>
      </c>
      <c r="U86" s="149">
        <f ca="1">IFERROR(DATEDIF(O86,Stocks!$A$4,"M")*S86,0)</f>
        <v>11.469495309475343</v>
      </c>
      <c r="V86" s="149">
        <f t="shared" ca="1" si="47"/>
        <v>13.530504690524657</v>
      </c>
      <c r="W86" s="37">
        <f t="shared" si="48"/>
        <v>27.526788742740827</v>
      </c>
      <c r="X86" s="172">
        <f t="shared" si="49"/>
        <v>27</v>
      </c>
      <c r="Y86" s="172">
        <f ca="1">DATEDIF(Stocks!$A$4,'P2P Notes'!T86,"D")</f>
        <v>627</v>
      </c>
      <c r="Z86" s="1295">
        <f t="shared" ca="1" si="50"/>
        <v>1.7166324435318274</v>
      </c>
      <c r="AA86" s="22" t="str">
        <f t="shared" si="44"/>
        <v>Tues</v>
      </c>
    </row>
    <row r="87" spans="13:27">
      <c r="M87" s="79" t="s">
        <v>1602</v>
      </c>
      <c r="N87" s="79">
        <v>36</v>
      </c>
      <c r="O87" s="597">
        <v>42286</v>
      </c>
      <c r="P87" s="598" t="s">
        <v>1148</v>
      </c>
      <c r="Q87" s="149">
        <v>25</v>
      </c>
      <c r="R87" s="599">
        <v>5.3100000000000001E-2</v>
      </c>
      <c r="S87" s="173">
        <f t="shared" si="45"/>
        <v>0.75275696277111681</v>
      </c>
      <c r="T87" s="55">
        <f t="shared" si="46"/>
        <v>43381.75</v>
      </c>
      <c r="U87" s="149">
        <f ca="1">IFERROR(DATEDIF(O87,Stocks!$A$4,"M")*S87,0)</f>
        <v>11.291354441566753</v>
      </c>
      <c r="V87" s="149">
        <f t="shared" ca="1" si="47"/>
        <v>13.708645558433247</v>
      </c>
      <c r="W87" s="37">
        <f t="shared" si="48"/>
        <v>27.099250659760205</v>
      </c>
      <c r="X87" s="172">
        <f t="shared" si="49"/>
        <v>9</v>
      </c>
      <c r="Y87" s="172">
        <f ca="1">DATEDIF(Stocks!$A$4,'P2P Notes'!T87,"D")</f>
        <v>609</v>
      </c>
      <c r="Z87" s="1295">
        <f t="shared" ca="1" si="50"/>
        <v>1.6673511293634498</v>
      </c>
      <c r="AA87" s="22" t="str">
        <f t="shared" si="44"/>
        <v>Fri</v>
      </c>
    </row>
    <row r="88" spans="13:27">
      <c r="M88" s="79" t="s">
        <v>1525</v>
      </c>
      <c r="N88" s="79">
        <v>36</v>
      </c>
      <c r="O88" s="597">
        <v>42272</v>
      </c>
      <c r="P88" s="598" t="s">
        <v>1148</v>
      </c>
      <c r="Q88" s="149">
        <v>25</v>
      </c>
      <c r="R88" s="599">
        <v>6.3600000000000004E-2</v>
      </c>
      <c r="S88" s="173">
        <f t="shared" si="45"/>
        <v>0.76463302063168959</v>
      </c>
      <c r="T88" s="55">
        <f t="shared" si="46"/>
        <v>43367.75</v>
      </c>
      <c r="U88" s="149">
        <f ca="1">IFERROR(DATEDIF(O88,Stocks!$A$4,"M")*S88,0)</f>
        <v>12.234128330107033</v>
      </c>
      <c r="V88" s="149">
        <f t="shared" ca="1" si="47"/>
        <v>12.765871669892967</v>
      </c>
      <c r="W88" s="37">
        <f t="shared" si="48"/>
        <v>27.526788742740827</v>
      </c>
      <c r="X88" s="172">
        <f t="shared" si="49"/>
        <v>25</v>
      </c>
      <c r="Y88" s="172">
        <f ca="1">DATEDIF(Stocks!$A$4,'P2P Notes'!T88,"D")</f>
        <v>595</v>
      </c>
      <c r="Z88" s="1295">
        <f t="shared" ca="1" si="50"/>
        <v>1.6290212183436004</v>
      </c>
      <c r="AA88" s="22" t="str">
        <f t="shared" si="44"/>
        <v>Fri</v>
      </c>
    </row>
    <row r="89" spans="13:27">
      <c r="M89" s="79" t="s">
        <v>1516</v>
      </c>
      <c r="N89" s="79">
        <v>36</v>
      </c>
      <c r="O89" s="597">
        <v>42258</v>
      </c>
      <c r="P89" s="598" t="s">
        <v>1148</v>
      </c>
      <c r="Q89" s="149">
        <v>25</v>
      </c>
      <c r="R89" s="599">
        <v>6.3600000000000004E-2</v>
      </c>
      <c r="S89" s="173">
        <f t="shared" si="45"/>
        <v>0.76463302063168959</v>
      </c>
      <c r="T89" s="55">
        <f t="shared" si="46"/>
        <v>43353.75</v>
      </c>
      <c r="U89" s="149">
        <f ca="1">IFERROR(DATEDIF(O89,Stocks!$A$4,"M")*S89,0)</f>
        <v>12.234128330107033</v>
      </c>
      <c r="V89" s="149">
        <f t="shared" ca="1" si="47"/>
        <v>12.765871669892967</v>
      </c>
      <c r="W89" s="37">
        <f t="shared" si="48"/>
        <v>27.526788742740827</v>
      </c>
      <c r="X89" s="172">
        <f t="shared" si="49"/>
        <v>11</v>
      </c>
      <c r="Y89" s="172">
        <f ca="1">DATEDIF(Stocks!$A$4,'P2P Notes'!T89,"D")</f>
        <v>581</v>
      </c>
      <c r="Z89" s="1295">
        <f t="shared" ca="1" si="50"/>
        <v>1.5906913073237507</v>
      </c>
      <c r="AA89" s="22" t="str">
        <f t="shared" si="44"/>
        <v>Fri</v>
      </c>
    </row>
    <row r="90" spans="13:27">
      <c r="M90" s="79" t="s">
        <v>1483</v>
      </c>
      <c r="N90" s="79">
        <v>36</v>
      </c>
      <c r="O90" s="597">
        <v>42223</v>
      </c>
      <c r="P90" s="598" t="s">
        <v>1148</v>
      </c>
      <c r="Q90" s="149">
        <v>25</v>
      </c>
      <c r="R90" s="599">
        <v>4.3200000000000002E-2</v>
      </c>
      <c r="S90" s="173">
        <f t="shared" si="45"/>
        <v>0.74166367985229376</v>
      </c>
      <c r="T90" s="55">
        <f t="shared" si="46"/>
        <v>43318.75</v>
      </c>
      <c r="U90" s="149">
        <f ca="1">IFERROR(DATEDIF(O90,Stocks!$A$4,"M")*S90,0)</f>
        <v>12.608282557488995</v>
      </c>
      <c r="V90" s="149">
        <f t="shared" ca="1" si="47"/>
        <v>12.391717442511005</v>
      </c>
      <c r="W90" s="37">
        <f t="shared" si="48"/>
        <v>26.699892474682574</v>
      </c>
      <c r="X90" s="172">
        <f t="shared" si="49"/>
        <v>7</v>
      </c>
      <c r="Y90" s="172">
        <f ca="1">DATEDIF(Stocks!$A$4,'P2P Notes'!T90,"D")</f>
        <v>546</v>
      </c>
      <c r="Z90" s="1295">
        <f t="shared" ca="1" si="50"/>
        <v>1.4948665297741273</v>
      </c>
      <c r="AA90" s="22" t="str">
        <f t="shared" si="44"/>
        <v>Fri</v>
      </c>
    </row>
    <row r="91" spans="13:27">
      <c r="M91" s="79" t="s">
        <v>1446</v>
      </c>
      <c r="N91" s="79">
        <v>36</v>
      </c>
      <c r="O91" s="597">
        <v>42195</v>
      </c>
      <c r="P91" s="598" t="s">
        <v>1147</v>
      </c>
      <c r="Q91" s="149">
        <v>25</v>
      </c>
      <c r="R91" s="599">
        <v>6.7400000000000002E-2</v>
      </c>
      <c r="S91" s="173">
        <f t="shared" si="45"/>
        <v>0.7689589925697381</v>
      </c>
      <c r="T91" s="55">
        <f t="shared" si="46"/>
        <v>43290.75</v>
      </c>
      <c r="U91" s="149">
        <f ca="1">IFERROR(DATEDIF(O91,Stocks!$A$4,"M")*S91,0)</f>
        <v>13.841261866255286</v>
      </c>
      <c r="V91" s="149">
        <f t="shared" ca="1" si="47"/>
        <v>11.158738133744714</v>
      </c>
      <c r="W91" s="37">
        <f t="shared" si="48"/>
        <v>27.682523732510571</v>
      </c>
      <c r="X91" s="172">
        <f t="shared" si="49"/>
        <v>10</v>
      </c>
      <c r="Y91" s="172">
        <f ca="1">DATEDIF(Stocks!$A$4,'P2P Notes'!T91,"D")</f>
        <v>518</v>
      </c>
      <c r="Z91" s="1295">
        <f t="shared" ca="1" si="50"/>
        <v>1.4182067077344285</v>
      </c>
      <c r="AA91" s="22" t="str">
        <f t="shared" si="44"/>
        <v>Fri</v>
      </c>
    </row>
    <row r="92" spans="13:27">
      <c r="M92" s="79" t="s">
        <v>1444</v>
      </c>
      <c r="N92" s="79">
        <v>36</v>
      </c>
      <c r="O92" s="597">
        <v>42188</v>
      </c>
      <c r="P92" s="598" t="s">
        <v>1147</v>
      </c>
      <c r="Q92" s="149">
        <v>25</v>
      </c>
      <c r="R92" s="599">
        <v>9.4299999999999995E-2</v>
      </c>
      <c r="S92" s="173">
        <f t="shared" si="45"/>
        <v>0.80000594722319263</v>
      </c>
      <c r="T92" s="55">
        <f t="shared" si="46"/>
        <v>43283.75</v>
      </c>
      <c r="U92" s="149">
        <f ca="1">IFERROR(DATEDIF(O92,Stocks!$A$4,"M")*S92,0)</f>
        <v>15.200112997240661</v>
      </c>
      <c r="V92" s="149">
        <f t="shared" ca="1" si="47"/>
        <v>9.7998870027593394</v>
      </c>
      <c r="W92" s="37">
        <f t="shared" si="48"/>
        <v>28.800214100034935</v>
      </c>
      <c r="X92" s="172">
        <f t="shared" si="49"/>
        <v>3</v>
      </c>
      <c r="Y92" s="172">
        <f ca="1">DATEDIF(Stocks!$A$4,'P2P Notes'!T92,"D")</f>
        <v>511</v>
      </c>
      <c r="Z92" s="1295">
        <f t="shared" ca="1" si="50"/>
        <v>1.3990417522245038</v>
      </c>
      <c r="AA92" s="22" t="str">
        <f t="shared" si="44"/>
        <v>Fri</v>
      </c>
    </row>
    <row r="93" spans="13:27">
      <c r="M93" s="79" t="s">
        <v>1416</v>
      </c>
      <c r="N93" s="79">
        <v>36</v>
      </c>
      <c r="O93" s="597">
        <v>42165</v>
      </c>
      <c r="P93" s="598" t="s">
        <v>1148</v>
      </c>
      <c r="Q93" s="149">
        <v>25</v>
      </c>
      <c r="R93" s="599">
        <v>5.7599999999999998E-2</v>
      </c>
      <c r="S93" s="173">
        <f t="shared" si="45"/>
        <v>0.75783279378904078</v>
      </c>
      <c r="T93" s="55">
        <f t="shared" si="46"/>
        <v>43260.75</v>
      </c>
      <c r="U93" s="149">
        <f ca="1">IFERROR(DATEDIF(O93,Stocks!$A$4,"M")*S93,0)</f>
        <v>14.398823081991775</v>
      </c>
      <c r="V93" s="149">
        <f t="shared" ca="1" si="47"/>
        <v>10.601176918008225</v>
      </c>
      <c r="W93" s="37">
        <f t="shared" si="48"/>
        <v>27.281980576405466</v>
      </c>
      <c r="X93" s="172">
        <f t="shared" si="49"/>
        <v>10</v>
      </c>
      <c r="Y93" s="172">
        <f ca="1">DATEDIF(Stocks!$A$4,'P2P Notes'!T93,"D")</f>
        <v>488</v>
      </c>
      <c r="Z93" s="1295">
        <f t="shared" ca="1" si="50"/>
        <v>1.3360711841204653</v>
      </c>
      <c r="AA93" s="22" t="str">
        <f t="shared" si="44"/>
        <v>Wed</v>
      </c>
    </row>
    <row r="94" spans="13:27">
      <c r="M94" s="79" t="s">
        <v>1360</v>
      </c>
      <c r="N94" s="79">
        <v>36</v>
      </c>
      <c r="O94" s="597">
        <v>42144</v>
      </c>
      <c r="P94" s="598" t="s">
        <v>1148</v>
      </c>
      <c r="Q94" s="149">
        <v>25</v>
      </c>
      <c r="R94" s="599">
        <v>6.3600000000000004E-2</v>
      </c>
      <c r="S94" s="173">
        <f t="shared" si="45"/>
        <v>0.76463302063168959</v>
      </c>
      <c r="T94" s="55">
        <f t="shared" si="46"/>
        <v>43239.75</v>
      </c>
      <c r="U94" s="149">
        <f ca="1">IFERROR(DATEDIF(O94,Stocks!$A$4,"M")*S94,0)</f>
        <v>15.292660412633792</v>
      </c>
      <c r="V94" s="149">
        <f t="shared" ca="1" si="47"/>
        <v>9.7073395873662083</v>
      </c>
      <c r="W94" s="37">
        <f t="shared" si="48"/>
        <v>27.526788742740827</v>
      </c>
      <c r="X94" s="172">
        <f t="shared" si="49"/>
        <v>20</v>
      </c>
      <c r="Y94" s="172">
        <f ca="1">DATEDIF(Stocks!$A$4,'P2P Notes'!T94,"D")</f>
        <v>467</v>
      </c>
      <c r="Z94" s="1295">
        <f t="shared" ca="1" si="50"/>
        <v>1.2785763175906912</v>
      </c>
      <c r="AA94" s="22" t="str">
        <f t="shared" si="44"/>
        <v>Wed</v>
      </c>
    </row>
    <row r="95" spans="13:27">
      <c r="M95" s="79" t="s">
        <v>1305</v>
      </c>
      <c r="N95" s="79">
        <v>36</v>
      </c>
      <c r="O95" s="597">
        <v>42136</v>
      </c>
      <c r="P95" s="598" t="s">
        <v>1146</v>
      </c>
      <c r="Q95" s="149">
        <v>25</v>
      </c>
      <c r="R95" s="599">
        <v>0.2321</v>
      </c>
      <c r="S95" s="173">
        <f t="shared" si="45"/>
        <v>0.97048148353835617</v>
      </c>
      <c r="T95" s="55">
        <f t="shared" si="46"/>
        <v>43231.75</v>
      </c>
      <c r="U95" s="149">
        <f ca="1">IFERROR(DATEDIF(O95,Stocks!$A$4,"M")*S95,0)</f>
        <v>19.409629670767124</v>
      </c>
      <c r="V95" s="149">
        <f t="shared" ca="1" si="47"/>
        <v>5.5903703292328757</v>
      </c>
      <c r="W95" s="37">
        <f t="shared" si="48"/>
        <v>34.937333407380819</v>
      </c>
      <c r="X95" s="172">
        <f t="shared" si="49"/>
        <v>12</v>
      </c>
      <c r="Y95" s="172">
        <f ca="1">DATEDIF(Stocks!$A$4,'P2P Notes'!T95,"D")</f>
        <v>459</v>
      </c>
      <c r="Z95" s="1295">
        <f t="shared" ca="1" si="50"/>
        <v>1.2566735112936345</v>
      </c>
      <c r="AA95" s="22" t="str">
        <f t="shared" si="44"/>
        <v>Tues</v>
      </c>
    </row>
    <row r="96" spans="13:27">
      <c r="M96" s="79" t="s">
        <v>1302</v>
      </c>
      <c r="N96" s="79">
        <v>60</v>
      </c>
      <c r="O96" s="597">
        <v>42132</v>
      </c>
      <c r="P96" s="598" t="s">
        <v>1150</v>
      </c>
      <c r="Q96" s="149">
        <v>25</v>
      </c>
      <c r="R96" s="599">
        <v>0.19950000000000001</v>
      </c>
      <c r="S96" s="173">
        <f t="shared" si="45"/>
        <v>0.66165176565558725</v>
      </c>
      <c r="T96" s="55">
        <f t="shared" si="46"/>
        <v>43958.25</v>
      </c>
      <c r="U96" s="149">
        <f ca="1">IFERROR(DATEDIF(O96,Stocks!$A$4,"M")*S96,0)</f>
        <v>13.233035313111746</v>
      </c>
      <c r="V96" s="149">
        <f t="shared" ca="1" si="47"/>
        <v>11.766964686888254</v>
      </c>
      <c r="W96" s="37">
        <f t="shared" si="48"/>
        <v>39.699105939335233</v>
      </c>
      <c r="X96" s="172">
        <f t="shared" si="49"/>
        <v>8</v>
      </c>
      <c r="Y96" s="172">
        <f ca="1">DATEDIF(Stocks!$A$4,'P2P Notes'!T96,"D")</f>
        <v>1186</v>
      </c>
      <c r="Z96" s="1295">
        <f t="shared" ca="1" si="50"/>
        <v>3.247091033538672</v>
      </c>
      <c r="AA96" s="22" t="str">
        <f t="shared" si="44"/>
        <v>Fri</v>
      </c>
    </row>
    <row r="97" spans="1:27">
      <c r="M97" s="79" t="s">
        <v>1246</v>
      </c>
      <c r="N97" s="79">
        <v>36</v>
      </c>
      <c r="O97" s="597">
        <v>42068</v>
      </c>
      <c r="P97" s="598" t="s">
        <v>1148</v>
      </c>
      <c r="Q97" s="149">
        <v>25</v>
      </c>
      <c r="R97" s="599">
        <v>6.3600000000000004E-2</v>
      </c>
      <c r="S97" s="173">
        <f t="shared" si="45"/>
        <v>0.76463302063168959</v>
      </c>
      <c r="T97" s="55">
        <f t="shared" si="46"/>
        <v>43163.75</v>
      </c>
      <c r="U97" s="149">
        <f ca="1">IFERROR(DATEDIF(O97,Stocks!$A$4,"M")*S97,0)</f>
        <v>17.586559474528862</v>
      </c>
      <c r="V97" s="149">
        <f t="shared" ca="1" si="47"/>
        <v>7.4134405254711382</v>
      </c>
      <c r="W97" s="37">
        <f t="shared" si="48"/>
        <v>27.526788742740827</v>
      </c>
      <c r="X97" s="172">
        <f t="shared" si="49"/>
        <v>5</v>
      </c>
      <c r="Y97" s="172">
        <f ca="1">DATEDIF(Stocks!$A$4,'P2P Notes'!T97,"D")</f>
        <v>391</v>
      </c>
      <c r="Z97" s="1295">
        <f t="shared" ca="1" si="50"/>
        <v>1.0704996577686516</v>
      </c>
      <c r="AA97" s="22" t="str">
        <f t="shared" si="44"/>
        <v>Thurs</v>
      </c>
    </row>
    <row r="98" spans="1:27">
      <c r="M98" s="79" t="s">
        <v>1245</v>
      </c>
      <c r="N98" s="79">
        <v>60</v>
      </c>
      <c r="O98" s="597">
        <v>42066</v>
      </c>
      <c r="P98" s="598" t="s">
        <v>882</v>
      </c>
      <c r="Q98" s="149">
        <v>25</v>
      </c>
      <c r="R98" s="599">
        <v>0.10150000000000001</v>
      </c>
      <c r="S98" s="173">
        <f t="shared" si="45"/>
        <v>0.53302315145568246</v>
      </c>
      <c r="T98" s="55">
        <f t="shared" si="46"/>
        <v>43892.25</v>
      </c>
      <c r="U98" s="149">
        <f ca="1">IFERROR(DATEDIF(O98,Stocks!$A$4,"M")*S98,0)</f>
        <v>12.259532483480697</v>
      </c>
      <c r="V98" s="149">
        <f t="shared" ca="1" si="47"/>
        <v>12.740467516519303</v>
      </c>
      <c r="W98" s="37">
        <f t="shared" si="48"/>
        <v>31.981389087340947</v>
      </c>
      <c r="X98" s="172">
        <f t="shared" si="49"/>
        <v>3</v>
      </c>
      <c r="Y98" s="172">
        <f ca="1">DATEDIF(Stocks!$A$4,'P2P Notes'!T98,"D")</f>
        <v>1120</v>
      </c>
      <c r="Z98" s="1295">
        <f t="shared" ca="1" si="50"/>
        <v>3.0663928815879533</v>
      </c>
      <c r="AA98" s="22" t="str">
        <f t="shared" si="44"/>
        <v>Tues</v>
      </c>
    </row>
    <row r="99" spans="1:27">
      <c r="M99" s="79" t="s">
        <v>1469</v>
      </c>
      <c r="N99" s="79">
        <v>36</v>
      </c>
      <c r="O99" s="597">
        <v>42066</v>
      </c>
      <c r="P99" s="598" t="s">
        <v>1147</v>
      </c>
      <c r="Q99" s="149">
        <v>25</v>
      </c>
      <c r="R99" s="599">
        <v>7.3200000000000001E-2</v>
      </c>
      <c r="S99" s="173">
        <f t="shared" si="45"/>
        <v>0.77559040574135263</v>
      </c>
      <c r="T99" s="55">
        <f t="shared" si="46"/>
        <v>43161.75</v>
      </c>
      <c r="U99" s="149">
        <f ca="1">IFERROR(DATEDIF(O99,Stocks!$A$4,"M")*S99,0)</f>
        <v>17.838579332051111</v>
      </c>
      <c r="V99" s="149">
        <f t="shared" ca="1" si="47"/>
        <v>7.1614206679488888</v>
      </c>
      <c r="W99" s="37">
        <f t="shared" si="48"/>
        <v>27.921254606688695</v>
      </c>
      <c r="X99" s="172">
        <f t="shared" si="49"/>
        <v>3</v>
      </c>
      <c r="Y99" s="172">
        <f ca="1">DATEDIF(Stocks!$A$4,'P2P Notes'!T99,"D")</f>
        <v>389</v>
      </c>
      <c r="Z99" s="1295">
        <f t="shared" ca="1" si="50"/>
        <v>1.0650239561943875</v>
      </c>
      <c r="AA99" s="22" t="str">
        <f t="shared" si="44"/>
        <v>Tues</v>
      </c>
    </row>
    <row r="100" spans="1:27">
      <c r="A100" s="1">
        <v>1</v>
      </c>
      <c r="B100" s="37">
        <f>K2</f>
        <v>0.75602566236883972</v>
      </c>
      <c r="C100" s="37">
        <f>B100</f>
        <v>0.75602566236883972</v>
      </c>
      <c r="M100" s="79" t="s">
        <v>1242</v>
      </c>
      <c r="N100" s="79">
        <v>36</v>
      </c>
      <c r="O100" s="597">
        <v>42065</v>
      </c>
      <c r="P100" s="598" t="s">
        <v>1147</v>
      </c>
      <c r="Q100" s="149">
        <v>25</v>
      </c>
      <c r="R100" s="599">
        <v>6.7400000000000002E-2</v>
      </c>
      <c r="S100" s="173">
        <f t="shared" si="45"/>
        <v>0.7689589925697381</v>
      </c>
      <c r="T100" s="55">
        <f t="shared" si="46"/>
        <v>43160.75</v>
      </c>
      <c r="U100" s="149">
        <f ca="1">IFERROR(DATEDIF(O100,Stocks!$A$4,"M")*S100,0)</f>
        <v>17.686056829103975</v>
      </c>
      <c r="V100" s="149">
        <f t="shared" ca="1" si="47"/>
        <v>7.3139431708960245</v>
      </c>
      <c r="W100" s="37">
        <f t="shared" si="48"/>
        <v>27.682523732510571</v>
      </c>
      <c r="X100" s="172">
        <f t="shared" si="49"/>
        <v>2</v>
      </c>
      <c r="Y100" s="172">
        <f ca="1">DATEDIF(Stocks!$A$4,'P2P Notes'!T100,"D")</f>
        <v>388</v>
      </c>
      <c r="Z100" s="1295">
        <f t="shared" ca="1" si="50"/>
        <v>1.0622861054072552</v>
      </c>
      <c r="AA100" s="22" t="str">
        <f t="shared" si="44"/>
        <v>Mon</v>
      </c>
    </row>
    <row r="101" spans="1:27">
      <c r="A101" s="1">
        <v>2</v>
      </c>
      <c r="B101" s="37">
        <f t="shared" ref="B101:B130" si="51">K3</f>
        <v>6.636914069603514</v>
      </c>
      <c r="C101" s="37">
        <f>C100+B101</f>
        <v>7.392939731972354</v>
      </c>
      <c r="M101" s="79" t="s">
        <v>1212</v>
      </c>
      <c r="N101" s="79">
        <v>36</v>
      </c>
      <c r="O101" s="597">
        <v>42053</v>
      </c>
      <c r="P101" s="598" t="s">
        <v>1148</v>
      </c>
      <c r="Q101" s="149">
        <v>25</v>
      </c>
      <c r="R101" s="599">
        <v>5.5100000000000003E-2</v>
      </c>
      <c r="S101" s="173">
        <f t="shared" si="45"/>
        <v>0.75501031044485334</v>
      </c>
      <c r="T101" s="55">
        <f t="shared" si="46"/>
        <v>43148.75</v>
      </c>
      <c r="U101" s="149">
        <f ca="1">IFERROR(DATEDIF(O101,Stocks!$A$4,"M")*S101,0)</f>
        <v>17.365237140231628</v>
      </c>
      <c r="V101" s="149">
        <f t="shared" ca="1" si="47"/>
        <v>7.6347628597683723</v>
      </c>
      <c r="W101" s="37">
        <f t="shared" si="48"/>
        <v>27.18037117601472</v>
      </c>
      <c r="X101" s="172">
        <f t="shared" si="49"/>
        <v>18</v>
      </c>
      <c r="Y101" s="172">
        <f ca="1">DATEDIF(Stocks!$A$4,'P2P Notes'!T101,"D")</f>
        <v>376</v>
      </c>
      <c r="Z101" s="1295">
        <f t="shared" ca="1" si="50"/>
        <v>1.0294318959616702</v>
      </c>
      <c r="AA101" s="22" t="str">
        <f t="shared" si="44"/>
        <v>Wed</v>
      </c>
    </row>
    <row r="102" spans="1:27">
      <c r="A102" s="747">
        <v>3</v>
      </c>
      <c r="B102" s="37">
        <f t="shared" si="51"/>
        <v>6.6671569744420029</v>
      </c>
      <c r="C102" s="37">
        <f t="shared" ref="C102:C165" si="52">C101+B102</f>
        <v>14.060096706414356</v>
      </c>
      <c r="M102" s="747" t="s">
        <v>1188</v>
      </c>
      <c r="N102" s="747">
        <v>36</v>
      </c>
      <c r="O102" s="55">
        <v>42033</v>
      </c>
      <c r="P102" s="584" t="s">
        <v>1148</v>
      </c>
      <c r="Q102" s="37">
        <v>25</v>
      </c>
      <c r="R102" s="582">
        <v>5.2299999999999999E-2</v>
      </c>
      <c r="S102" s="173">
        <f t="shared" si="45"/>
        <v>0.75185677875017176</v>
      </c>
      <c r="T102" s="55">
        <f t="shared" si="46"/>
        <v>43128.75</v>
      </c>
      <c r="U102" s="149">
        <f ca="1">IFERROR(DATEDIF(O102,Stocks!$A$4,"M")*S102,0)</f>
        <v>18.04456269000412</v>
      </c>
      <c r="V102" s="149">
        <f t="shared" ca="1" si="47"/>
        <v>6.9554373099958795</v>
      </c>
      <c r="W102" s="37">
        <f t="shared" si="48"/>
        <v>27.066844035006184</v>
      </c>
      <c r="X102" s="172">
        <f t="shared" si="49"/>
        <v>29</v>
      </c>
      <c r="Y102" s="172">
        <f ca="1">DATEDIF(Stocks!$A$4,'P2P Notes'!T102,"D")</f>
        <v>356</v>
      </c>
      <c r="Z102" s="1295">
        <f t="shared" ca="1" si="50"/>
        <v>0.97467488021902804</v>
      </c>
      <c r="AA102" s="22" t="str">
        <f t="shared" si="44"/>
        <v>Thurs</v>
      </c>
    </row>
    <row r="103" spans="1:27">
      <c r="A103" s="747">
        <v>4</v>
      </c>
      <c r="B103" s="37">
        <f t="shared" si="51"/>
        <v>2.0058892532189443</v>
      </c>
      <c r="C103" s="37">
        <f t="shared" si="52"/>
        <v>16.065985959633302</v>
      </c>
      <c r="P103" s="584"/>
      <c r="S103" s="173"/>
      <c r="T103" s="55"/>
    </row>
    <row r="104" spans="1:27">
      <c r="A104" s="747">
        <v>5</v>
      </c>
      <c r="B104" s="37">
        <f t="shared" si="51"/>
        <v>3.5358009471971386</v>
      </c>
      <c r="C104" s="37">
        <f t="shared" si="52"/>
        <v>19.601786906830441</v>
      </c>
      <c r="P104" s="584"/>
      <c r="S104" s="173"/>
      <c r="T104" s="55"/>
    </row>
    <row r="105" spans="1:27">
      <c r="A105" s="747">
        <v>6</v>
      </c>
      <c r="B105" s="37">
        <f t="shared" si="51"/>
        <v>1.5216315795227215</v>
      </c>
      <c r="C105" s="37">
        <f t="shared" si="52"/>
        <v>21.123418486353163</v>
      </c>
    </row>
    <row r="106" spans="1:27">
      <c r="A106" s="747">
        <v>7</v>
      </c>
      <c r="B106" s="37">
        <f t="shared" si="51"/>
        <v>2.2709297211156727</v>
      </c>
      <c r="C106" s="37">
        <f t="shared" si="52"/>
        <v>23.394348207468838</v>
      </c>
    </row>
    <row r="107" spans="1:27">
      <c r="A107" s="747">
        <v>8</v>
      </c>
      <c r="B107" s="37">
        <f t="shared" si="51"/>
        <v>2.6612001729713008</v>
      </c>
      <c r="C107" s="37">
        <f t="shared" si="52"/>
        <v>26.05554838044014</v>
      </c>
    </row>
    <row r="108" spans="1:27">
      <c r="A108" s="747">
        <v>9</v>
      </c>
      <c r="B108" s="37">
        <f t="shared" si="51"/>
        <v>0.75275696277111681</v>
      </c>
      <c r="C108" s="37">
        <f t="shared" si="52"/>
        <v>26.808305343211256</v>
      </c>
      <c r="T108" s="173"/>
    </row>
    <row r="109" spans="1:27">
      <c r="A109" s="747">
        <v>10</v>
      </c>
      <c r="B109" s="37">
        <f t="shared" si="51"/>
        <v>1.5267917863587788</v>
      </c>
      <c r="C109" s="37">
        <f t="shared" si="52"/>
        <v>28.335097129570034</v>
      </c>
      <c r="T109" s="173"/>
    </row>
    <row r="110" spans="1:27">
      <c r="A110" s="747">
        <v>11</v>
      </c>
      <c r="B110" s="37">
        <f t="shared" si="51"/>
        <v>0.76463302063168959</v>
      </c>
      <c r="C110" s="37">
        <f t="shared" si="52"/>
        <v>29.099730150201722</v>
      </c>
      <c r="T110" s="173"/>
    </row>
    <row r="111" spans="1:27">
      <c r="A111" s="747">
        <v>12</v>
      </c>
      <c r="B111" s="37">
        <f t="shared" si="51"/>
        <v>1.9768374302937195</v>
      </c>
      <c r="C111" s="37">
        <f t="shared" si="52"/>
        <v>31.076567580495443</v>
      </c>
    </row>
    <row r="112" spans="1:27">
      <c r="A112" s="747">
        <v>13</v>
      </c>
      <c r="B112" s="37">
        <f t="shared" si="51"/>
        <v>2.0530478834386292</v>
      </c>
      <c r="C112" s="37">
        <f t="shared" si="52"/>
        <v>33.129615463934073</v>
      </c>
    </row>
    <row r="113" spans="1:24">
      <c r="A113" s="747">
        <v>14</v>
      </c>
      <c r="B113" s="37">
        <f t="shared" si="51"/>
        <v>1.5342720995256134</v>
      </c>
      <c r="C113" s="37">
        <f t="shared" si="52"/>
        <v>34.663887563459689</v>
      </c>
    </row>
    <row r="114" spans="1:24">
      <c r="A114" s="747">
        <v>15</v>
      </c>
      <c r="B114" s="37">
        <f t="shared" si="51"/>
        <v>2.2662817708061302</v>
      </c>
      <c r="C114" s="37">
        <f t="shared" si="52"/>
        <v>36.93016933426582</v>
      </c>
    </row>
    <row r="115" spans="1:24">
      <c r="A115" s="747">
        <v>16</v>
      </c>
      <c r="B115" s="37">
        <f t="shared" si="51"/>
        <v>1.5205600366049443</v>
      </c>
      <c r="C115" s="37">
        <f t="shared" si="52"/>
        <v>38.450729370870761</v>
      </c>
    </row>
    <row r="116" spans="1:24">
      <c r="A116" s="747">
        <v>17</v>
      </c>
      <c r="B116" s="37">
        <f t="shared" si="51"/>
        <v>0.74166367985229376</v>
      </c>
      <c r="C116" s="37">
        <f t="shared" si="52"/>
        <v>39.192393050723055</v>
      </c>
      <c r="X116" s="636"/>
    </row>
    <row r="117" spans="1:24">
      <c r="A117" s="747">
        <v>18</v>
      </c>
      <c r="B117" s="37">
        <f t="shared" si="51"/>
        <v>1.5196433310765429</v>
      </c>
      <c r="C117" s="37">
        <f t="shared" si="52"/>
        <v>40.712036381799599</v>
      </c>
      <c r="W117" s="149"/>
      <c r="X117" s="636"/>
    </row>
    <row r="118" spans="1:24">
      <c r="A118" s="747">
        <v>19</v>
      </c>
      <c r="B118" s="37">
        <f t="shared" si="51"/>
        <v>0.77880413956909822</v>
      </c>
      <c r="C118" s="37">
        <f t="shared" si="52"/>
        <v>41.490840521368696</v>
      </c>
      <c r="W118" s="149"/>
      <c r="X118" s="636"/>
    </row>
    <row r="119" spans="1:24">
      <c r="A119" s="747">
        <v>20</v>
      </c>
      <c r="B119" s="37">
        <f t="shared" si="51"/>
        <v>2.8008611147841416</v>
      </c>
      <c r="C119" s="37">
        <f t="shared" si="52"/>
        <v>44.291701636152837</v>
      </c>
      <c r="W119" s="149"/>
    </row>
    <row r="120" spans="1:24">
      <c r="A120" s="747">
        <v>21</v>
      </c>
      <c r="B120" s="37">
        <f t="shared" si="51"/>
        <v>1.2882581412440199</v>
      </c>
      <c r="C120" s="37">
        <f t="shared" si="52"/>
        <v>45.579959777396859</v>
      </c>
      <c r="W120" s="149"/>
    </row>
    <row r="121" spans="1:24">
      <c r="A121" s="747">
        <v>22</v>
      </c>
      <c r="B121" s="37">
        <f t="shared" si="51"/>
        <v>1.5335920132014276</v>
      </c>
      <c r="C121" s="37">
        <f t="shared" si="52"/>
        <v>47.113551790598287</v>
      </c>
      <c r="W121" s="149"/>
    </row>
    <row r="122" spans="1:24">
      <c r="A122" s="747">
        <v>23</v>
      </c>
      <c r="B122" s="37">
        <f t="shared" si="51"/>
        <v>4.5412274329139262</v>
      </c>
      <c r="C122" s="37">
        <f t="shared" si="52"/>
        <v>51.654779223512215</v>
      </c>
      <c r="W122" s="149"/>
    </row>
    <row r="123" spans="1:24">
      <c r="A123" s="747">
        <v>24</v>
      </c>
      <c r="B123" s="37">
        <f t="shared" si="51"/>
        <v>2.2912937937937334</v>
      </c>
      <c r="C123" s="37">
        <f t="shared" si="52"/>
        <v>53.946073017305949</v>
      </c>
      <c r="W123" s="149"/>
    </row>
    <row r="124" spans="1:24">
      <c r="A124" s="747">
        <v>25</v>
      </c>
      <c r="B124" s="37">
        <f t="shared" si="51"/>
        <v>0.76463302063168959</v>
      </c>
      <c r="C124" s="37">
        <f t="shared" si="52"/>
        <v>54.710706037937641</v>
      </c>
      <c r="W124" s="149"/>
    </row>
    <row r="125" spans="1:24">
      <c r="A125" s="747">
        <v>26</v>
      </c>
      <c r="B125" s="37">
        <f t="shared" si="51"/>
        <v>2.2967422597595393</v>
      </c>
      <c r="C125" s="37">
        <f t="shared" si="52"/>
        <v>57.007448297697181</v>
      </c>
      <c r="W125" s="149"/>
    </row>
    <row r="126" spans="1:24">
      <c r="A126" s="747">
        <v>27</v>
      </c>
      <c r="B126" s="37">
        <f t="shared" si="51"/>
        <v>5.3781738298514519</v>
      </c>
      <c r="C126" s="37">
        <f t="shared" si="52"/>
        <v>62.385622127548629</v>
      </c>
      <c r="W126" s="149"/>
    </row>
    <row r="127" spans="1:24">
      <c r="A127" s="747">
        <v>28</v>
      </c>
      <c r="B127" s="37">
        <f t="shared" si="51"/>
        <v>0.74166367985229376</v>
      </c>
      <c r="C127" s="37">
        <f t="shared" si="52"/>
        <v>63.127285807400924</v>
      </c>
      <c r="W127" s="149"/>
    </row>
    <row r="128" spans="1:24">
      <c r="A128" s="747">
        <v>29</v>
      </c>
      <c r="B128" s="37">
        <f t="shared" si="51"/>
        <v>6.8975474167772406</v>
      </c>
      <c r="C128" s="37">
        <f t="shared" si="52"/>
        <v>70.024833224178167</v>
      </c>
    </row>
    <row r="129" spans="1:10">
      <c r="A129" s="747">
        <v>30</v>
      </c>
      <c r="B129" s="37">
        <f t="shared" si="51"/>
        <v>2.2967422597595393</v>
      </c>
      <c r="C129" s="37">
        <f t="shared" si="52"/>
        <v>72.321575483937707</v>
      </c>
    </row>
    <row r="130" spans="1:10">
      <c r="A130" s="747">
        <v>31</v>
      </c>
      <c r="B130" s="37">
        <f t="shared" si="51"/>
        <v>1.5053259377925574</v>
      </c>
      <c r="C130" s="37">
        <f t="shared" si="52"/>
        <v>73.82690142173027</v>
      </c>
    </row>
    <row r="131" spans="1:10">
      <c r="A131" s="747">
        <v>1</v>
      </c>
      <c r="B131" s="37">
        <f>B100</f>
        <v>0.75602566236883972</v>
      </c>
      <c r="C131" s="37">
        <f t="shared" si="52"/>
        <v>74.582927084099111</v>
      </c>
    </row>
    <row r="132" spans="1:10">
      <c r="A132" s="747">
        <v>2</v>
      </c>
      <c r="B132" s="37">
        <f t="shared" ref="B132:B195" si="53">B101</f>
        <v>6.636914069603514</v>
      </c>
      <c r="C132" s="37">
        <f t="shared" si="52"/>
        <v>81.219841153702632</v>
      </c>
    </row>
    <row r="133" spans="1:10">
      <c r="A133" s="747">
        <v>3</v>
      </c>
      <c r="B133" s="37">
        <f t="shared" si="53"/>
        <v>6.6671569744420029</v>
      </c>
      <c r="C133" s="37">
        <f t="shared" si="52"/>
        <v>87.88699812814464</v>
      </c>
    </row>
    <row r="134" spans="1:10">
      <c r="A134" s="747">
        <v>4</v>
      </c>
      <c r="B134" s="37">
        <f t="shared" si="53"/>
        <v>2.0058892532189443</v>
      </c>
      <c r="C134" s="37">
        <f t="shared" si="52"/>
        <v>89.892887381363579</v>
      </c>
    </row>
    <row r="135" spans="1:10" ht="13.5" thickBot="1">
      <c r="A135" s="747">
        <v>5</v>
      </c>
      <c r="B135" s="37">
        <f t="shared" si="53"/>
        <v>3.5358009471971386</v>
      </c>
      <c r="C135" s="37">
        <f t="shared" si="52"/>
        <v>93.428688328560725</v>
      </c>
      <c r="E135" s="193" t="s">
        <v>1961</v>
      </c>
      <c r="F135" s="193"/>
    </row>
    <row r="136" spans="1:10">
      <c r="A136" s="747">
        <v>6</v>
      </c>
      <c r="B136" s="37">
        <f t="shared" si="53"/>
        <v>1.5216315795227215</v>
      </c>
      <c r="C136" s="37">
        <f t="shared" si="52"/>
        <v>94.950319908083443</v>
      </c>
      <c r="E136" s="193"/>
      <c r="F136" s="93" t="s">
        <v>2508</v>
      </c>
      <c r="H136" s="787" t="s">
        <v>272</v>
      </c>
      <c r="I136" s="788" t="s">
        <v>1961</v>
      </c>
      <c r="J136" s="1239" t="s">
        <v>1967</v>
      </c>
    </row>
    <row r="137" spans="1:10">
      <c r="A137" s="747">
        <v>7</v>
      </c>
      <c r="B137" s="37">
        <f t="shared" si="53"/>
        <v>2.2709297211156727</v>
      </c>
      <c r="C137" s="37">
        <f t="shared" si="52"/>
        <v>97.221249629199122</v>
      </c>
      <c r="E137" s="193" t="s">
        <v>10</v>
      </c>
      <c r="F137" s="153"/>
      <c r="H137" s="150">
        <f ca="1">YEAR(TODAY())</f>
        <v>2017</v>
      </c>
      <c r="I137" s="96">
        <f ca="1">SUMIFS($F$138:$F$311,$E$138:$E$311,"&gt;="&amp;DATE(H137,1,1),$E$138:$E$311,"&lt;="&amp;DATE(H137,12,31))</f>
        <v>0</v>
      </c>
      <c r="J137" s="1013">
        <f ca="1">I137/$I$153</f>
        <v>0</v>
      </c>
    </row>
    <row r="138" spans="1:10">
      <c r="A138" s="747">
        <v>8</v>
      </c>
      <c r="B138" s="37">
        <f t="shared" si="53"/>
        <v>2.6612001729713008</v>
      </c>
      <c r="C138" s="37">
        <f t="shared" si="52"/>
        <v>99.882449802170427</v>
      </c>
      <c r="E138" s="143">
        <f ca="1">TODAY()</f>
        <v>42772</v>
      </c>
      <c r="F138" s="153">
        <f t="shared" ref="F138:F169" ca="1" si="54">SUMIFS(Q:Q,T:T,"&gt;="&amp;DATE(YEAR(E138),MONTH(E138),DAY(E138)),T:T,"&lt;"&amp;DATE(YEAR(E139),MONTH(E139),DAY(E139)))</f>
        <v>0</v>
      </c>
      <c r="H138" s="150">
        <f ca="1">H137+1</f>
        <v>2018</v>
      </c>
      <c r="I138" s="96">
        <f t="shared" ref="I138:I151" ca="1" si="55">SUMIFS($F$138:$F$311,$E$138:$E$311,"&gt;="&amp;DATE(H138,1,1),$E$138:$E$311,"&lt;="&amp;DATE(H138,12,31))</f>
        <v>650</v>
      </c>
      <c r="J138" s="1013">
        <f t="shared" ref="J138:J151" ca="1" si="56">I138/$I$153</f>
        <v>0.25742574257425743</v>
      </c>
    </row>
    <row r="139" spans="1:10">
      <c r="A139" s="747">
        <v>9</v>
      </c>
      <c r="B139" s="37">
        <f t="shared" si="53"/>
        <v>0.75275696277111681</v>
      </c>
      <c r="C139" s="37">
        <f t="shared" si="52"/>
        <v>100.63520676494154</v>
      </c>
      <c r="E139" s="1048">
        <f ca="1">E138+30</f>
        <v>42802</v>
      </c>
      <c r="F139" s="153">
        <f t="shared" ca="1" si="54"/>
        <v>0</v>
      </c>
      <c r="H139" s="150">
        <f t="shared" ref="H139:H151" ca="1" si="57">H138+1</f>
        <v>2019</v>
      </c>
      <c r="I139" s="96">
        <f t="shared" ca="1" si="55"/>
        <v>1425</v>
      </c>
      <c r="J139" s="1013">
        <f t="shared" ca="1" si="56"/>
        <v>0.5643564356435643</v>
      </c>
    </row>
    <row r="140" spans="1:10">
      <c r="A140" s="747">
        <v>10</v>
      </c>
      <c r="B140" s="37">
        <f t="shared" si="53"/>
        <v>1.5267917863587788</v>
      </c>
      <c r="C140" s="37">
        <f t="shared" si="52"/>
        <v>102.16199855130033</v>
      </c>
      <c r="E140" s="1048">
        <f t="shared" ref="E140:E203" ca="1" si="58">E139+30</f>
        <v>42832</v>
      </c>
      <c r="F140" s="153">
        <f t="shared" ca="1" si="54"/>
        <v>0</v>
      </c>
      <c r="H140" s="150">
        <f t="shared" ca="1" si="57"/>
        <v>2020</v>
      </c>
      <c r="I140" s="96">
        <f t="shared" ca="1" si="55"/>
        <v>200</v>
      </c>
      <c r="J140" s="1013">
        <f t="shared" ca="1" si="56"/>
        <v>7.9207920792079209E-2</v>
      </c>
    </row>
    <row r="141" spans="1:10">
      <c r="A141" s="747">
        <v>11</v>
      </c>
      <c r="B141" s="37">
        <f t="shared" si="53"/>
        <v>0.76463302063168959</v>
      </c>
      <c r="C141" s="37">
        <f t="shared" si="52"/>
        <v>102.92663157193202</v>
      </c>
      <c r="E141" s="1048">
        <f t="shared" ca="1" si="58"/>
        <v>42862</v>
      </c>
      <c r="F141" s="153">
        <f t="shared" ca="1" si="54"/>
        <v>0</v>
      </c>
      <c r="H141" s="150">
        <f t="shared" ca="1" si="57"/>
        <v>2021</v>
      </c>
      <c r="I141" s="96">
        <f t="shared" ca="1" si="55"/>
        <v>225</v>
      </c>
      <c r="J141" s="1013">
        <f t="shared" ca="1" si="56"/>
        <v>8.9108910891089105E-2</v>
      </c>
    </row>
    <row r="142" spans="1:10">
      <c r="A142" s="747">
        <v>12</v>
      </c>
      <c r="B142" s="37">
        <f t="shared" si="53"/>
        <v>1.9768374302937195</v>
      </c>
      <c r="C142" s="37">
        <f t="shared" si="52"/>
        <v>104.90346900222573</v>
      </c>
      <c r="E142" s="1048">
        <f t="shared" ca="1" si="58"/>
        <v>42892</v>
      </c>
      <c r="F142" s="153">
        <f t="shared" ca="1" si="54"/>
        <v>0</v>
      </c>
      <c r="H142" s="150">
        <f t="shared" ca="1" si="57"/>
        <v>2022</v>
      </c>
      <c r="I142" s="96">
        <f t="shared" ca="1" si="55"/>
        <v>25</v>
      </c>
      <c r="J142" s="1013">
        <f t="shared" ca="1" si="56"/>
        <v>9.9009900990099011E-3</v>
      </c>
    </row>
    <row r="143" spans="1:10">
      <c r="A143" s="747">
        <v>13</v>
      </c>
      <c r="B143" s="37">
        <f t="shared" si="53"/>
        <v>2.0530478834386292</v>
      </c>
      <c r="C143" s="37">
        <f t="shared" si="52"/>
        <v>106.95651688566436</v>
      </c>
      <c r="E143" s="1048">
        <f t="shared" ca="1" si="58"/>
        <v>42922</v>
      </c>
      <c r="F143" s="153">
        <f t="shared" ca="1" si="54"/>
        <v>0</v>
      </c>
      <c r="H143" s="150">
        <f t="shared" ca="1" si="57"/>
        <v>2023</v>
      </c>
      <c r="I143" s="96">
        <f t="shared" ca="1" si="55"/>
        <v>0</v>
      </c>
      <c r="J143" s="1013">
        <f t="shared" ca="1" si="56"/>
        <v>0</v>
      </c>
    </row>
    <row r="144" spans="1:10">
      <c r="A144" s="747">
        <v>14</v>
      </c>
      <c r="B144" s="37">
        <f t="shared" si="53"/>
        <v>1.5342720995256134</v>
      </c>
      <c r="C144" s="37">
        <f t="shared" si="52"/>
        <v>108.49078898518997</v>
      </c>
      <c r="E144" s="1048">
        <f t="shared" ca="1" si="58"/>
        <v>42952</v>
      </c>
      <c r="F144" s="153">
        <f t="shared" ca="1" si="54"/>
        <v>0</v>
      </c>
      <c r="H144" s="150">
        <f t="shared" ca="1" si="57"/>
        <v>2024</v>
      </c>
      <c r="I144" s="96">
        <f t="shared" ca="1" si="55"/>
        <v>0</v>
      </c>
      <c r="J144" s="1013">
        <f t="shared" ca="1" si="56"/>
        <v>0</v>
      </c>
    </row>
    <row r="145" spans="1:10">
      <c r="A145" s="747">
        <v>15</v>
      </c>
      <c r="B145" s="37">
        <f t="shared" si="53"/>
        <v>2.2662817708061302</v>
      </c>
      <c r="C145" s="37">
        <f t="shared" si="52"/>
        <v>110.7570707559961</v>
      </c>
      <c r="E145" s="1048">
        <f t="shared" ca="1" si="58"/>
        <v>42982</v>
      </c>
      <c r="F145" s="153">
        <f t="shared" ca="1" si="54"/>
        <v>0</v>
      </c>
      <c r="H145" s="150">
        <f t="shared" ca="1" si="57"/>
        <v>2025</v>
      </c>
      <c r="I145" s="96">
        <f t="shared" ca="1" si="55"/>
        <v>0</v>
      </c>
      <c r="J145" s="1013">
        <f t="shared" ca="1" si="56"/>
        <v>0</v>
      </c>
    </row>
    <row r="146" spans="1:10">
      <c r="A146" s="747">
        <v>16</v>
      </c>
      <c r="B146" s="37">
        <f t="shared" si="53"/>
        <v>1.5205600366049443</v>
      </c>
      <c r="C146" s="37">
        <f t="shared" si="52"/>
        <v>112.27763079260104</v>
      </c>
      <c r="E146" s="1048">
        <f t="shared" ca="1" si="58"/>
        <v>43012</v>
      </c>
      <c r="F146" s="153">
        <f t="shared" ca="1" si="54"/>
        <v>0</v>
      </c>
      <c r="H146" s="150">
        <f t="shared" ca="1" si="57"/>
        <v>2026</v>
      </c>
      <c r="I146" s="96">
        <f t="shared" ca="1" si="55"/>
        <v>0</v>
      </c>
      <c r="J146" s="1013">
        <f t="shared" ca="1" si="56"/>
        <v>0</v>
      </c>
    </row>
    <row r="147" spans="1:10">
      <c r="A147" s="747">
        <v>17</v>
      </c>
      <c r="B147" s="37">
        <f t="shared" si="53"/>
        <v>0.74166367985229376</v>
      </c>
      <c r="C147" s="37">
        <f t="shared" si="52"/>
        <v>113.01929447245334</v>
      </c>
      <c r="E147" s="1048">
        <f t="shared" ca="1" si="58"/>
        <v>43042</v>
      </c>
      <c r="F147" s="153">
        <f t="shared" ca="1" si="54"/>
        <v>0</v>
      </c>
      <c r="H147" s="150">
        <f t="shared" ca="1" si="57"/>
        <v>2027</v>
      </c>
      <c r="I147" s="96">
        <f t="shared" ca="1" si="55"/>
        <v>0</v>
      </c>
      <c r="J147" s="1013">
        <f t="shared" ca="1" si="56"/>
        <v>0</v>
      </c>
    </row>
    <row r="148" spans="1:10">
      <c r="A148" s="747">
        <v>18</v>
      </c>
      <c r="B148" s="37">
        <f t="shared" si="53"/>
        <v>1.5196433310765429</v>
      </c>
      <c r="C148" s="37">
        <f t="shared" si="52"/>
        <v>114.53893780352988</v>
      </c>
      <c r="E148" s="1048">
        <f t="shared" ca="1" si="58"/>
        <v>43072</v>
      </c>
      <c r="F148" s="153">
        <f t="shared" ca="1" si="54"/>
        <v>0</v>
      </c>
      <c r="H148" s="150">
        <f t="shared" ca="1" si="57"/>
        <v>2028</v>
      </c>
      <c r="I148" s="96">
        <f t="shared" ca="1" si="55"/>
        <v>0</v>
      </c>
      <c r="J148" s="1013">
        <f t="shared" ca="1" si="56"/>
        <v>0</v>
      </c>
    </row>
    <row r="149" spans="1:10">
      <c r="A149" s="747">
        <v>19</v>
      </c>
      <c r="B149" s="37">
        <f t="shared" si="53"/>
        <v>0.77880413956909822</v>
      </c>
      <c r="C149" s="37">
        <f t="shared" si="52"/>
        <v>115.31774194309898</v>
      </c>
      <c r="E149" s="1048">
        <f t="shared" ca="1" si="58"/>
        <v>43102</v>
      </c>
      <c r="F149" s="153">
        <f t="shared" ca="1" si="54"/>
        <v>25</v>
      </c>
      <c r="H149" s="150">
        <f t="shared" ca="1" si="57"/>
        <v>2029</v>
      </c>
      <c r="I149" s="96">
        <f t="shared" ca="1" si="55"/>
        <v>0</v>
      </c>
      <c r="J149" s="1013">
        <f t="shared" ca="1" si="56"/>
        <v>0</v>
      </c>
    </row>
    <row r="150" spans="1:10">
      <c r="A150" s="747">
        <v>20</v>
      </c>
      <c r="B150" s="37">
        <f t="shared" si="53"/>
        <v>2.8008611147841416</v>
      </c>
      <c r="C150" s="37">
        <f t="shared" si="52"/>
        <v>118.11860305788312</v>
      </c>
      <c r="E150" s="1048">
        <f t="shared" ca="1" si="58"/>
        <v>43132</v>
      </c>
      <c r="F150" s="153">
        <f t="shared" ca="1" si="54"/>
        <v>75</v>
      </c>
      <c r="H150" s="150">
        <f t="shared" ca="1" si="57"/>
        <v>2030</v>
      </c>
      <c r="I150" s="96">
        <f t="shared" ca="1" si="55"/>
        <v>0</v>
      </c>
      <c r="J150" s="1013">
        <f t="shared" ca="1" si="56"/>
        <v>0</v>
      </c>
    </row>
    <row r="151" spans="1:10">
      <c r="A151" s="747">
        <v>21</v>
      </c>
      <c r="B151" s="37">
        <f t="shared" si="53"/>
        <v>1.2882581412440199</v>
      </c>
      <c r="C151" s="37">
        <f t="shared" si="52"/>
        <v>119.40686119912714</v>
      </c>
      <c r="E151" s="1048">
        <f t="shared" ca="1" si="58"/>
        <v>43162</v>
      </c>
      <c r="F151" s="153">
        <f t="shared" ca="1" si="54"/>
        <v>25</v>
      </c>
      <c r="H151" s="150">
        <f t="shared" ca="1" si="57"/>
        <v>2031</v>
      </c>
      <c r="I151" s="96">
        <f t="shared" ca="1" si="55"/>
        <v>0</v>
      </c>
      <c r="J151" s="1013">
        <f t="shared" ca="1" si="56"/>
        <v>0</v>
      </c>
    </row>
    <row r="152" spans="1:10">
      <c r="A152" s="747">
        <v>22</v>
      </c>
      <c r="B152" s="37">
        <f t="shared" si="53"/>
        <v>1.5335920132014276</v>
      </c>
      <c r="C152" s="37">
        <f t="shared" si="52"/>
        <v>120.94045321232856</v>
      </c>
      <c r="E152" s="1048">
        <f t="shared" ca="1" si="58"/>
        <v>43192</v>
      </c>
      <c r="F152" s="153">
        <f t="shared" ca="1" si="54"/>
        <v>0</v>
      </c>
      <c r="H152" s="150"/>
      <c r="I152" s="96"/>
      <c r="J152" s="398"/>
    </row>
    <row r="153" spans="1:10" ht="13.5" thickBot="1">
      <c r="A153" s="747">
        <v>23</v>
      </c>
      <c r="B153" s="37">
        <f t="shared" si="53"/>
        <v>4.5412274329139262</v>
      </c>
      <c r="C153" s="37">
        <f t="shared" si="52"/>
        <v>125.48168064524249</v>
      </c>
      <c r="E153" s="1048">
        <f t="shared" ca="1" si="58"/>
        <v>43222</v>
      </c>
      <c r="F153" s="153">
        <f t="shared" ca="1" si="54"/>
        <v>50</v>
      </c>
      <c r="H153" s="101"/>
      <c r="I153" s="102">
        <f ca="1">SUM(I137:I152)</f>
        <v>2525</v>
      </c>
      <c r="J153" s="744"/>
    </row>
    <row r="154" spans="1:10">
      <c r="A154" s="747">
        <v>24</v>
      </c>
      <c r="B154" s="37">
        <f t="shared" si="53"/>
        <v>2.2912937937937334</v>
      </c>
      <c r="C154" s="37">
        <f t="shared" si="52"/>
        <v>127.77297443903622</v>
      </c>
      <c r="E154" s="1048">
        <f t="shared" ca="1" si="58"/>
        <v>43252</v>
      </c>
      <c r="F154" s="153">
        <f t="shared" ca="1" si="54"/>
        <v>25</v>
      </c>
      <c r="I154" s="96"/>
    </row>
    <row r="155" spans="1:10">
      <c r="A155" s="747">
        <v>25</v>
      </c>
      <c r="B155" s="37">
        <f t="shared" si="53"/>
        <v>0.76463302063168959</v>
      </c>
      <c r="C155" s="37">
        <f t="shared" si="52"/>
        <v>128.5376074596679</v>
      </c>
      <c r="E155" s="1048">
        <f t="shared" ca="1" si="58"/>
        <v>43282</v>
      </c>
      <c r="F155" s="153">
        <f t="shared" ca="1" si="54"/>
        <v>50</v>
      </c>
      <c r="I155" s="96"/>
    </row>
    <row r="156" spans="1:10">
      <c r="A156" s="747">
        <v>26</v>
      </c>
      <c r="B156" s="37">
        <f t="shared" si="53"/>
        <v>2.2967422597595393</v>
      </c>
      <c r="C156" s="37">
        <f t="shared" si="52"/>
        <v>130.83434971942742</v>
      </c>
      <c r="E156" s="1048">
        <f t="shared" ca="1" si="58"/>
        <v>43312</v>
      </c>
      <c r="F156" s="153">
        <f t="shared" ca="1" si="54"/>
        <v>25</v>
      </c>
      <c r="I156" s="96"/>
    </row>
    <row r="157" spans="1:10">
      <c r="A157" s="747">
        <v>27</v>
      </c>
      <c r="B157" s="37">
        <f t="shared" si="53"/>
        <v>5.3781738298514519</v>
      </c>
      <c r="C157" s="37">
        <f t="shared" si="52"/>
        <v>136.21252354927887</v>
      </c>
      <c r="E157" s="1048">
        <f t="shared" ca="1" si="58"/>
        <v>43342</v>
      </c>
      <c r="F157" s="153">
        <f t="shared" ca="1" si="54"/>
        <v>50</v>
      </c>
      <c r="I157" s="96"/>
    </row>
    <row r="158" spans="1:10">
      <c r="A158" s="747">
        <v>28</v>
      </c>
      <c r="B158" s="37">
        <f t="shared" si="53"/>
        <v>0.74166367985229376</v>
      </c>
      <c r="C158" s="37">
        <f t="shared" si="52"/>
        <v>136.95418722913115</v>
      </c>
      <c r="E158" s="1048">
        <f t="shared" ca="1" si="58"/>
        <v>43372</v>
      </c>
      <c r="F158" s="153">
        <f t="shared" ca="1" si="54"/>
        <v>50</v>
      </c>
      <c r="I158" s="96"/>
    </row>
    <row r="159" spans="1:10">
      <c r="A159" s="747">
        <v>29</v>
      </c>
      <c r="B159" s="37">
        <f t="shared" si="53"/>
        <v>6.8975474167772406</v>
      </c>
      <c r="C159" s="37">
        <f t="shared" si="52"/>
        <v>143.85173464590838</v>
      </c>
      <c r="E159" s="1048">
        <f t="shared" ca="1" si="58"/>
        <v>43402</v>
      </c>
      <c r="F159" s="153">
        <f t="shared" ca="1" si="54"/>
        <v>50</v>
      </c>
      <c r="I159" s="96"/>
    </row>
    <row r="160" spans="1:10">
      <c r="A160" s="747">
        <v>30</v>
      </c>
      <c r="B160" s="37">
        <f t="shared" si="53"/>
        <v>2.2967422597595393</v>
      </c>
      <c r="C160" s="37">
        <f t="shared" si="52"/>
        <v>146.14847690566791</v>
      </c>
      <c r="E160" s="1048">
        <f t="shared" ca="1" si="58"/>
        <v>43432</v>
      </c>
      <c r="F160" s="153">
        <f t="shared" ca="1" si="54"/>
        <v>150</v>
      </c>
      <c r="I160" s="96"/>
    </row>
    <row r="161" spans="1:9">
      <c r="A161" s="747">
        <v>31</v>
      </c>
      <c r="B161" s="37">
        <f t="shared" si="53"/>
        <v>1.5053259377925574</v>
      </c>
      <c r="C161" s="37">
        <f t="shared" si="52"/>
        <v>147.65380284346045</v>
      </c>
      <c r="E161" s="1048">
        <f t="shared" ca="1" si="58"/>
        <v>43462</v>
      </c>
      <c r="F161" s="153">
        <f t="shared" ca="1" si="54"/>
        <v>75</v>
      </c>
      <c r="I161" s="96"/>
    </row>
    <row r="162" spans="1:9">
      <c r="A162" s="747">
        <v>1</v>
      </c>
      <c r="B162" s="37">
        <f t="shared" si="53"/>
        <v>0.75602566236883972</v>
      </c>
      <c r="C162" s="37">
        <f t="shared" si="52"/>
        <v>148.4098285058293</v>
      </c>
      <c r="E162" s="1048">
        <f t="shared" ca="1" si="58"/>
        <v>43492</v>
      </c>
      <c r="F162" s="153">
        <f t="shared" ca="1" si="54"/>
        <v>50</v>
      </c>
    </row>
    <row r="163" spans="1:9">
      <c r="A163" s="747">
        <v>2</v>
      </c>
      <c r="B163" s="37">
        <f t="shared" si="53"/>
        <v>6.636914069603514</v>
      </c>
      <c r="C163" s="37">
        <f t="shared" si="52"/>
        <v>155.0467425754328</v>
      </c>
      <c r="E163" s="1048">
        <f t="shared" ca="1" si="58"/>
        <v>43522</v>
      </c>
      <c r="F163" s="153">
        <f t="shared" ca="1" si="54"/>
        <v>25</v>
      </c>
    </row>
    <row r="164" spans="1:9">
      <c r="A164" s="747">
        <v>3</v>
      </c>
      <c r="B164" s="37">
        <f t="shared" si="53"/>
        <v>6.6671569744420029</v>
      </c>
      <c r="C164" s="37">
        <f t="shared" si="52"/>
        <v>161.71389954987481</v>
      </c>
      <c r="E164" s="1048">
        <f t="shared" ca="1" si="58"/>
        <v>43552</v>
      </c>
      <c r="F164" s="153">
        <f t="shared" ca="1" si="54"/>
        <v>50</v>
      </c>
    </row>
    <row r="165" spans="1:9">
      <c r="A165" s="747">
        <v>4</v>
      </c>
      <c r="B165" s="37">
        <f t="shared" si="53"/>
        <v>2.0058892532189443</v>
      </c>
      <c r="C165" s="37">
        <f t="shared" si="52"/>
        <v>163.71978880309376</v>
      </c>
      <c r="E165" s="1048">
        <f t="shared" ca="1" si="58"/>
        <v>43582</v>
      </c>
      <c r="F165" s="153">
        <f t="shared" ca="1" si="54"/>
        <v>75</v>
      </c>
    </row>
    <row r="166" spans="1:9">
      <c r="A166" s="747">
        <v>5</v>
      </c>
      <c r="B166" s="37">
        <f t="shared" si="53"/>
        <v>3.5358009471971386</v>
      </c>
      <c r="C166" s="37">
        <f t="shared" ref="C166:C229" si="59">C165+B166</f>
        <v>167.25558975029091</v>
      </c>
      <c r="E166" s="1048">
        <f t="shared" ca="1" si="58"/>
        <v>43612</v>
      </c>
      <c r="F166" s="153">
        <f t="shared" ca="1" si="54"/>
        <v>125</v>
      </c>
    </row>
    <row r="167" spans="1:9">
      <c r="A167" s="747">
        <v>6</v>
      </c>
      <c r="B167" s="37">
        <f t="shared" si="53"/>
        <v>1.5216315795227215</v>
      </c>
      <c r="C167" s="37">
        <f t="shared" si="59"/>
        <v>168.77722132981364</v>
      </c>
      <c r="E167" s="1048">
        <f t="shared" ca="1" si="58"/>
        <v>43642</v>
      </c>
      <c r="F167" s="153">
        <f t="shared" ca="1" si="54"/>
        <v>25</v>
      </c>
    </row>
    <row r="168" spans="1:9">
      <c r="A168" s="747">
        <v>7</v>
      </c>
      <c r="B168" s="37">
        <f t="shared" si="53"/>
        <v>2.2709297211156727</v>
      </c>
      <c r="C168" s="37">
        <f t="shared" si="59"/>
        <v>171.04815105092931</v>
      </c>
      <c r="E168" s="1048">
        <f t="shared" ca="1" si="58"/>
        <v>43672</v>
      </c>
      <c r="F168" s="153">
        <f t="shared" ca="1" si="54"/>
        <v>250</v>
      </c>
    </row>
    <row r="169" spans="1:9">
      <c r="A169" s="747">
        <v>8</v>
      </c>
      <c r="B169" s="37">
        <f t="shared" si="53"/>
        <v>2.6612001729713008</v>
      </c>
      <c r="C169" s="37">
        <f t="shared" si="59"/>
        <v>173.7093512239006</v>
      </c>
      <c r="E169" s="1048">
        <f t="shared" ca="1" si="58"/>
        <v>43702</v>
      </c>
      <c r="F169" s="153">
        <f t="shared" ca="1" si="54"/>
        <v>75</v>
      </c>
    </row>
    <row r="170" spans="1:9">
      <c r="A170" s="747">
        <v>9</v>
      </c>
      <c r="B170" s="37">
        <f t="shared" si="53"/>
        <v>0.75275696277111681</v>
      </c>
      <c r="C170" s="37">
        <f t="shared" si="59"/>
        <v>174.46210818667171</v>
      </c>
      <c r="E170" s="1048">
        <f t="shared" ca="1" si="58"/>
        <v>43732</v>
      </c>
      <c r="F170" s="153">
        <f t="shared" ref="F170:F201" ca="1" si="60">SUMIFS(Q:Q,T:T,"&gt;="&amp;DATE(YEAR(E170),MONTH(E170),DAY(E170)),T:T,"&lt;"&amp;DATE(YEAR(E171),MONTH(E171),DAY(E171)))</f>
        <v>275</v>
      </c>
    </row>
    <row r="171" spans="1:9">
      <c r="A171" s="747">
        <v>10</v>
      </c>
      <c r="B171" s="37">
        <f t="shared" si="53"/>
        <v>1.5267917863587788</v>
      </c>
      <c r="C171" s="37">
        <f t="shared" si="59"/>
        <v>175.9888999730305</v>
      </c>
      <c r="E171" s="1048">
        <f t="shared" ca="1" si="58"/>
        <v>43762</v>
      </c>
      <c r="F171" s="153">
        <f t="shared" ca="1" si="60"/>
        <v>125</v>
      </c>
    </row>
    <row r="172" spans="1:9">
      <c r="A172" s="747">
        <v>11</v>
      </c>
      <c r="B172" s="37">
        <f t="shared" si="53"/>
        <v>0.76463302063168959</v>
      </c>
      <c r="C172" s="37">
        <f t="shared" si="59"/>
        <v>176.75353299366219</v>
      </c>
      <c r="E172" s="1048">
        <f t="shared" ca="1" si="58"/>
        <v>43792</v>
      </c>
      <c r="F172" s="153">
        <f t="shared" ca="1" si="60"/>
        <v>125</v>
      </c>
    </row>
    <row r="173" spans="1:9">
      <c r="A173" s="747">
        <v>12</v>
      </c>
      <c r="B173" s="37">
        <f t="shared" si="53"/>
        <v>1.9768374302937195</v>
      </c>
      <c r="C173" s="37">
        <f t="shared" si="59"/>
        <v>178.73037042395592</v>
      </c>
      <c r="E173" s="1048">
        <f t="shared" ca="1" si="58"/>
        <v>43822</v>
      </c>
      <c r="F173" s="153">
        <f t="shared" ca="1" si="60"/>
        <v>225</v>
      </c>
    </row>
    <row r="174" spans="1:9">
      <c r="A174" s="747">
        <v>13</v>
      </c>
      <c r="B174" s="37">
        <f t="shared" si="53"/>
        <v>2.0530478834386292</v>
      </c>
      <c r="C174" s="37">
        <f t="shared" si="59"/>
        <v>180.78341830739456</v>
      </c>
      <c r="E174" s="1048">
        <f t="shared" ca="1" si="58"/>
        <v>43852</v>
      </c>
      <c r="F174" s="153">
        <f t="shared" ca="1" si="60"/>
        <v>75</v>
      </c>
    </row>
    <row r="175" spans="1:9">
      <c r="A175" s="747">
        <v>14</v>
      </c>
      <c r="B175" s="37">
        <f t="shared" si="53"/>
        <v>1.5342720995256134</v>
      </c>
      <c r="C175" s="37">
        <f t="shared" si="59"/>
        <v>182.31769040692018</v>
      </c>
      <c r="E175" s="1048">
        <f t="shared" ca="1" si="58"/>
        <v>43882</v>
      </c>
      <c r="F175" s="153">
        <f t="shared" ca="1" si="60"/>
        <v>25</v>
      </c>
    </row>
    <row r="176" spans="1:9">
      <c r="A176" s="747">
        <v>15</v>
      </c>
      <c r="B176" s="37">
        <f t="shared" si="53"/>
        <v>2.2662817708061302</v>
      </c>
      <c r="C176" s="37">
        <f t="shared" si="59"/>
        <v>184.58397217772631</v>
      </c>
      <c r="E176" s="1048">
        <f t="shared" ca="1" si="58"/>
        <v>43912</v>
      </c>
      <c r="F176" s="153">
        <f t="shared" ca="1" si="60"/>
        <v>0</v>
      </c>
    </row>
    <row r="177" spans="1:6">
      <c r="A177" s="747">
        <v>16</v>
      </c>
      <c r="B177" s="37">
        <f t="shared" si="53"/>
        <v>1.5205600366049443</v>
      </c>
      <c r="C177" s="37">
        <f t="shared" si="59"/>
        <v>186.10453221433124</v>
      </c>
      <c r="E177" s="1048">
        <f t="shared" ca="1" si="58"/>
        <v>43942</v>
      </c>
      <c r="F177" s="153">
        <f t="shared" ca="1" si="60"/>
        <v>25</v>
      </c>
    </row>
    <row r="178" spans="1:6">
      <c r="A178" s="747">
        <v>17</v>
      </c>
      <c r="B178" s="37">
        <f t="shared" si="53"/>
        <v>0.74166367985229376</v>
      </c>
      <c r="C178" s="37">
        <f t="shared" si="59"/>
        <v>186.84619589418352</v>
      </c>
      <c r="E178" s="1048">
        <f t="shared" ca="1" si="58"/>
        <v>43972</v>
      </c>
      <c r="F178" s="153">
        <f t="shared" ca="1" si="60"/>
        <v>0</v>
      </c>
    </row>
    <row r="179" spans="1:6">
      <c r="A179" s="747">
        <v>18</v>
      </c>
      <c r="B179" s="37">
        <f t="shared" si="53"/>
        <v>1.5196433310765429</v>
      </c>
      <c r="C179" s="37">
        <f t="shared" si="59"/>
        <v>188.36583922526006</v>
      </c>
      <c r="E179" s="1048">
        <f t="shared" ca="1" si="58"/>
        <v>44002</v>
      </c>
      <c r="F179" s="153">
        <f t="shared" ca="1" si="60"/>
        <v>0</v>
      </c>
    </row>
    <row r="180" spans="1:6">
      <c r="A180" s="747">
        <v>19</v>
      </c>
      <c r="B180" s="37">
        <f t="shared" si="53"/>
        <v>0.77880413956909822</v>
      </c>
      <c r="C180" s="37">
        <f t="shared" si="59"/>
        <v>189.14464336482916</v>
      </c>
      <c r="E180" s="1048">
        <f t="shared" ca="1" si="58"/>
        <v>44032</v>
      </c>
      <c r="F180" s="153">
        <f t="shared" ca="1" si="60"/>
        <v>0</v>
      </c>
    </row>
    <row r="181" spans="1:6">
      <c r="A181" s="747">
        <v>20</v>
      </c>
      <c r="B181" s="37">
        <f t="shared" si="53"/>
        <v>2.8008611147841416</v>
      </c>
      <c r="C181" s="37">
        <f t="shared" si="59"/>
        <v>191.94550447961331</v>
      </c>
      <c r="E181" s="1048">
        <f t="shared" ca="1" si="58"/>
        <v>44062</v>
      </c>
      <c r="F181" s="153">
        <f t="shared" ca="1" si="60"/>
        <v>0</v>
      </c>
    </row>
    <row r="182" spans="1:6">
      <c r="A182" s="747">
        <v>21</v>
      </c>
      <c r="B182" s="37">
        <f t="shared" si="53"/>
        <v>1.2882581412440199</v>
      </c>
      <c r="C182" s="37">
        <f t="shared" si="59"/>
        <v>193.23376262085733</v>
      </c>
      <c r="E182" s="1048">
        <f t="shared" ca="1" si="58"/>
        <v>44092</v>
      </c>
      <c r="F182" s="153">
        <f t="shared" ca="1" si="60"/>
        <v>0</v>
      </c>
    </row>
    <row r="183" spans="1:6">
      <c r="A183" s="747">
        <v>22</v>
      </c>
      <c r="B183" s="37">
        <f t="shared" si="53"/>
        <v>1.5335920132014276</v>
      </c>
      <c r="C183" s="37">
        <f t="shared" si="59"/>
        <v>194.76735463405876</v>
      </c>
      <c r="E183" s="1048">
        <f t="shared" ca="1" si="58"/>
        <v>44122</v>
      </c>
      <c r="F183" s="153">
        <f t="shared" ca="1" si="60"/>
        <v>0</v>
      </c>
    </row>
    <row r="184" spans="1:6">
      <c r="A184" s="747">
        <v>23</v>
      </c>
      <c r="B184" s="37">
        <f t="shared" si="53"/>
        <v>4.5412274329139262</v>
      </c>
      <c r="C184" s="37">
        <f t="shared" si="59"/>
        <v>199.30858206697269</v>
      </c>
      <c r="E184" s="1048">
        <f t="shared" ca="1" si="58"/>
        <v>44152</v>
      </c>
      <c r="F184" s="153">
        <f t="shared" ca="1" si="60"/>
        <v>50</v>
      </c>
    </row>
    <row r="185" spans="1:6">
      <c r="A185" s="747">
        <v>24</v>
      </c>
      <c r="B185" s="37">
        <f t="shared" si="53"/>
        <v>2.2912937937937334</v>
      </c>
      <c r="C185" s="37">
        <f t="shared" si="59"/>
        <v>201.59987586076642</v>
      </c>
      <c r="E185" s="1048">
        <f t="shared" ca="1" si="58"/>
        <v>44182</v>
      </c>
      <c r="F185" s="153">
        <f t="shared" ca="1" si="60"/>
        <v>25</v>
      </c>
    </row>
    <row r="186" spans="1:6">
      <c r="A186" s="747">
        <v>25</v>
      </c>
      <c r="B186" s="37">
        <f t="shared" si="53"/>
        <v>0.76463302063168959</v>
      </c>
      <c r="C186" s="37">
        <f t="shared" si="59"/>
        <v>202.36450888139811</v>
      </c>
      <c r="E186" s="1048">
        <f t="shared" ca="1" si="58"/>
        <v>44212</v>
      </c>
      <c r="F186" s="153">
        <f t="shared" ca="1" si="60"/>
        <v>0</v>
      </c>
    </row>
    <row r="187" spans="1:6">
      <c r="A187" s="747">
        <v>26</v>
      </c>
      <c r="B187" s="37">
        <f t="shared" si="53"/>
        <v>2.2967422597595393</v>
      </c>
      <c r="C187" s="37">
        <f t="shared" si="59"/>
        <v>204.66125114115763</v>
      </c>
      <c r="E187" s="1048">
        <f t="shared" ca="1" si="58"/>
        <v>44242</v>
      </c>
      <c r="F187" s="153">
        <f t="shared" ca="1" si="60"/>
        <v>0</v>
      </c>
    </row>
    <row r="188" spans="1:6">
      <c r="A188" s="747">
        <v>27</v>
      </c>
      <c r="B188" s="37">
        <f t="shared" si="53"/>
        <v>5.3781738298514519</v>
      </c>
      <c r="C188" s="37">
        <f t="shared" si="59"/>
        <v>210.03942497100908</v>
      </c>
      <c r="E188" s="1048">
        <f t="shared" ca="1" si="58"/>
        <v>44272</v>
      </c>
      <c r="F188" s="153">
        <f t="shared" ca="1" si="60"/>
        <v>25</v>
      </c>
    </row>
    <row r="189" spans="1:6">
      <c r="A189" s="747">
        <v>28</v>
      </c>
      <c r="B189" s="37">
        <f t="shared" si="53"/>
        <v>0.74166367985229376</v>
      </c>
      <c r="C189" s="37">
        <f t="shared" si="59"/>
        <v>210.78108865086136</v>
      </c>
      <c r="E189" s="1048">
        <f t="shared" ca="1" si="58"/>
        <v>44302</v>
      </c>
      <c r="F189" s="153">
        <f t="shared" ca="1" si="60"/>
        <v>0</v>
      </c>
    </row>
    <row r="190" spans="1:6">
      <c r="A190" s="747">
        <v>29</v>
      </c>
      <c r="B190" s="37">
        <f t="shared" si="53"/>
        <v>6.8975474167772406</v>
      </c>
      <c r="C190" s="37">
        <f t="shared" si="59"/>
        <v>217.67863606763859</v>
      </c>
      <c r="E190" s="1048">
        <f t="shared" ca="1" si="58"/>
        <v>44332</v>
      </c>
      <c r="F190" s="153">
        <f t="shared" ca="1" si="60"/>
        <v>0</v>
      </c>
    </row>
    <row r="191" spans="1:6">
      <c r="A191" s="747">
        <v>30</v>
      </c>
      <c r="B191" s="37">
        <f t="shared" si="53"/>
        <v>2.2967422597595393</v>
      </c>
      <c r="C191" s="37">
        <f t="shared" si="59"/>
        <v>219.97537832739812</v>
      </c>
      <c r="E191" s="1048">
        <f t="shared" ca="1" si="58"/>
        <v>44362</v>
      </c>
      <c r="F191" s="153">
        <f t="shared" ca="1" si="60"/>
        <v>75</v>
      </c>
    </row>
    <row r="192" spans="1:6">
      <c r="A192" s="747">
        <v>31</v>
      </c>
      <c r="B192" s="37">
        <f t="shared" si="53"/>
        <v>1.5053259377925574</v>
      </c>
      <c r="C192" s="37">
        <f t="shared" si="59"/>
        <v>221.48070426519067</v>
      </c>
      <c r="E192" s="1048">
        <f t="shared" ca="1" si="58"/>
        <v>44392</v>
      </c>
      <c r="F192" s="153">
        <f t="shared" ca="1" si="60"/>
        <v>0</v>
      </c>
    </row>
    <row r="193" spans="1:6">
      <c r="A193" s="747">
        <v>1</v>
      </c>
      <c r="B193" s="37">
        <f t="shared" si="53"/>
        <v>0.75602566236883972</v>
      </c>
      <c r="C193" s="37">
        <f t="shared" si="59"/>
        <v>222.23672992755951</v>
      </c>
      <c r="E193" s="1048">
        <f t="shared" ca="1" si="58"/>
        <v>44422</v>
      </c>
      <c r="F193" s="153">
        <f t="shared" ca="1" si="60"/>
        <v>25</v>
      </c>
    </row>
    <row r="194" spans="1:6">
      <c r="A194" s="747">
        <v>2</v>
      </c>
      <c r="B194" s="37">
        <f t="shared" si="53"/>
        <v>6.636914069603514</v>
      </c>
      <c r="C194" s="37">
        <f t="shared" si="59"/>
        <v>228.87364399716301</v>
      </c>
      <c r="E194" s="1048">
        <f t="shared" ca="1" si="58"/>
        <v>44452</v>
      </c>
      <c r="F194" s="153">
        <f t="shared" ca="1" si="60"/>
        <v>25</v>
      </c>
    </row>
    <row r="195" spans="1:6">
      <c r="A195" s="747">
        <v>3</v>
      </c>
      <c r="B195" s="37">
        <f t="shared" si="53"/>
        <v>6.6671569744420029</v>
      </c>
      <c r="C195" s="37">
        <f t="shared" si="59"/>
        <v>235.54080097160502</v>
      </c>
      <c r="E195" s="1048">
        <f t="shared" ca="1" si="58"/>
        <v>44482</v>
      </c>
      <c r="F195" s="153">
        <f t="shared" ca="1" si="60"/>
        <v>0</v>
      </c>
    </row>
    <row r="196" spans="1:6">
      <c r="A196" s="747">
        <v>4</v>
      </c>
      <c r="B196" s="37">
        <f t="shared" ref="B196:B259" si="61">B165</f>
        <v>2.0058892532189443</v>
      </c>
      <c r="C196" s="37">
        <f t="shared" si="59"/>
        <v>237.54669022482398</v>
      </c>
      <c r="E196" s="1048">
        <f t="shared" ca="1" si="58"/>
        <v>44512</v>
      </c>
      <c r="F196" s="153">
        <f t="shared" ca="1" si="60"/>
        <v>25</v>
      </c>
    </row>
    <row r="197" spans="1:6">
      <c r="A197" s="747">
        <v>5</v>
      </c>
      <c r="B197" s="37">
        <f t="shared" si="61"/>
        <v>3.5358009471971386</v>
      </c>
      <c r="C197" s="37">
        <f t="shared" si="59"/>
        <v>241.08249117202112</v>
      </c>
      <c r="E197" s="1048">
        <f t="shared" ca="1" si="58"/>
        <v>44542</v>
      </c>
      <c r="F197" s="153">
        <f t="shared" ca="1" si="60"/>
        <v>50</v>
      </c>
    </row>
    <row r="198" spans="1:6">
      <c r="A198" s="747">
        <v>6</v>
      </c>
      <c r="B198" s="37">
        <f t="shared" si="61"/>
        <v>1.5216315795227215</v>
      </c>
      <c r="C198" s="37">
        <f t="shared" si="59"/>
        <v>242.60412275154385</v>
      </c>
      <c r="E198" s="1048">
        <f t="shared" ca="1" si="58"/>
        <v>44572</v>
      </c>
      <c r="F198" s="153">
        <f t="shared" ca="1" si="60"/>
        <v>25</v>
      </c>
    </row>
    <row r="199" spans="1:6">
      <c r="A199" s="747">
        <v>7</v>
      </c>
      <c r="B199" s="37">
        <f t="shared" si="61"/>
        <v>2.2709297211156727</v>
      </c>
      <c r="C199" s="37">
        <f t="shared" si="59"/>
        <v>244.87505247265952</v>
      </c>
      <c r="E199" s="1048">
        <f t="shared" ca="1" si="58"/>
        <v>44602</v>
      </c>
      <c r="F199" s="153">
        <f t="shared" ca="1" si="60"/>
        <v>0</v>
      </c>
    </row>
    <row r="200" spans="1:6">
      <c r="A200" s="747">
        <v>8</v>
      </c>
      <c r="B200" s="37">
        <f t="shared" si="61"/>
        <v>2.6612001729713008</v>
      </c>
      <c r="C200" s="37">
        <f t="shared" si="59"/>
        <v>247.53625264563081</v>
      </c>
      <c r="E200" s="1048">
        <f t="shared" ca="1" si="58"/>
        <v>44632</v>
      </c>
      <c r="F200" s="153">
        <f t="shared" ca="1" si="60"/>
        <v>0</v>
      </c>
    </row>
    <row r="201" spans="1:6">
      <c r="A201" s="747">
        <v>9</v>
      </c>
      <c r="B201" s="37">
        <f t="shared" si="61"/>
        <v>0.75275696277111681</v>
      </c>
      <c r="C201" s="37">
        <f t="shared" si="59"/>
        <v>248.28900960840193</v>
      </c>
      <c r="E201" s="1048">
        <f t="shared" ca="1" si="58"/>
        <v>44662</v>
      </c>
      <c r="F201" s="153">
        <f t="shared" ca="1" si="60"/>
        <v>0</v>
      </c>
    </row>
    <row r="202" spans="1:6">
      <c r="A202" s="747">
        <v>10</v>
      </c>
      <c r="B202" s="37">
        <f t="shared" si="61"/>
        <v>1.5267917863587788</v>
      </c>
      <c r="C202" s="37">
        <f t="shared" si="59"/>
        <v>249.81580139476071</v>
      </c>
      <c r="E202" s="1048">
        <f t="shared" ca="1" si="58"/>
        <v>44692</v>
      </c>
      <c r="F202" s="153">
        <f t="shared" ref="F202:F233" ca="1" si="62">SUMIFS(Q:Q,T:T,"&gt;="&amp;DATE(YEAR(E202),MONTH(E202),DAY(E202)),T:T,"&lt;"&amp;DATE(YEAR(E203),MONTH(E203),DAY(E203)))</f>
        <v>0</v>
      </c>
    </row>
    <row r="203" spans="1:6">
      <c r="A203" s="747">
        <v>11</v>
      </c>
      <c r="B203" s="37">
        <f t="shared" si="61"/>
        <v>0.76463302063168959</v>
      </c>
      <c r="C203" s="37">
        <f t="shared" si="59"/>
        <v>250.5804344153924</v>
      </c>
      <c r="E203" s="1048">
        <f t="shared" ca="1" si="58"/>
        <v>44722</v>
      </c>
      <c r="F203" s="153">
        <f t="shared" ca="1" si="62"/>
        <v>0</v>
      </c>
    </row>
    <row r="204" spans="1:6">
      <c r="A204" s="747">
        <v>12</v>
      </c>
      <c r="B204" s="37">
        <f t="shared" si="61"/>
        <v>1.9768374302937195</v>
      </c>
      <c r="C204" s="37">
        <f t="shared" si="59"/>
        <v>252.55727184568613</v>
      </c>
      <c r="E204" s="1048">
        <f t="shared" ref="E204:E267" ca="1" si="63">E203+30</f>
        <v>44752</v>
      </c>
      <c r="F204" s="153">
        <f t="shared" ca="1" si="62"/>
        <v>0</v>
      </c>
    </row>
    <row r="205" spans="1:6">
      <c r="A205" s="747">
        <v>13</v>
      </c>
      <c r="B205" s="37">
        <f t="shared" si="61"/>
        <v>2.0530478834386292</v>
      </c>
      <c r="C205" s="37">
        <f t="shared" si="59"/>
        <v>254.61031972912477</v>
      </c>
      <c r="E205" s="1048">
        <f t="shared" ca="1" si="63"/>
        <v>44782</v>
      </c>
      <c r="F205" s="153">
        <f t="shared" ca="1" si="62"/>
        <v>0</v>
      </c>
    </row>
    <row r="206" spans="1:6">
      <c r="A206" s="747">
        <v>14</v>
      </c>
      <c r="B206" s="37">
        <f t="shared" si="61"/>
        <v>1.5342720995256134</v>
      </c>
      <c r="C206" s="37">
        <f t="shared" si="59"/>
        <v>256.14459182865039</v>
      </c>
      <c r="E206" s="1048">
        <f t="shared" ca="1" si="63"/>
        <v>44812</v>
      </c>
      <c r="F206" s="153">
        <f t="shared" ca="1" si="62"/>
        <v>0</v>
      </c>
    </row>
    <row r="207" spans="1:6">
      <c r="A207" s="747">
        <v>15</v>
      </c>
      <c r="B207" s="37">
        <f t="shared" si="61"/>
        <v>2.2662817708061302</v>
      </c>
      <c r="C207" s="37">
        <f t="shared" si="59"/>
        <v>258.41087359945652</v>
      </c>
      <c r="E207" s="1048">
        <f t="shared" ca="1" si="63"/>
        <v>44842</v>
      </c>
      <c r="F207" s="153">
        <f t="shared" ca="1" si="62"/>
        <v>0</v>
      </c>
    </row>
    <row r="208" spans="1:6">
      <c r="A208" s="747">
        <v>16</v>
      </c>
      <c r="B208" s="37">
        <f t="shared" si="61"/>
        <v>1.5205600366049443</v>
      </c>
      <c r="C208" s="37">
        <f t="shared" si="59"/>
        <v>259.93143363606146</v>
      </c>
      <c r="E208" s="1048">
        <f t="shared" ca="1" si="63"/>
        <v>44872</v>
      </c>
      <c r="F208" s="153">
        <f t="shared" ca="1" si="62"/>
        <v>0</v>
      </c>
    </row>
    <row r="209" spans="1:6">
      <c r="A209" s="747">
        <v>17</v>
      </c>
      <c r="B209" s="37">
        <f t="shared" si="61"/>
        <v>0.74166367985229376</v>
      </c>
      <c r="C209" s="37">
        <f t="shared" si="59"/>
        <v>260.67309731591376</v>
      </c>
      <c r="E209" s="1048">
        <f t="shared" ca="1" si="63"/>
        <v>44902</v>
      </c>
      <c r="F209" s="153">
        <f t="shared" ca="1" si="62"/>
        <v>0</v>
      </c>
    </row>
    <row r="210" spans="1:6">
      <c r="A210" s="747">
        <v>18</v>
      </c>
      <c r="B210" s="37">
        <f t="shared" si="61"/>
        <v>1.5196433310765429</v>
      </c>
      <c r="C210" s="37">
        <f t="shared" si="59"/>
        <v>262.19274064699033</v>
      </c>
      <c r="E210" s="1048">
        <f t="shared" ca="1" si="63"/>
        <v>44932</v>
      </c>
      <c r="F210" s="153">
        <f t="shared" ca="1" si="62"/>
        <v>0</v>
      </c>
    </row>
    <row r="211" spans="1:6">
      <c r="A211" s="747">
        <v>19</v>
      </c>
      <c r="B211" s="37">
        <f t="shared" si="61"/>
        <v>0.77880413956909822</v>
      </c>
      <c r="C211" s="37">
        <f t="shared" si="59"/>
        <v>262.97154478655943</v>
      </c>
      <c r="E211" s="1048">
        <f t="shared" ca="1" si="63"/>
        <v>44962</v>
      </c>
      <c r="F211" s="153">
        <f t="shared" ca="1" si="62"/>
        <v>0</v>
      </c>
    </row>
    <row r="212" spans="1:6">
      <c r="A212" s="747">
        <v>20</v>
      </c>
      <c r="B212" s="37">
        <f t="shared" si="61"/>
        <v>2.8008611147841416</v>
      </c>
      <c r="C212" s="37">
        <f t="shared" si="59"/>
        <v>265.77240590134357</v>
      </c>
      <c r="E212" s="1048">
        <f t="shared" ca="1" si="63"/>
        <v>44992</v>
      </c>
      <c r="F212" s="153">
        <f t="shared" ca="1" si="62"/>
        <v>0</v>
      </c>
    </row>
    <row r="213" spans="1:6">
      <c r="A213" s="747">
        <v>21</v>
      </c>
      <c r="B213" s="37">
        <f t="shared" si="61"/>
        <v>1.2882581412440199</v>
      </c>
      <c r="C213" s="37">
        <f t="shared" si="59"/>
        <v>267.06066404258758</v>
      </c>
      <c r="E213" s="1048">
        <f t="shared" ca="1" si="63"/>
        <v>45022</v>
      </c>
      <c r="F213" s="153">
        <f t="shared" ca="1" si="62"/>
        <v>0</v>
      </c>
    </row>
    <row r="214" spans="1:6">
      <c r="A214" s="747">
        <v>22</v>
      </c>
      <c r="B214" s="37">
        <f t="shared" si="61"/>
        <v>1.5335920132014276</v>
      </c>
      <c r="C214" s="37">
        <f t="shared" si="59"/>
        <v>268.594256055789</v>
      </c>
      <c r="E214" s="1048">
        <f t="shared" ca="1" si="63"/>
        <v>45052</v>
      </c>
      <c r="F214" s="153">
        <f t="shared" ca="1" si="62"/>
        <v>0</v>
      </c>
    </row>
    <row r="215" spans="1:6">
      <c r="A215" s="747">
        <v>23</v>
      </c>
      <c r="B215" s="37">
        <f t="shared" si="61"/>
        <v>4.5412274329139262</v>
      </c>
      <c r="C215" s="37">
        <f t="shared" si="59"/>
        <v>273.1354834887029</v>
      </c>
      <c r="E215" s="1048">
        <f t="shared" ca="1" si="63"/>
        <v>45082</v>
      </c>
      <c r="F215" s="153">
        <f t="shared" ca="1" si="62"/>
        <v>0</v>
      </c>
    </row>
    <row r="216" spans="1:6">
      <c r="A216" s="747">
        <v>24</v>
      </c>
      <c r="B216" s="37">
        <f t="shared" si="61"/>
        <v>2.2912937937937334</v>
      </c>
      <c r="C216" s="37">
        <f t="shared" si="59"/>
        <v>275.42677728249663</v>
      </c>
      <c r="E216" s="1048">
        <f t="shared" ca="1" si="63"/>
        <v>45112</v>
      </c>
      <c r="F216" s="153">
        <f t="shared" ca="1" si="62"/>
        <v>0</v>
      </c>
    </row>
    <row r="217" spans="1:6">
      <c r="A217" s="747">
        <v>25</v>
      </c>
      <c r="B217" s="37">
        <f t="shared" si="61"/>
        <v>0.76463302063168959</v>
      </c>
      <c r="C217" s="37">
        <f t="shared" si="59"/>
        <v>276.19141030312829</v>
      </c>
      <c r="E217" s="1048">
        <f t="shared" ca="1" si="63"/>
        <v>45142</v>
      </c>
      <c r="F217" s="153">
        <f t="shared" ca="1" si="62"/>
        <v>0</v>
      </c>
    </row>
    <row r="218" spans="1:6">
      <c r="A218" s="747">
        <v>26</v>
      </c>
      <c r="B218" s="37">
        <f t="shared" si="61"/>
        <v>2.2967422597595393</v>
      </c>
      <c r="C218" s="37">
        <f t="shared" si="59"/>
        <v>278.48815256288782</v>
      </c>
      <c r="E218" s="1048">
        <f t="shared" ca="1" si="63"/>
        <v>45172</v>
      </c>
      <c r="F218" s="153">
        <f t="shared" ca="1" si="62"/>
        <v>0</v>
      </c>
    </row>
    <row r="219" spans="1:6">
      <c r="A219" s="747">
        <v>27</v>
      </c>
      <c r="B219" s="37">
        <f t="shared" si="61"/>
        <v>5.3781738298514519</v>
      </c>
      <c r="C219" s="37">
        <f t="shared" si="59"/>
        <v>283.86632639273927</v>
      </c>
      <c r="E219" s="1048">
        <f t="shared" ca="1" si="63"/>
        <v>45202</v>
      </c>
      <c r="F219" s="153">
        <f t="shared" ca="1" si="62"/>
        <v>0</v>
      </c>
    </row>
    <row r="220" spans="1:6">
      <c r="A220" s="747">
        <v>28</v>
      </c>
      <c r="B220" s="37">
        <f t="shared" si="61"/>
        <v>0.74166367985229376</v>
      </c>
      <c r="C220" s="37">
        <f t="shared" si="59"/>
        <v>284.60799007259158</v>
      </c>
      <c r="E220" s="1048">
        <f t="shared" ca="1" si="63"/>
        <v>45232</v>
      </c>
      <c r="F220" s="153">
        <f t="shared" ca="1" si="62"/>
        <v>0</v>
      </c>
    </row>
    <row r="221" spans="1:6">
      <c r="A221" s="747">
        <v>29</v>
      </c>
      <c r="B221" s="37">
        <f t="shared" si="61"/>
        <v>6.8975474167772406</v>
      </c>
      <c r="C221" s="37">
        <f t="shared" si="59"/>
        <v>291.50553748936881</v>
      </c>
      <c r="E221" s="1048">
        <f t="shared" ca="1" si="63"/>
        <v>45262</v>
      </c>
      <c r="F221" s="153">
        <f t="shared" ca="1" si="62"/>
        <v>0</v>
      </c>
    </row>
    <row r="222" spans="1:6">
      <c r="A222" s="747">
        <v>30</v>
      </c>
      <c r="B222" s="37">
        <f t="shared" si="61"/>
        <v>2.2967422597595393</v>
      </c>
      <c r="C222" s="37">
        <f t="shared" si="59"/>
        <v>293.80227974912833</v>
      </c>
      <c r="E222" s="1048">
        <f t="shared" ca="1" si="63"/>
        <v>45292</v>
      </c>
      <c r="F222" s="153">
        <f t="shared" ca="1" si="62"/>
        <v>0</v>
      </c>
    </row>
    <row r="223" spans="1:6">
      <c r="A223" s="747">
        <v>31</v>
      </c>
      <c r="B223" s="37">
        <f t="shared" si="61"/>
        <v>1.5053259377925574</v>
      </c>
      <c r="C223" s="37">
        <f t="shared" si="59"/>
        <v>295.30760568692091</v>
      </c>
      <c r="E223" s="1048">
        <f t="shared" ca="1" si="63"/>
        <v>45322</v>
      </c>
      <c r="F223" s="153">
        <f t="shared" ca="1" si="62"/>
        <v>0</v>
      </c>
    </row>
    <row r="224" spans="1:6">
      <c r="A224" s="747">
        <v>1</v>
      </c>
      <c r="B224" s="37">
        <f t="shared" si="61"/>
        <v>0.75602566236883972</v>
      </c>
      <c r="C224" s="37">
        <f t="shared" si="59"/>
        <v>296.06363134928972</v>
      </c>
      <c r="E224" s="1048">
        <f t="shared" ca="1" si="63"/>
        <v>45352</v>
      </c>
      <c r="F224" s="153">
        <f t="shared" ca="1" si="62"/>
        <v>0</v>
      </c>
    </row>
    <row r="225" spans="1:6">
      <c r="A225" s="747">
        <v>2</v>
      </c>
      <c r="B225" s="37">
        <f t="shared" si="61"/>
        <v>6.636914069603514</v>
      </c>
      <c r="C225" s="37">
        <f t="shared" si="59"/>
        <v>302.70054541889323</v>
      </c>
      <c r="E225" s="1048">
        <f t="shared" ca="1" si="63"/>
        <v>45382</v>
      </c>
      <c r="F225" s="153">
        <f t="shared" ca="1" si="62"/>
        <v>0</v>
      </c>
    </row>
    <row r="226" spans="1:6">
      <c r="A226" s="747">
        <v>3</v>
      </c>
      <c r="B226" s="37">
        <f t="shared" si="61"/>
        <v>6.6671569744420029</v>
      </c>
      <c r="C226" s="37">
        <f t="shared" si="59"/>
        <v>309.36770239333521</v>
      </c>
      <c r="E226" s="1048">
        <f t="shared" ca="1" si="63"/>
        <v>45412</v>
      </c>
      <c r="F226" s="153">
        <f t="shared" ca="1" si="62"/>
        <v>0</v>
      </c>
    </row>
    <row r="227" spans="1:6">
      <c r="A227" s="747">
        <v>4</v>
      </c>
      <c r="B227" s="37">
        <f t="shared" si="61"/>
        <v>2.0058892532189443</v>
      </c>
      <c r="C227" s="37">
        <f t="shared" si="59"/>
        <v>311.37359164655413</v>
      </c>
      <c r="E227" s="1048">
        <f t="shared" ca="1" si="63"/>
        <v>45442</v>
      </c>
      <c r="F227" s="153">
        <f t="shared" ca="1" si="62"/>
        <v>0</v>
      </c>
    </row>
    <row r="228" spans="1:6">
      <c r="A228" s="747">
        <v>5</v>
      </c>
      <c r="B228" s="37">
        <f t="shared" si="61"/>
        <v>3.5358009471971386</v>
      </c>
      <c r="C228" s="37">
        <f t="shared" si="59"/>
        <v>314.90939259375125</v>
      </c>
      <c r="E228" s="1048">
        <f t="shared" ca="1" si="63"/>
        <v>45472</v>
      </c>
      <c r="F228" s="153">
        <f t="shared" ca="1" si="62"/>
        <v>0</v>
      </c>
    </row>
    <row r="229" spans="1:6">
      <c r="A229" s="747">
        <v>6</v>
      </c>
      <c r="B229" s="37">
        <f t="shared" si="61"/>
        <v>1.5216315795227215</v>
      </c>
      <c r="C229" s="37">
        <f t="shared" si="59"/>
        <v>316.43102417327395</v>
      </c>
      <c r="E229" s="1048">
        <f t="shared" ca="1" si="63"/>
        <v>45502</v>
      </c>
      <c r="F229" s="153">
        <f t="shared" ca="1" si="62"/>
        <v>0</v>
      </c>
    </row>
    <row r="230" spans="1:6">
      <c r="A230" s="747">
        <v>7</v>
      </c>
      <c r="B230" s="37">
        <f t="shared" si="61"/>
        <v>2.2709297211156727</v>
      </c>
      <c r="C230" s="37">
        <f t="shared" ref="C230:C293" si="64">C229+B230</f>
        <v>318.70195389438965</v>
      </c>
      <c r="E230" s="1048">
        <f t="shared" ca="1" si="63"/>
        <v>45532</v>
      </c>
      <c r="F230" s="153">
        <f t="shared" ca="1" si="62"/>
        <v>0</v>
      </c>
    </row>
    <row r="231" spans="1:6">
      <c r="A231" s="747">
        <v>8</v>
      </c>
      <c r="B231" s="37">
        <f t="shared" si="61"/>
        <v>2.6612001729713008</v>
      </c>
      <c r="C231" s="37">
        <f t="shared" si="64"/>
        <v>321.36315406736094</v>
      </c>
      <c r="E231" s="1048">
        <f t="shared" ca="1" si="63"/>
        <v>45562</v>
      </c>
      <c r="F231" s="153">
        <f t="shared" ca="1" si="62"/>
        <v>0</v>
      </c>
    </row>
    <row r="232" spans="1:6">
      <c r="A232" s="747">
        <v>9</v>
      </c>
      <c r="B232" s="37">
        <f t="shared" si="61"/>
        <v>0.75275696277111681</v>
      </c>
      <c r="C232" s="37">
        <f t="shared" si="64"/>
        <v>322.11591103013205</v>
      </c>
      <c r="E232" s="1048">
        <f t="shared" ca="1" si="63"/>
        <v>45592</v>
      </c>
      <c r="F232" s="153">
        <f t="shared" ca="1" si="62"/>
        <v>0</v>
      </c>
    </row>
    <row r="233" spans="1:6">
      <c r="A233" s="747">
        <v>10</v>
      </c>
      <c r="B233" s="37">
        <f t="shared" si="61"/>
        <v>1.5267917863587788</v>
      </c>
      <c r="C233" s="37">
        <f t="shared" si="64"/>
        <v>323.64270281649084</v>
      </c>
      <c r="E233" s="1048">
        <f t="shared" ca="1" si="63"/>
        <v>45622</v>
      </c>
      <c r="F233" s="153">
        <f t="shared" ca="1" si="62"/>
        <v>0</v>
      </c>
    </row>
    <row r="234" spans="1:6">
      <c r="A234" s="747">
        <v>11</v>
      </c>
      <c r="B234" s="37">
        <f t="shared" si="61"/>
        <v>0.76463302063168959</v>
      </c>
      <c r="C234" s="37">
        <f t="shared" si="64"/>
        <v>324.4073358371225</v>
      </c>
      <c r="E234" s="1048">
        <f t="shared" ca="1" si="63"/>
        <v>45652</v>
      </c>
      <c r="F234" s="153">
        <f t="shared" ref="F234:F265" ca="1" si="65">SUMIFS(Q:Q,T:T,"&gt;="&amp;DATE(YEAR(E234),MONTH(E234),DAY(E234)),T:T,"&lt;"&amp;DATE(YEAR(E235),MONTH(E235),DAY(E235)))</f>
        <v>0</v>
      </c>
    </row>
    <row r="235" spans="1:6">
      <c r="A235" s="747">
        <v>12</v>
      </c>
      <c r="B235" s="37">
        <f t="shared" si="61"/>
        <v>1.9768374302937195</v>
      </c>
      <c r="C235" s="37">
        <f t="shared" si="64"/>
        <v>326.3841732674162</v>
      </c>
      <c r="E235" s="1048">
        <f t="shared" ca="1" si="63"/>
        <v>45682</v>
      </c>
      <c r="F235" s="153">
        <f t="shared" ca="1" si="65"/>
        <v>0</v>
      </c>
    </row>
    <row r="236" spans="1:6">
      <c r="A236" s="747">
        <v>13</v>
      </c>
      <c r="B236" s="37">
        <f t="shared" si="61"/>
        <v>2.0530478834386292</v>
      </c>
      <c r="C236" s="37">
        <f t="shared" si="64"/>
        <v>328.43722115085484</v>
      </c>
      <c r="E236" s="1048">
        <f t="shared" ca="1" si="63"/>
        <v>45712</v>
      </c>
      <c r="F236" s="153">
        <f t="shared" ca="1" si="65"/>
        <v>0</v>
      </c>
    </row>
    <row r="237" spans="1:6">
      <c r="A237" s="747">
        <v>14</v>
      </c>
      <c r="B237" s="37">
        <f t="shared" si="61"/>
        <v>1.5342720995256134</v>
      </c>
      <c r="C237" s="37">
        <f t="shared" si="64"/>
        <v>329.97149325038043</v>
      </c>
      <c r="E237" s="1048">
        <f t="shared" ca="1" si="63"/>
        <v>45742</v>
      </c>
      <c r="F237" s="153">
        <f t="shared" ca="1" si="65"/>
        <v>0</v>
      </c>
    </row>
    <row r="238" spans="1:6">
      <c r="A238" s="747">
        <v>15</v>
      </c>
      <c r="B238" s="37">
        <f t="shared" si="61"/>
        <v>2.2662817708061302</v>
      </c>
      <c r="C238" s="37">
        <f t="shared" si="64"/>
        <v>332.23777502118656</v>
      </c>
      <c r="E238" s="1048">
        <f t="shared" ca="1" si="63"/>
        <v>45772</v>
      </c>
      <c r="F238" s="153">
        <f t="shared" ca="1" si="65"/>
        <v>0</v>
      </c>
    </row>
    <row r="239" spans="1:6">
      <c r="A239" s="747">
        <v>16</v>
      </c>
      <c r="B239" s="37">
        <f t="shared" si="61"/>
        <v>1.5205600366049443</v>
      </c>
      <c r="C239" s="37">
        <f t="shared" si="64"/>
        <v>333.7583350577915</v>
      </c>
      <c r="E239" s="1048">
        <f t="shared" ca="1" si="63"/>
        <v>45802</v>
      </c>
      <c r="F239" s="153">
        <f t="shared" ca="1" si="65"/>
        <v>0</v>
      </c>
    </row>
    <row r="240" spans="1:6">
      <c r="A240" s="747">
        <v>17</v>
      </c>
      <c r="B240" s="37">
        <f t="shared" si="61"/>
        <v>0.74166367985229376</v>
      </c>
      <c r="C240" s="37">
        <f t="shared" si="64"/>
        <v>334.49999873764381</v>
      </c>
      <c r="E240" s="1048">
        <f t="shared" ca="1" si="63"/>
        <v>45832</v>
      </c>
      <c r="F240" s="153">
        <f t="shared" ca="1" si="65"/>
        <v>0</v>
      </c>
    </row>
    <row r="241" spans="1:6">
      <c r="A241" s="747">
        <v>18</v>
      </c>
      <c r="B241" s="37">
        <f t="shared" si="61"/>
        <v>1.5196433310765429</v>
      </c>
      <c r="C241" s="37">
        <f t="shared" si="64"/>
        <v>336.01964206872037</v>
      </c>
      <c r="E241" s="1048">
        <f t="shared" ca="1" si="63"/>
        <v>45862</v>
      </c>
      <c r="F241" s="153">
        <f t="shared" ca="1" si="65"/>
        <v>0</v>
      </c>
    </row>
    <row r="242" spans="1:6">
      <c r="A242" s="747">
        <v>19</v>
      </c>
      <c r="B242" s="37">
        <f t="shared" si="61"/>
        <v>0.77880413956909822</v>
      </c>
      <c r="C242" s="37">
        <f t="shared" si="64"/>
        <v>336.79844620828948</v>
      </c>
      <c r="E242" s="1048">
        <f t="shared" ca="1" si="63"/>
        <v>45892</v>
      </c>
      <c r="F242" s="153">
        <f t="shared" ca="1" si="65"/>
        <v>0</v>
      </c>
    </row>
    <row r="243" spans="1:6">
      <c r="A243" s="747">
        <v>20</v>
      </c>
      <c r="B243" s="37">
        <f t="shared" si="61"/>
        <v>2.8008611147841416</v>
      </c>
      <c r="C243" s="37">
        <f t="shared" si="64"/>
        <v>339.59930732307362</v>
      </c>
      <c r="E243" s="1048">
        <f t="shared" ca="1" si="63"/>
        <v>45922</v>
      </c>
      <c r="F243" s="153">
        <f t="shared" ca="1" si="65"/>
        <v>0</v>
      </c>
    </row>
    <row r="244" spans="1:6">
      <c r="A244" s="747">
        <v>21</v>
      </c>
      <c r="B244" s="37">
        <f t="shared" si="61"/>
        <v>1.2882581412440199</v>
      </c>
      <c r="C244" s="37">
        <f t="shared" si="64"/>
        <v>340.88756546431762</v>
      </c>
      <c r="E244" s="1048">
        <f t="shared" ca="1" si="63"/>
        <v>45952</v>
      </c>
      <c r="F244" s="153">
        <f t="shared" ca="1" si="65"/>
        <v>0</v>
      </c>
    </row>
    <row r="245" spans="1:6">
      <c r="A245" s="747">
        <v>22</v>
      </c>
      <c r="B245" s="37">
        <f t="shared" si="61"/>
        <v>1.5335920132014276</v>
      </c>
      <c r="C245" s="37">
        <f t="shared" si="64"/>
        <v>342.42115747751905</v>
      </c>
      <c r="E245" s="1048">
        <f t="shared" ca="1" si="63"/>
        <v>45982</v>
      </c>
      <c r="F245" s="153">
        <f t="shared" ca="1" si="65"/>
        <v>0</v>
      </c>
    </row>
    <row r="246" spans="1:6">
      <c r="A246" s="747">
        <v>23</v>
      </c>
      <c r="B246" s="37">
        <f t="shared" si="61"/>
        <v>4.5412274329139262</v>
      </c>
      <c r="C246" s="37">
        <f t="shared" si="64"/>
        <v>346.96238491043295</v>
      </c>
      <c r="E246" s="1048">
        <f t="shared" ca="1" si="63"/>
        <v>46012</v>
      </c>
      <c r="F246" s="153">
        <f t="shared" ca="1" si="65"/>
        <v>0</v>
      </c>
    </row>
    <row r="247" spans="1:6">
      <c r="A247" s="747">
        <v>24</v>
      </c>
      <c r="B247" s="37">
        <f t="shared" si="61"/>
        <v>2.2912937937937334</v>
      </c>
      <c r="C247" s="37">
        <f t="shared" si="64"/>
        <v>349.25367870422667</v>
      </c>
      <c r="E247" s="1048">
        <f t="shared" ca="1" si="63"/>
        <v>46042</v>
      </c>
      <c r="F247" s="153">
        <f t="shared" ca="1" si="65"/>
        <v>0</v>
      </c>
    </row>
    <row r="248" spans="1:6">
      <c r="A248" s="747">
        <v>25</v>
      </c>
      <c r="B248" s="37">
        <f t="shared" si="61"/>
        <v>0.76463302063168959</v>
      </c>
      <c r="C248" s="37">
        <f t="shared" si="64"/>
        <v>350.01831172485834</v>
      </c>
      <c r="E248" s="1048">
        <f t="shared" ca="1" si="63"/>
        <v>46072</v>
      </c>
      <c r="F248" s="153">
        <f t="shared" ca="1" si="65"/>
        <v>0</v>
      </c>
    </row>
    <row r="249" spans="1:6">
      <c r="A249" s="747">
        <v>26</v>
      </c>
      <c r="B249" s="37">
        <f t="shared" si="61"/>
        <v>2.2967422597595393</v>
      </c>
      <c r="C249" s="37">
        <f t="shared" si="64"/>
        <v>352.31505398461786</v>
      </c>
      <c r="E249" s="1048">
        <f t="shared" ca="1" si="63"/>
        <v>46102</v>
      </c>
      <c r="F249" s="153">
        <f t="shared" ca="1" si="65"/>
        <v>0</v>
      </c>
    </row>
    <row r="250" spans="1:6">
      <c r="A250" s="747">
        <v>27</v>
      </c>
      <c r="B250" s="37">
        <f t="shared" si="61"/>
        <v>5.3781738298514519</v>
      </c>
      <c r="C250" s="37">
        <f t="shared" si="64"/>
        <v>357.69322781446931</v>
      </c>
      <c r="E250" s="1048">
        <f t="shared" ca="1" si="63"/>
        <v>46132</v>
      </c>
      <c r="F250" s="153">
        <f t="shared" ca="1" si="65"/>
        <v>0</v>
      </c>
    </row>
    <row r="251" spans="1:6">
      <c r="A251" s="747">
        <v>28</v>
      </c>
      <c r="B251" s="37">
        <f t="shared" si="61"/>
        <v>0.74166367985229376</v>
      </c>
      <c r="C251" s="37">
        <f t="shared" si="64"/>
        <v>358.43489149432162</v>
      </c>
      <c r="E251" s="1048">
        <f t="shared" ca="1" si="63"/>
        <v>46162</v>
      </c>
      <c r="F251" s="153">
        <f t="shared" ca="1" si="65"/>
        <v>0</v>
      </c>
    </row>
    <row r="252" spans="1:6">
      <c r="A252" s="747">
        <v>29</v>
      </c>
      <c r="B252" s="37">
        <f t="shared" si="61"/>
        <v>6.8975474167772406</v>
      </c>
      <c r="C252" s="37">
        <f t="shared" si="64"/>
        <v>365.33243891109885</v>
      </c>
      <c r="E252" s="1048">
        <f t="shared" ca="1" si="63"/>
        <v>46192</v>
      </c>
      <c r="F252" s="153">
        <f t="shared" ca="1" si="65"/>
        <v>0</v>
      </c>
    </row>
    <row r="253" spans="1:6">
      <c r="A253" s="747">
        <v>30</v>
      </c>
      <c r="B253" s="37">
        <f t="shared" si="61"/>
        <v>2.2967422597595393</v>
      </c>
      <c r="C253" s="37">
        <f t="shared" si="64"/>
        <v>367.62918117085837</v>
      </c>
      <c r="E253" s="1048">
        <f t="shared" ca="1" si="63"/>
        <v>46222</v>
      </c>
      <c r="F253" s="153">
        <f t="shared" ca="1" si="65"/>
        <v>0</v>
      </c>
    </row>
    <row r="254" spans="1:6">
      <c r="A254" s="747">
        <v>31</v>
      </c>
      <c r="B254" s="37">
        <f t="shared" si="61"/>
        <v>1.5053259377925574</v>
      </c>
      <c r="C254" s="37">
        <f t="shared" si="64"/>
        <v>369.13450710865095</v>
      </c>
      <c r="E254" s="1048">
        <f t="shared" ca="1" si="63"/>
        <v>46252</v>
      </c>
      <c r="F254" s="153">
        <f t="shared" ca="1" si="65"/>
        <v>0</v>
      </c>
    </row>
    <row r="255" spans="1:6">
      <c r="A255" s="747">
        <v>1</v>
      </c>
      <c r="B255" s="37">
        <f t="shared" si="61"/>
        <v>0.75602566236883972</v>
      </c>
      <c r="C255" s="37">
        <f t="shared" si="64"/>
        <v>369.89053277101976</v>
      </c>
      <c r="E255" s="1048">
        <f t="shared" ca="1" si="63"/>
        <v>46282</v>
      </c>
      <c r="F255" s="153">
        <f t="shared" ca="1" si="65"/>
        <v>0</v>
      </c>
    </row>
    <row r="256" spans="1:6">
      <c r="A256" s="747">
        <v>2</v>
      </c>
      <c r="B256" s="37">
        <f t="shared" si="61"/>
        <v>6.636914069603514</v>
      </c>
      <c r="C256" s="37">
        <f t="shared" si="64"/>
        <v>376.52744684062327</v>
      </c>
      <c r="E256" s="1048">
        <f t="shared" ca="1" si="63"/>
        <v>46312</v>
      </c>
      <c r="F256" s="153">
        <f t="shared" ca="1" si="65"/>
        <v>0</v>
      </c>
    </row>
    <row r="257" spans="1:6">
      <c r="A257" s="747">
        <v>3</v>
      </c>
      <c r="B257" s="37">
        <f t="shared" si="61"/>
        <v>6.6671569744420029</v>
      </c>
      <c r="C257" s="37">
        <f t="shared" si="64"/>
        <v>383.19460381506525</v>
      </c>
      <c r="E257" s="1048">
        <f t="shared" ca="1" si="63"/>
        <v>46342</v>
      </c>
      <c r="F257" s="153">
        <f t="shared" ca="1" si="65"/>
        <v>0</v>
      </c>
    </row>
    <row r="258" spans="1:6">
      <c r="A258" s="747">
        <v>4</v>
      </c>
      <c r="B258" s="37">
        <f t="shared" si="61"/>
        <v>2.0058892532189443</v>
      </c>
      <c r="C258" s="37">
        <f t="shared" si="64"/>
        <v>385.20049306828417</v>
      </c>
      <c r="E258" s="1048">
        <f t="shared" ca="1" si="63"/>
        <v>46372</v>
      </c>
      <c r="F258" s="153">
        <f t="shared" ca="1" si="65"/>
        <v>0</v>
      </c>
    </row>
    <row r="259" spans="1:6">
      <c r="A259" s="747">
        <v>5</v>
      </c>
      <c r="B259" s="37">
        <f t="shared" si="61"/>
        <v>3.5358009471971386</v>
      </c>
      <c r="C259" s="37">
        <f t="shared" si="64"/>
        <v>388.73629401548129</v>
      </c>
      <c r="E259" s="1048">
        <f t="shared" ca="1" si="63"/>
        <v>46402</v>
      </c>
      <c r="F259" s="153">
        <f t="shared" ca="1" si="65"/>
        <v>0</v>
      </c>
    </row>
    <row r="260" spans="1:6">
      <c r="A260" s="747">
        <v>6</v>
      </c>
      <c r="B260" s="37">
        <f t="shared" ref="B260:B323" si="66">B229</f>
        <v>1.5216315795227215</v>
      </c>
      <c r="C260" s="37">
        <f t="shared" si="64"/>
        <v>390.257925595004</v>
      </c>
      <c r="E260" s="1048">
        <f t="shared" ca="1" si="63"/>
        <v>46432</v>
      </c>
      <c r="F260" s="153">
        <f t="shared" ca="1" si="65"/>
        <v>0</v>
      </c>
    </row>
    <row r="261" spans="1:6">
      <c r="A261" s="747">
        <v>7</v>
      </c>
      <c r="B261" s="37">
        <f t="shared" si="66"/>
        <v>2.2709297211156727</v>
      </c>
      <c r="C261" s="37">
        <f t="shared" si="64"/>
        <v>392.52885531611969</v>
      </c>
      <c r="E261" s="1048">
        <f t="shared" ca="1" si="63"/>
        <v>46462</v>
      </c>
      <c r="F261" s="153">
        <f t="shared" ca="1" si="65"/>
        <v>0</v>
      </c>
    </row>
    <row r="262" spans="1:6">
      <c r="A262" s="747">
        <v>8</v>
      </c>
      <c r="B262" s="37">
        <f t="shared" si="66"/>
        <v>2.6612001729713008</v>
      </c>
      <c r="C262" s="37">
        <f t="shared" si="64"/>
        <v>395.19005548909098</v>
      </c>
      <c r="E262" s="1048">
        <f t="shared" ca="1" si="63"/>
        <v>46492</v>
      </c>
      <c r="F262" s="153">
        <f t="shared" ca="1" si="65"/>
        <v>0</v>
      </c>
    </row>
    <row r="263" spans="1:6">
      <c r="A263" s="747">
        <v>9</v>
      </c>
      <c r="B263" s="37">
        <f t="shared" si="66"/>
        <v>0.75275696277111681</v>
      </c>
      <c r="C263" s="37">
        <f t="shared" si="64"/>
        <v>395.9428124518621</v>
      </c>
      <c r="E263" s="1048">
        <f t="shared" ca="1" si="63"/>
        <v>46522</v>
      </c>
      <c r="F263" s="153">
        <f t="shared" ca="1" si="65"/>
        <v>0</v>
      </c>
    </row>
    <row r="264" spans="1:6">
      <c r="A264" s="747">
        <v>10</v>
      </c>
      <c r="B264" s="37">
        <f t="shared" si="66"/>
        <v>1.5267917863587788</v>
      </c>
      <c r="C264" s="37">
        <f t="shared" si="64"/>
        <v>397.46960423822088</v>
      </c>
      <c r="E264" s="1048">
        <f t="shared" ca="1" si="63"/>
        <v>46552</v>
      </c>
      <c r="F264" s="153">
        <f t="shared" ca="1" si="65"/>
        <v>0</v>
      </c>
    </row>
    <row r="265" spans="1:6">
      <c r="A265" s="747">
        <v>11</v>
      </c>
      <c r="B265" s="37">
        <f t="shared" si="66"/>
        <v>0.76463302063168959</v>
      </c>
      <c r="C265" s="37">
        <f t="shared" si="64"/>
        <v>398.23423725885254</v>
      </c>
      <c r="E265" s="1048">
        <f t="shared" ca="1" si="63"/>
        <v>46582</v>
      </c>
      <c r="F265" s="153">
        <f t="shared" ca="1" si="65"/>
        <v>0</v>
      </c>
    </row>
    <row r="266" spans="1:6">
      <c r="A266" s="747">
        <v>12</v>
      </c>
      <c r="B266" s="37">
        <f t="shared" si="66"/>
        <v>1.9768374302937195</v>
      </c>
      <c r="C266" s="37">
        <f t="shared" si="64"/>
        <v>400.21107468914624</v>
      </c>
      <c r="E266" s="1048">
        <f t="shared" ca="1" si="63"/>
        <v>46612</v>
      </c>
      <c r="F266" s="153">
        <f t="shared" ref="F266:F297" ca="1" si="67">SUMIFS(Q:Q,T:T,"&gt;="&amp;DATE(YEAR(E266),MONTH(E266),DAY(E266)),T:T,"&lt;"&amp;DATE(YEAR(E267),MONTH(E267),DAY(E267)))</f>
        <v>0</v>
      </c>
    </row>
    <row r="267" spans="1:6">
      <c r="A267" s="747">
        <v>13</v>
      </c>
      <c r="B267" s="37">
        <f t="shared" si="66"/>
        <v>2.0530478834386292</v>
      </c>
      <c r="C267" s="37">
        <f t="shared" si="64"/>
        <v>402.26412257258488</v>
      </c>
      <c r="E267" s="1048">
        <f t="shared" ca="1" si="63"/>
        <v>46642</v>
      </c>
      <c r="F267" s="153">
        <f t="shared" ca="1" si="67"/>
        <v>0</v>
      </c>
    </row>
    <row r="268" spans="1:6">
      <c r="A268" s="747">
        <v>14</v>
      </c>
      <c r="B268" s="37">
        <f t="shared" si="66"/>
        <v>1.5342720995256134</v>
      </c>
      <c r="C268" s="37">
        <f t="shared" si="64"/>
        <v>403.79839467211048</v>
      </c>
      <c r="E268" s="1048">
        <f t="shared" ref="E268:E311" ca="1" si="68">E267+30</f>
        <v>46672</v>
      </c>
      <c r="F268" s="153">
        <f t="shared" ca="1" si="67"/>
        <v>0</v>
      </c>
    </row>
    <row r="269" spans="1:6">
      <c r="A269" s="747">
        <v>15</v>
      </c>
      <c r="B269" s="37">
        <f t="shared" si="66"/>
        <v>2.2662817708061302</v>
      </c>
      <c r="C269" s="37">
        <f t="shared" si="64"/>
        <v>406.06467644291661</v>
      </c>
      <c r="E269" s="1048">
        <f t="shared" ca="1" si="68"/>
        <v>46702</v>
      </c>
      <c r="F269" s="153">
        <f t="shared" ca="1" si="67"/>
        <v>0</v>
      </c>
    </row>
    <row r="270" spans="1:6">
      <c r="A270" s="747">
        <v>16</v>
      </c>
      <c r="B270" s="37">
        <f t="shared" si="66"/>
        <v>1.5205600366049443</v>
      </c>
      <c r="C270" s="37">
        <f t="shared" si="64"/>
        <v>407.58523647952154</v>
      </c>
      <c r="E270" s="1048">
        <f t="shared" ca="1" si="68"/>
        <v>46732</v>
      </c>
      <c r="F270" s="153">
        <f t="shared" ca="1" si="67"/>
        <v>0</v>
      </c>
    </row>
    <row r="271" spans="1:6">
      <c r="A271" s="747">
        <v>17</v>
      </c>
      <c r="B271" s="37">
        <f t="shared" si="66"/>
        <v>0.74166367985229376</v>
      </c>
      <c r="C271" s="37">
        <f t="shared" si="64"/>
        <v>408.32690015937385</v>
      </c>
      <c r="E271" s="1048">
        <f t="shared" ca="1" si="68"/>
        <v>46762</v>
      </c>
      <c r="F271" s="153">
        <f t="shared" ca="1" si="67"/>
        <v>0</v>
      </c>
    </row>
    <row r="272" spans="1:6">
      <c r="A272" s="747">
        <v>18</v>
      </c>
      <c r="B272" s="37">
        <f t="shared" si="66"/>
        <v>1.5196433310765429</v>
      </c>
      <c r="C272" s="37">
        <f t="shared" si="64"/>
        <v>409.84654349045041</v>
      </c>
      <c r="E272" s="1048">
        <f t="shared" ca="1" si="68"/>
        <v>46792</v>
      </c>
      <c r="F272" s="153">
        <f t="shared" ca="1" si="67"/>
        <v>0</v>
      </c>
    </row>
    <row r="273" spans="1:6">
      <c r="A273" s="747">
        <v>19</v>
      </c>
      <c r="B273" s="37">
        <f t="shared" si="66"/>
        <v>0.77880413956909822</v>
      </c>
      <c r="C273" s="37">
        <f t="shared" si="64"/>
        <v>410.62534763001952</v>
      </c>
      <c r="E273" s="1048">
        <f t="shared" ca="1" si="68"/>
        <v>46822</v>
      </c>
      <c r="F273" s="153">
        <f t="shared" ca="1" si="67"/>
        <v>0</v>
      </c>
    </row>
    <row r="274" spans="1:6">
      <c r="A274" s="747">
        <v>20</v>
      </c>
      <c r="B274" s="37">
        <f t="shared" si="66"/>
        <v>2.8008611147841416</v>
      </c>
      <c r="C274" s="37">
        <f t="shared" si="64"/>
        <v>413.42620874480366</v>
      </c>
      <c r="E274" s="1048">
        <f t="shared" ca="1" si="68"/>
        <v>46852</v>
      </c>
      <c r="F274" s="153">
        <f t="shared" ca="1" si="67"/>
        <v>0</v>
      </c>
    </row>
    <row r="275" spans="1:6">
      <c r="A275" s="747">
        <v>21</v>
      </c>
      <c r="B275" s="37">
        <f t="shared" si="66"/>
        <v>1.2882581412440199</v>
      </c>
      <c r="C275" s="37">
        <f t="shared" si="64"/>
        <v>414.71446688604766</v>
      </c>
      <c r="E275" s="1048">
        <f t="shared" ca="1" si="68"/>
        <v>46882</v>
      </c>
      <c r="F275" s="153">
        <f t="shared" ca="1" si="67"/>
        <v>0</v>
      </c>
    </row>
    <row r="276" spans="1:6">
      <c r="A276" s="747">
        <v>22</v>
      </c>
      <c r="B276" s="37">
        <f t="shared" si="66"/>
        <v>1.5335920132014276</v>
      </c>
      <c r="C276" s="37">
        <f t="shared" si="64"/>
        <v>416.24805889924909</v>
      </c>
      <c r="E276" s="1048">
        <f t="shared" ca="1" si="68"/>
        <v>46912</v>
      </c>
      <c r="F276" s="153">
        <f t="shared" ca="1" si="67"/>
        <v>0</v>
      </c>
    </row>
    <row r="277" spans="1:6">
      <c r="A277" s="747">
        <v>23</v>
      </c>
      <c r="B277" s="37">
        <f t="shared" si="66"/>
        <v>4.5412274329139262</v>
      </c>
      <c r="C277" s="37">
        <f t="shared" si="64"/>
        <v>420.78928633216299</v>
      </c>
      <c r="E277" s="1048">
        <f t="shared" ca="1" si="68"/>
        <v>46942</v>
      </c>
      <c r="F277" s="153">
        <f t="shared" ca="1" si="67"/>
        <v>0</v>
      </c>
    </row>
    <row r="278" spans="1:6">
      <c r="A278" s="747">
        <v>24</v>
      </c>
      <c r="B278" s="37">
        <f t="shared" si="66"/>
        <v>2.2912937937937334</v>
      </c>
      <c r="C278" s="37">
        <f t="shared" si="64"/>
        <v>423.08058012595671</v>
      </c>
      <c r="E278" s="1048">
        <f t="shared" ca="1" si="68"/>
        <v>46972</v>
      </c>
      <c r="F278" s="153">
        <f t="shared" ca="1" si="67"/>
        <v>0</v>
      </c>
    </row>
    <row r="279" spans="1:6">
      <c r="A279" s="747">
        <v>25</v>
      </c>
      <c r="B279" s="37">
        <f t="shared" si="66"/>
        <v>0.76463302063168959</v>
      </c>
      <c r="C279" s="37">
        <f t="shared" si="64"/>
        <v>423.84521314658838</v>
      </c>
      <c r="E279" s="1048">
        <f t="shared" ca="1" si="68"/>
        <v>47002</v>
      </c>
      <c r="F279" s="153">
        <f t="shared" ca="1" si="67"/>
        <v>0</v>
      </c>
    </row>
    <row r="280" spans="1:6">
      <c r="A280" s="747">
        <v>26</v>
      </c>
      <c r="B280" s="37">
        <f t="shared" si="66"/>
        <v>2.2967422597595393</v>
      </c>
      <c r="C280" s="37">
        <f t="shared" si="64"/>
        <v>426.1419554063479</v>
      </c>
      <c r="E280" s="1048">
        <f t="shared" ca="1" si="68"/>
        <v>47032</v>
      </c>
      <c r="F280" s="153">
        <f t="shared" ca="1" si="67"/>
        <v>0</v>
      </c>
    </row>
    <row r="281" spans="1:6">
      <c r="A281" s="747">
        <v>27</v>
      </c>
      <c r="B281" s="37">
        <f t="shared" si="66"/>
        <v>5.3781738298514519</v>
      </c>
      <c r="C281" s="37">
        <f t="shared" si="64"/>
        <v>431.52012923619935</v>
      </c>
      <c r="E281" s="1048">
        <f t="shared" ca="1" si="68"/>
        <v>47062</v>
      </c>
      <c r="F281" s="153">
        <f t="shared" ca="1" si="67"/>
        <v>0</v>
      </c>
    </row>
    <row r="282" spans="1:6">
      <c r="A282" s="747">
        <v>28</v>
      </c>
      <c r="B282" s="37">
        <f t="shared" si="66"/>
        <v>0.74166367985229376</v>
      </c>
      <c r="C282" s="37">
        <f t="shared" si="64"/>
        <v>432.26179291605166</v>
      </c>
      <c r="E282" s="1048">
        <f t="shared" ca="1" si="68"/>
        <v>47092</v>
      </c>
      <c r="F282" s="153">
        <f t="shared" ca="1" si="67"/>
        <v>0</v>
      </c>
    </row>
    <row r="283" spans="1:6">
      <c r="A283" s="747">
        <v>29</v>
      </c>
      <c r="B283" s="37">
        <f t="shared" si="66"/>
        <v>6.8975474167772406</v>
      </c>
      <c r="C283" s="37">
        <f t="shared" si="64"/>
        <v>439.15934033282889</v>
      </c>
      <c r="E283" s="1048">
        <f t="shared" ca="1" si="68"/>
        <v>47122</v>
      </c>
      <c r="F283" s="153">
        <f t="shared" ca="1" si="67"/>
        <v>0</v>
      </c>
    </row>
    <row r="284" spans="1:6">
      <c r="A284" s="747">
        <v>30</v>
      </c>
      <c r="B284" s="37">
        <f t="shared" si="66"/>
        <v>2.2967422597595393</v>
      </c>
      <c r="C284" s="37">
        <f t="shared" si="64"/>
        <v>441.45608259258842</v>
      </c>
      <c r="E284" s="1048">
        <f t="shared" ca="1" si="68"/>
        <v>47152</v>
      </c>
      <c r="F284" s="153">
        <f t="shared" ca="1" si="67"/>
        <v>0</v>
      </c>
    </row>
    <row r="285" spans="1:6">
      <c r="A285" s="747">
        <v>31</v>
      </c>
      <c r="B285" s="37">
        <f t="shared" si="66"/>
        <v>1.5053259377925574</v>
      </c>
      <c r="C285" s="37">
        <f t="shared" si="64"/>
        <v>442.96140853038099</v>
      </c>
      <c r="E285" s="1048">
        <f t="shared" ca="1" si="68"/>
        <v>47182</v>
      </c>
      <c r="F285" s="153">
        <f t="shared" ca="1" si="67"/>
        <v>0</v>
      </c>
    </row>
    <row r="286" spans="1:6">
      <c r="A286" s="747">
        <v>1</v>
      </c>
      <c r="B286" s="37">
        <f t="shared" si="66"/>
        <v>0.75602566236883972</v>
      </c>
      <c r="C286" s="37">
        <f t="shared" si="64"/>
        <v>443.71743419274981</v>
      </c>
      <c r="E286" s="1048">
        <f t="shared" ca="1" si="68"/>
        <v>47212</v>
      </c>
      <c r="F286" s="153">
        <f t="shared" ca="1" si="67"/>
        <v>0</v>
      </c>
    </row>
    <row r="287" spans="1:6">
      <c r="A287" s="747">
        <v>2</v>
      </c>
      <c r="B287" s="37">
        <f t="shared" si="66"/>
        <v>6.636914069603514</v>
      </c>
      <c r="C287" s="37">
        <f t="shared" si="64"/>
        <v>450.35434826235331</v>
      </c>
      <c r="E287" s="1048">
        <f t="shared" ca="1" si="68"/>
        <v>47242</v>
      </c>
      <c r="F287" s="153">
        <f t="shared" ca="1" si="67"/>
        <v>0</v>
      </c>
    </row>
    <row r="288" spans="1:6">
      <c r="A288" s="747">
        <v>3</v>
      </c>
      <c r="B288" s="37">
        <f t="shared" si="66"/>
        <v>6.6671569744420029</v>
      </c>
      <c r="C288" s="37">
        <f t="shared" si="64"/>
        <v>457.02150523679529</v>
      </c>
      <c r="E288" s="1048">
        <f t="shared" ca="1" si="68"/>
        <v>47272</v>
      </c>
      <c r="F288" s="153">
        <f t="shared" ca="1" si="67"/>
        <v>0</v>
      </c>
    </row>
    <row r="289" spans="1:6">
      <c r="A289" s="747">
        <v>4</v>
      </c>
      <c r="B289" s="37">
        <f t="shared" si="66"/>
        <v>2.0058892532189443</v>
      </c>
      <c r="C289" s="37">
        <f t="shared" si="64"/>
        <v>459.02739449001422</v>
      </c>
      <c r="E289" s="1048">
        <f t="shared" ca="1" si="68"/>
        <v>47302</v>
      </c>
      <c r="F289" s="153">
        <f t="shared" ca="1" si="67"/>
        <v>0</v>
      </c>
    </row>
    <row r="290" spans="1:6">
      <c r="A290" s="747">
        <v>5</v>
      </c>
      <c r="B290" s="37">
        <f t="shared" si="66"/>
        <v>3.5358009471971386</v>
      </c>
      <c r="C290" s="37">
        <f t="shared" si="64"/>
        <v>462.56319543721133</v>
      </c>
      <c r="E290" s="1048">
        <f t="shared" ca="1" si="68"/>
        <v>47332</v>
      </c>
      <c r="F290" s="153">
        <f t="shared" ca="1" si="67"/>
        <v>0</v>
      </c>
    </row>
    <row r="291" spans="1:6">
      <c r="A291" s="747">
        <v>6</v>
      </c>
      <c r="B291" s="37">
        <f t="shared" si="66"/>
        <v>1.5216315795227215</v>
      </c>
      <c r="C291" s="37">
        <f t="shared" si="64"/>
        <v>464.08482701673404</v>
      </c>
      <c r="E291" s="1048">
        <f t="shared" ca="1" si="68"/>
        <v>47362</v>
      </c>
      <c r="F291" s="153">
        <f t="shared" ca="1" si="67"/>
        <v>0</v>
      </c>
    </row>
    <row r="292" spans="1:6">
      <c r="A292" s="747">
        <v>7</v>
      </c>
      <c r="B292" s="37">
        <f t="shared" si="66"/>
        <v>2.2709297211156727</v>
      </c>
      <c r="C292" s="37">
        <f t="shared" si="64"/>
        <v>466.35575673784973</v>
      </c>
      <c r="E292" s="1048">
        <f t="shared" ca="1" si="68"/>
        <v>47392</v>
      </c>
      <c r="F292" s="153">
        <f t="shared" ca="1" si="67"/>
        <v>0</v>
      </c>
    </row>
    <row r="293" spans="1:6">
      <c r="A293" s="747">
        <v>8</v>
      </c>
      <c r="B293" s="37">
        <f t="shared" si="66"/>
        <v>2.6612001729713008</v>
      </c>
      <c r="C293" s="37">
        <f t="shared" si="64"/>
        <v>469.01695691082102</v>
      </c>
      <c r="E293" s="1048">
        <f t="shared" ca="1" si="68"/>
        <v>47422</v>
      </c>
      <c r="F293" s="153">
        <f t="shared" ca="1" si="67"/>
        <v>0</v>
      </c>
    </row>
    <row r="294" spans="1:6">
      <c r="A294" s="747">
        <v>9</v>
      </c>
      <c r="B294" s="37">
        <f t="shared" si="66"/>
        <v>0.75275696277111681</v>
      </c>
      <c r="C294" s="37">
        <f t="shared" ref="C294:C357" si="69">C293+B294</f>
        <v>469.76971387359214</v>
      </c>
      <c r="E294" s="1048">
        <f t="shared" ca="1" si="68"/>
        <v>47452</v>
      </c>
      <c r="F294" s="153">
        <f t="shared" ca="1" si="67"/>
        <v>0</v>
      </c>
    </row>
    <row r="295" spans="1:6">
      <c r="A295" s="747">
        <v>10</v>
      </c>
      <c r="B295" s="37">
        <f t="shared" si="66"/>
        <v>1.5267917863587788</v>
      </c>
      <c r="C295" s="37">
        <f t="shared" si="69"/>
        <v>471.29650565995092</v>
      </c>
      <c r="E295" s="1048">
        <f t="shared" ca="1" si="68"/>
        <v>47482</v>
      </c>
      <c r="F295" s="153">
        <f t="shared" ca="1" si="67"/>
        <v>0</v>
      </c>
    </row>
    <row r="296" spans="1:6">
      <c r="A296" s="747">
        <v>11</v>
      </c>
      <c r="B296" s="37">
        <f t="shared" si="66"/>
        <v>0.76463302063168959</v>
      </c>
      <c r="C296" s="37">
        <f t="shared" si="69"/>
        <v>472.06113868058259</v>
      </c>
      <c r="E296" s="1048">
        <f t="shared" ca="1" si="68"/>
        <v>47512</v>
      </c>
      <c r="F296" s="153">
        <f t="shared" ca="1" si="67"/>
        <v>0</v>
      </c>
    </row>
    <row r="297" spans="1:6">
      <c r="A297" s="747">
        <v>12</v>
      </c>
      <c r="B297" s="37">
        <f t="shared" si="66"/>
        <v>1.9768374302937195</v>
      </c>
      <c r="C297" s="37">
        <f t="shared" si="69"/>
        <v>474.03797611087629</v>
      </c>
      <c r="E297" s="1048">
        <f t="shared" ca="1" si="68"/>
        <v>47542</v>
      </c>
      <c r="F297" s="153">
        <f t="shared" ca="1" si="67"/>
        <v>0</v>
      </c>
    </row>
    <row r="298" spans="1:6">
      <c r="A298" s="747">
        <v>13</v>
      </c>
      <c r="B298" s="37">
        <f t="shared" si="66"/>
        <v>2.0530478834386292</v>
      </c>
      <c r="C298" s="37">
        <f t="shared" si="69"/>
        <v>476.09102399431492</v>
      </c>
      <c r="E298" s="1048">
        <f t="shared" ca="1" si="68"/>
        <v>47572</v>
      </c>
      <c r="F298" s="153">
        <f t="shared" ref="F298:F311" ca="1" si="70">SUMIFS(Q:Q,T:T,"&gt;="&amp;DATE(YEAR(E298),MONTH(E298),DAY(E298)),T:T,"&lt;"&amp;DATE(YEAR(E299),MONTH(E299),DAY(E299)))</f>
        <v>0</v>
      </c>
    </row>
    <row r="299" spans="1:6">
      <c r="A299" s="747">
        <v>14</v>
      </c>
      <c r="B299" s="37">
        <f t="shared" si="66"/>
        <v>1.5342720995256134</v>
      </c>
      <c r="C299" s="37">
        <f t="shared" si="69"/>
        <v>477.62529609384052</v>
      </c>
      <c r="E299" s="1048">
        <f t="shared" ca="1" si="68"/>
        <v>47602</v>
      </c>
      <c r="F299" s="153">
        <f t="shared" ca="1" si="70"/>
        <v>0</v>
      </c>
    </row>
    <row r="300" spans="1:6">
      <c r="A300" s="747">
        <v>15</v>
      </c>
      <c r="B300" s="37">
        <f t="shared" si="66"/>
        <v>2.2662817708061302</v>
      </c>
      <c r="C300" s="37">
        <f t="shared" si="69"/>
        <v>479.89157786464665</v>
      </c>
      <c r="E300" s="1048">
        <f t="shared" ca="1" si="68"/>
        <v>47632</v>
      </c>
      <c r="F300" s="153">
        <f t="shared" ca="1" si="70"/>
        <v>0</v>
      </c>
    </row>
    <row r="301" spans="1:6">
      <c r="A301" s="747">
        <v>16</v>
      </c>
      <c r="B301" s="37">
        <f t="shared" si="66"/>
        <v>1.5205600366049443</v>
      </c>
      <c r="C301" s="37">
        <f t="shared" si="69"/>
        <v>481.41213790125158</v>
      </c>
      <c r="E301" s="1048">
        <f t="shared" ca="1" si="68"/>
        <v>47662</v>
      </c>
      <c r="F301" s="153">
        <f t="shared" ca="1" si="70"/>
        <v>0</v>
      </c>
    </row>
    <row r="302" spans="1:6">
      <c r="A302" s="747">
        <v>17</v>
      </c>
      <c r="B302" s="37">
        <f t="shared" si="66"/>
        <v>0.74166367985229376</v>
      </c>
      <c r="C302" s="37">
        <f t="shared" si="69"/>
        <v>482.15380158110389</v>
      </c>
      <c r="E302" s="1048">
        <f t="shared" ca="1" si="68"/>
        <v>47692</v>
      </c>
      <c r="F302" s="153">
        <f t="shared" ca="1" si="70"/>
        <v>0</v>
      </c>
    </row>
    <row r="303" spans="1:6">
      <c r="A303" s="747">
        <v>18</v>
      </c>
      <c r="B303" s="37">
        <f t="shared" si="66"/>
        <v>1.5196433310765429</v>
      </c>
      <c r="C303" s="37">
        <f t="shared" si="69"/>
        <v>483.67344491218046</v>
      </c>
      <c r="E303" s="1048">
        <f t="shared" ca="1" si="68"/>
        <v>47722</v>
      </c>
      <c r="F303" s="153">
        <f t="shared" ca="1" si="70"/>
        <v>0</v>
      </c>
    </row>
    <row r="304" spans="1:6">
      <c r="A304" s="747">
        <v>19</v>
      </c>
      <c r="B304" s="37">
        <f t="shared" si="66"/>
        <v>0.77880413956909822</v>
      </c>
      <c r="C304" s="37">
        <f t="shared" si="69"/>
        <v>484.45224905174956</v>
      </c>
      <c r="E304" s="1048">
        <f t="shared" ca="1" si="68"/>
        <v>47752</v>
      </c>
      <c r="F304" s="153">
        <f t="shared" ca="1" si="70"/>
        <v>0</v>
      </c>
    </row>
    <row r="305" spans="1:6">
      <c r="A305" s="747">
        <v>20</v>
      </c>
      <c r="B305" s="37">
        <f t="shared" si="66"/>
        <v>2.8008611147841416</v>
      </c>
      <c r="C305" s="37">
        <f t="shared" si="69"/>
        <v>487.2531101665337</v>
      </c>
      <c r="E305" s="1048">
        <f t="shared" ca="1" si="68"/>
        <v>47782</v>
      </c>
      <c r="F305" s="153">
        <f t="shared" ca="1" si="70"/>
        <v>0</v>
      </c>
    </row>
    <row r="306" spans="1:6">
      <c r="A306" s="747">
        <v>21</v>
      </c>
      <c r="B306" s="37">
        <f t="shared" si="66"/>
        <v>1.2882581412440199</v>
      </c>
      <c r="C306" s="37">
        <f t="shared" si="69"/>
        <v>488.5413683077777</v>
      </c>
      <c r="E306" s="1048">
        <f t="shared" ca="1" si="68"/>
        <v>47812</v>
      </c>
      <c r="F306" s="153">
        <f t="shared" ca="1" si="70"/>
        <v>0</v>
      </c>
    </row>
    <row r="307" spans="1:6">
      <c r="A307" s="747">
        <v>22</v>
      </c>
      <c r="B307" s="37">
        <f t="shared" si="66"/>
        <v>1.5335920132014276</v>
      </c>
      <c r="C307" s="37">
        <f t="shared" si="69"/>
        <v>490.07496032097913</v>
      </c>
      <c r="E307" s="1048">
        <f t="shared" ca="1" si="68"/>
        <v>47842</v>
      </c>
      <c r="F307" s="153">
        <f t="shared" ca="1" si="70"/>
        <v>0</v>
      </c>
    </row>
    <row r="308" spans="1:6">
      <c r="A308" s="747">
        <v>23</v>
      </c>
      <c r="B308" s="37">
        <f t="shared" si="66"/>
        <v>4.5412274329139262</v>
      </c>
      <c r="C308" s="37">
        <f t="shared" si="69"/>
        <v>494.61618775389303</v>
      </c>
      <c r="E308" s="1048">
        <f t="shared" ca="1" si="68"/>
        <v>47872</v>
      </c>
      <c r="F308" s="153">
        <f t="shared" ca="1" si="70"/>
        <v>0</v>
      </c>
    </row>
    <row r="309" spans="1:6">
      <c r="A309" s="747">
        <v>24</v>
      </c>
      <c r="B309" s="37">
        <f t="shared" si="66"/>
        <v>2.2912937937937334</v>
      </c>
      <c r="C309" s="37">
        <f t="shared" si="69"/>
        <v>496.90748154768676</v>
      </c>
      <c r="E309" s="1048">
        <f t="shared" ca="1" si="68"/>
        <v>47902</v>
      </c>
      <c r="F309" s="153">
        <f t="shared" ca="1" si="70"/>
        <v>0</v>
      </c>
    </row>
    <row r="310" spans="1:6">
      <c r="A310" s="747">
        <v>25</v>
      </c>
      <c r="B310" s="37">
        <f t="shared" si="66"/>
        <v>0.76463302063168959</v>
      </c>
      <c r="C310" s="37">
        <f t="shared" si="69"/>
        <v>497.67211456831842</v>
      </c>
      <c r="E310" s="1048">
        <f t="shared" ca="1" si="68"/>
        <v>47932</v>
      </c>
      <c r="F310" s="153">
        <f t="shared" ca="1" si="70"/>
        <v>0</v>
      </c>
    </row>
    <row r="311" spans="1:6">
      <c r="A311" s="747">
        <v>26</v>
      </c>
      <c r="B311" s="37">
        <f t="shared" si="66"/>
        <v>2.2967422597595393</v>
      </c>
      <c r="C311" s="37">
        <f t="shared" si="69"/>
        <v>499.96885682807795</v>
      </c>
      <c r="E311" s="1048">
        <f t="shared" ca="1" si="68"/>
        <v>47962</v>
      </c>
      <c r="F311" s="153">
        <f t="shared" ca="1" si="70"/>
        <v>0</v>
      </c>
    </row>
    <row r="312" spans="1:6">
      <c r="A312" s="747">
        <v>27</v>
      </c>
      <c r="B312" s="37">
        <f t="shared" si="66"/>
        <v>5.3781738298514519</v>
      </c>
      <c r="C312" s="37">
        <f t="shared" si="69"/>
        <v>505.34703065792939</v>
      </c>
    </row>
    <row r="313" spans="1:6">
      <c r="A313" s="747">
        <v>28</v>
      </c>
      <c r="B313" s="37">
        <f t="shared" si="66"/>
        <v>0.74166367985229376</v>
      </c>
      <c r="C313" s="37">
        <f t="shared" si="69"/>
        <v>506.0886943377817</v>
      </c>
    </row>
    <row r="314" spans="1:6">
      <c r="A314" s="747">
        <v>29</v>
      </c>
      <c r="B314" s="37">
        <f t="shared" si="66"/>
        <v>6.8975474167772406</v>
      </c>
      <c r="C314" s="37">
        <f t="shared" si="69"/>
        <v>512.98624175455893</v>
      </c>
    </row>
    <row r="315" spans="1:6">
      <c r="A315" s="747">
        <v>30</v>
      </c>
      <c r="B315" s="37">
        <f t="shared" si="66"/>
        <v>2.2967422597595393</v>
      </c>
      <c r="C315" s="37">
        <f t="shared" si="69"/>
        <v>515.28298401431846</v>
      </c>
    </row>
    <row r="316" spans="1:6">
      <c r="A316" s="747">
        <v>31</v>
      </c>
      <c r="B316" s="37">
        <f t="shared" si="66"/>
        <v>1.5053259377925574</v>
      </c>
      <c r="C316" s="37">
        <f t="shared" si="69"/>
        <v>516.78830995211104</v>
      </c>
    </row>
    <row r="317" spans="1:6">
      <c r="A317" s="747">
        <v>1</v>
      </c>
      <c r="B317" s="37">
        <f t="shared" si="66"/>
        <v>0.75602566236883972</v>
      </c>
      <c r="C317" s="37">
        <f t="shared" si="69"/>
        <v>517.54433561447991</v>
      </c>
    </row>
    <row r="318" spans="1:6">
      <c r="A318" s="747">
        <v>2</v>
      </c>
      <c r="B318" s="37">
        <f t="shared" si="66"/>
        <v>6.636914069603514</v>
      </c>
      <c r="C318" s="37">
        <f t="shared" si="69"/>
        <v>524.18124968408347</v>
      </c>
    </row>
    <row r="319" spans="1:6">
      <c r="A319" s="747">
        <v>3</v>
      </c>
      <c r="B319" s="37">
        <f t="shared" si="66"/>
        <v>6.6671569744420029</v>
      </c>
      <c r="C319" s="37">
        <f t="shared" si="69"/>
        <v>530.84840665852551</v>
      </c>
    </row>
    <row r="320" spans="1:6">
      <c r="A320" s="747">
        <v>4</v>
      </c>
      <c r="B320" s="37">
        <f t="shared" si="66"/>
        <v>2.0058892532189443</v>
      </c>
      <c r="C320" s="37">
        <f t="shared" si="69"/>
        <v>532.85429591174443</v>
      </c>
    </row>
    <row r="321" spans="1:3">
      <c r="A321" s="747">
        <v>5</v>
      </c>
      <c r="B321" s="37">
        <f t="shared" si="66"/>
        <v>3.5358009471971386</v>
      </c>
      <c r="C321" s="37">
        <f t="shared" si="69"/>
        <v>536.39009685894155</v>
      </c>
    </row>
    <row r="322" spans="1:3">
      <c r="A322" s="747">
        <v>6</v>
      </c>
      <c r="B322" s="37">
        <f t="shared" si="66"/>
        <v>1.5216315795227215</v>
      </c>
      <c r="C322" s="37">
        <f t="shared" si="69"/>
        <v>537.91172843846425</v>
      </c>
    </row>
    <row r="323" spans="1:3">
      <c r="A323" s="747">
        <v>7</v>
      </c>
      <c r="B323" s="37">
        <f t="shared" si="66"/>
        <v>2.2709297211156727</v>
      </c>
      <c r="C323" s="37">
        <f t="shared" si="69"/>
        <v>540.18265815957989</v>
      </c>
    </row>
    <row r="324" spans="1:3">
      <c r="A324" s="747">
        <v>8</v>
      </c>
      <c r="B324" s="37">
        <f t="shared" ref="B324:B387" si="71">B293</f>
        <v>2.6612001729713008</v>
      </c>
      <c r="C324" s="37">
        <f t="shared" si="69"/>
        <v>542.84385833255124</v>
      </c>
    </row>
    <row r="325" spans="1:3">
      <c r="A325" s="747">
        <v>9</v>
      </c>
      <c r="B325" s="37">
        <f t="shared" si="71"/>
        <v>0.75275696277111681</v>
      </c>
      <c r="C325" s="37">
        <f t="shared" si="69"/>
        <v>543.59661529532241</v>
      </c>
    </row>
    <row r="326" spans="1:3">
      <c r="A326" s="747">
        <v>10</v>
      </c>
      <c r="B326" s="37">
        <f t="shared" si="71"/>
        <v>1.5267917863587788</v>
      </c>
      <c r="C326" s="37">
        <f t="shared" si="69"/>
        <v>545.12340708168119</v>
      </c>
    </row>
    <row r="327" spans="1:3">
      <c r="A327" s="747">
        <v>11</v>
      </c>
      <c r="B327" s="37">
        <f t="shared" si="71"/>
        <v>0.76463302063168959</v>
      </c>
      <c r="C327" s="37">
        <f t="shared" si="69"/>
        <v>545.88804010231286</v>
      </c>
    </row>
    <row r="328" spans="1:3">
      <c r="A328" s="747">
        <v>12</v>
      </c>
      <c r="B328" s="37">
        <f t="shared" si="71"/>
        <v>1.9768374302937195</v>
      </c>
      <c r="C328" s="37">
        <f t="shared" si="69"/>
        <v>547.86487753260656</v>
      </c>
    </row>
    <row r="329" spans="1:3">
      <c r="A329" s="747">
        <v>13</v>
      </c>
      <c r="B329" s="37">
        <f t="shared" si="71"/>
        <v>2.0530478834386292</v>
      </c>
      <c r="C329" s="37">
        <f t="shared" si="69"/>
        <v>549.91792541604514</v>
      </c>
    </row>
    <row r="330" spans="1:3">
      <c r="A330" s="747">
        <v>14</v>
      </c>
      <c r="B330" s="37">
        <f t="shared" si="71"/>
        <v>1.5342720995256134</v>
      </c>
      <c r="C330" s="37">
        <f t="shared" si="69"/>
        <v>551.45219751557079</v>
      </c>
    </row>
    <row r="331" spans="1:3">
      <c r="A331" s="747">
        <v>15</v>
      </c>
      <c r="B331" s="37">
        <f t="shared" si="71"/>
        <v>2.2662817708061302</v>
      </c>
      <c r="C331" s="37">
        <f t="shared" si="69"/>
        <v>553.71847928637692</v>
      </c>
    </row>
    <row r="332" spans="1:3">
      <c r="A332" s="747">
        <v>16</v>
      </c>
      <c r="B332" s="37">
        <f t="shared" si="71"/>
        <v>1.5205600366049443</v>
      </c>
      <c r="C332" s="37">
        <f t="shared" si="69"/>
        <v>555.23903932298185</v>
      </c>
    </row>
    <row r="333" spans="1:3">
      <c r="A333" s="747">
        <v>17</v>
      </c>
      <c r="B333" s="37">
        <f t="shared" si="71"/>
        <v>0.74166367985229376</v>
      </c>
      <c r="C333" s="37">
        <f t="shared" si="69"/>
        <v>555.98070300283416</v>
      </c>
    </row>
    <row r="334" spans="1:3">
      <c r="A334" s="747">
        <v>18</v>
      </c>
      <c r="B334" s="37">
        <f t="shared" si="71"/>
        <v>1.5196433310765429</v>
      </c>
      <c r="C334" s="37">
        <f t="shared" si="69"/>
        <v>557.50034633391067</v>
      </c>
    </row>
    <row r="335" spans="1:3">
      <c r="A335" s="747">
        <v>19</v>
      </c>
      <c r="B335" s="37">
        <f t="shared" si="71"/>
        <v>0.77880413956909822</v>
      </c>
      <c r="C335" s="37">
        <f t="shared" si="69"/>
        <v>558.27915047347972</v>
      </c>
    </row>
    <row r="336" spans="1:3">
      <c r="A336" s="747">
        <v>20</v>
      </c>
      <c r="B336" s="37">
        <f t="shared" si="71"/>
        <v>2.8008611147841416</v>
      </c>
      <c r="C336" s="37">
        <f t="shared" si="69"/>
        <v>561.08001158826391</v>
      </c>
    </row>
    <row r="337" spans="1:3">
      <c r="A337" s="747">
        <v>21</v>
      </c>
      <c r="B337" s="37">
        <f t="shared" si="71"/>
        <v>1.2882581412440199</v>
      </c>
      <c r="C337" s="37">
        <f t="shared" si="69"/>
        <v>562.36826972950792</v>
      </c>
    </row>
    <row r="338" spans="1:3">
      <c r="A338" s="747">
        <v>22</v>
      </c>
      <c r="B338" s="37">
        <f t="shared" si="71"/>
        <v>1.5335920132014276</v>
      </c>
      <c r="C338" s="37">
        <f t="shared" si="69"/>
        <v>563.90186174270934</v>
      </c>
    </row>
    <row r="339" spans="1:3">
      <c r="A339" s="747">
        <v>23</v>
      </c>
      <c r="B339" s="37">
        <f t="shared" si="71"/>
        <v>4.5412274329139262</v>
      </c>
      <c r="C339" s="37">
        <f t="shared" si="69"/>
        <v>568.4430891756233</v>
      </c>
    </row>
    <row r="340" spans="1:3">
      <c r="A340" s="747">
        <v>24</v>
      </c>
      <c r="B340" s="37">
        <f t="shared" si="71"/>
        <v>2.2912937937937334</v>
      </c>
      <c r="C340" s="37">
        <f t="shared" si="69"/>
        <v>570.73438296941708</v>
      </c>
    </row>
    <row r="341" spans="1:3">
      <c r="A341" s="747">
        <v>25</v>
      </c>
      <c r="B341" s="37">
        <f t="shared" si="71"/>
        <v>0.76463302063168959</v>
      </c>
      <c r="C341" s="37">
        <f t="shared" si="69"/>
        <v>571.49901599004875</v>
      </c>
    </row>
    <row r="342" spans="1:3">
      <c r="A342" s="747">
        <v>26</v>
      </c>
      <c r="B342" s="37">
        <f t="shared" si="71"/>
        <v>2.2967422597595393</v>
      </c>
      <c r="C342" s="37">
        <f t="shared" si="69"/>
        <v>573.79575824980827</v>
      </c>
    </row>
    <row r="343" spans="1:3">
      <c r="A343" s="747">
        <v>27</v>
      </c>
      <c r="B343" s="37">
        <f t="shared" si="71"/>
        <v>5.3781738298514519</v>
      </c>
      <c r="C343" s="37">
        <f t="shared" si="69"/>
        <v>579.17393207965972</v>
      </c>
    </row>
    <row r="344" spans="1:3">
      <c r="A344" s="747">
        <v>28</v>
      </c>
      <c r="B344" s="37">
        <f t="shared" si="71"/>
        <v>0.74166367985229376</v>
      </c>
      <c r="C344" s="37">
        <f t="shared" si="69"/>
        <v>579.91559575951203</v>
      </c>
    </row>
    <row r="345" spans="1:3">
      <c r="A345" s="747">
        <v>29</v>
      </c>
      <c r="B345" s="37">
        <f t="shared" si="71"/>
        <v>6.8975474167772406</v>
      </c>
      <c r="C345" s="37">
        <f t="shared" si="69"/>
        <v>586.81314317628926</v>
      </c>
    </row>
    <row r="346" spans="1:3">
      <c r="A346" s="747">
        <v>30</v>
      </c>
      <c r="B346" s="37">
        <f t="shared" si="71"/>
        <v>2.2967422597595393</v>
      </c>
      <c r="C346" s="37">
        <f t="shared" si="69"/>
        <v>589.10988543604878</v>
      </c>
    </row>
    <row r="347" spans="1:3">
      <c r="A347" s="747">
        <v>31</v>
      </c>
      <c r="B347" s="37">
        <f t="shared" si="71"/>
        <v>1.5053259377925574</v>
      </c>
      <c r="C347" s="37">
        <f t="shared" si="69"/>
        <v>590.61521137384136</v>
      </c>
    </row>
    <row r="348" spans="1:3">
      <c r="A348" s="747">
        <v>1</v>
      </c>
      <c r="B348" s="37">
        <f t="shared" si="71"/>
        <v>0.75602566236883972</v>
      </c>
      <c r="C348" s="37">
        <f t="shared" si="69"/>
        <v>591.37123703621023</v>
      </c>
    </row>
    <row r="349" spans="1:3">
      <c r="A349" s="747">
        <v>2</v>
      </c>
      <c r="B349" s="37">
        <f t="shared" si="71"/>
        <v>6.636914069603514</v>
      </c>
      <c r="C349" s="37">
        <f t="shared" si="69"/>
        <v>598.00815110581379</v>
      </c>
    </row>
    <row r="350" spans="1:3">
      <c r="A350" s="747">
        <v>3</v>
      </c>
      <c r="B350" s="37">
        <f t="shared" si="71"/>
        <v>6.6671569744420029</v>
      </c>
      <c r="C350" s="37">
        <f t="shared" si="69"/>
        <v>604.67530808025583</v>
      </c>
    </row>
    <row r="351" spans="1:3">
      <c r="A351" s="747">
        <v>4</v>
      </c>
      <c r="B351" s="37">
        <f t="shared" si="71"/>
        <v>2.0058892532189443</v>
      </c>
      <c r="C351" s="37">
        <f t="shared" si="69"/>
        <v>606.68119733347476</v>
      </c>
    </row>
    <row r="352" spans="1:3">
      <c r="A352" s="747">
        <v>5</v>
      </c>
      <c r="B352" s="37">
        <f t="shared" si="71"/>
        <v>3.5358009471971386</v>
      </c>
      <c r="C352" s="37">
        <f t="shared" si="69"/>
        <v>610.21699828067187</v>
      </c>
    </row>
    <row r="353" spans="1:3">
      <c r="A353" s="747">
        <v>6</v>
      </c>
      <c r="B353" s="37">
        <f t="shared" si="71"/>
        <v>1.5216315795227215</v>
      </c>
      <c r="C353" s="37">
        <f t="shared" si="69"/>
        <v>611.73862986019458</v>
      </c>
    </row>
    <row r="354" spans="1:3">
      <c r="A354" s="747">
        <v>7</v>
      </c>
      <c r="B354" s="37">
        <f t="shared" si="71"/>
        <v>2.2709297211156727</v>
      </c>
      <c r="C354" s="37">
        <f t="shared" si="69"/>
        <v>614.00955958131021</v>
      </c>
    </row>
    <row r="355" spans="1:3">
      <c r="A355" s="747">
        <v>8</v>
      </c>
      <c r="B355" s="37">
        <f t="shared" si="71"/>
        <v>2.6612001729713008</v>
      </c>
      <c r="C355" s="37">
        <f t="shared" si="69"/>
        <v>616.67075975428156</v>
      </c>
    </row>
    <row r="356" spans="1:3">
      <c r="A356" s="747">
        <v>9</v>
      </c>
      <c r="B356" s="37">
        <f t="shared" si="71"/>
        <v>0.75275696277111681</v>
      </c>
      <c r="C356" s="37">
        <f t="shared" si="69"/>
        <v>617.42351671705273</v>
      </c>
    </row>
    <row r="357" spans="1:3">
      <c r="A357" s="747">
        <v>10</v>
      </c>
      <c r="B357" s="37">
        <f t="shared" si="71"/>
        <v>1.5267917863587788</v>
      </c>
      <c r="C357" s="37">
        <f t="shared" si="69"/>
        <v>618.95030850341152</v>
      </c>
    </row>
    <row r="358" spans="1:3">
      <c r="A358" s="747">
        <v>11</v>
      </c>
      <c r="B358" s="37">
        <f t="shared" si="71"/>
        <v>0.76463302063168959</v>
      </c>
      <c r="C358" s="37">
        <f t="shared" ref="C358:C421" si="72">C357+B358</f>
        <v>619.71494152404318</v>
      </c>
    </row>
    <row r="359" spans="1:3">
      <c r="A359" s="747">
        <v>12</v>
      </c>
      <c r="B359" s="37">
        <f t="shared" si="71"/>
        <v>1.9768374302937195</v>
      </c>
      <c r="C359" s="37">
        <f t="shared" si="72"/>
        <v>621.69177895433688</v>
      </c>
    </row>
    <row r="360" spans="1:3">
      <c r="A360" s="747">
        <v>13</v>
      </c>
      <c r="B360" s="37">
        <f t="shared" si="71"/>
        <v>2.0530478834386292</v>
      </c>
      <c r="C360" s="37">
        <f t="shared" si="72"/>
        <v>623.74482683777546</v>
      </c>
    </row>
    <row r="361" spans="1:3">
      <c r="A361" s="747">
        <v>14</v>
      </c>
      <c r="B361" s="37">
        <f t="shared" si="71"/>
        <v>1.5342720995256134</v>
      </c>
      <c r="C361" s="37">
        <f t="shared" si="72"/>
        <v>625.27909893730111</v>
      </c>
    </row>
    <row r="362" spans="1:3">
      <c r="A362" s="747">
        <v>15</v>
      </c>
      <c r="B362" s="37">
        <f t="shared" si="71"/>
        <v>2.2662817708061302</v>
      </c>
      <c r="C362" s="37">
        <f t="shared" si="72"/>
        <v>627.54538070810725</v>
      </c>
    </row>
    <row r="363" spans="1:3">
      <c r="A363" s="747">
        <v>16</v>
      </c>
      <c r="B363" s="37">
        <f t="shared" si="71"/>
        <v>1.5205600366049443</v>
      </c>
      <c r="C363" s="37">
        <f t="shared" si="72"/>
        <v>629.06594074471218</v>
      </c>
    </row>
    <row r="364" spans="1:3">
      <c r="A364" s="747">
        <v>17</v>
      </c>
      <c r="B364" s="37">
        <f t="shared" si="71"/>
        <v>0.74166367985229376</v>
      </c>
      <c r="C364" s="37">
        <f t="shared" si="72"/>
        <v>629.80760442456449</v>
      </c>
    </row>
    <row r="365" spans="1:3">
      <c r="A365" s="747">
        <v>18</v>
      </c>
      <c r="B365" s="37">
        <f t="shared" si="71"/>
        <v>1.5196433310765429</v>
      </c>
      <c r="C365" s="37">
        <f t="shared" si="72"/>
        <v>631.327247755641</v>
      </c>
    </row>
    <row r="366" spans="1:3">
      <c r="A366" s="747">
        <v>19</v>
      </c>
      <c r="B366" s="37">
        <f t="shared" si="71"/>
        <v>0.77880413956909822</v>
      </c>
      <c r="C366" s="37">
        <f t="shared" si="72"/>
        <v>632.10605189521004</v>
      </c>
    </row>
    <row r="367" spans="1:3">
      <c r="A367" s="747">
        <v>20</v>
      </c>
      <c r="B367" s="37">
        <f t="shared" si="71"/>
        <v>2.8008611147841416</v>
      </c>
      <c r="C367" s="37">
        <f t="shared" si="72"/>
        <v>634.90691300999424</v>
      </c>
    </row>
    <row r="368" spans="1:3">
      <c r="A368" s="747">
        <v>21</v>
      </c>
      <c r="B368" s="37">
        <f t="shared" si="71"/>
        <v>1.2882581412440199</v>
      </c>
      <c r="C368" s="37">
        <f t="shared" si="72"/>
        <v>636.19517115123824</v>
      </c>
    </row>
    <row r="369" spans="1:3">
      <c r="A369" s="747">
        <v>22</v>
      </c>
      <c r="B369" s="37">
        <f t="shared" si="71"/>
        <v>1.5335920132014276</v>
      </c>
      <c r="C369" s="37">
        <f t="shared" si="72"/>
        <v>637.72876316443967</v>
      </c>
    </row>
    <row r="370" spans="1:3">
      <c r="A370" s="747">
        <v>23</v>
      </c>
      <c r="B370" s="37">
        <f t="shared" si="71"/>
        <v>4.5412274329139262</v>
      </c>
      <c r="C370" s="37">
        <f t="shared" si="72"/>
        <v>642.26999059735363</v>
      </c>
    </row>
    <row r="371" spans="1:3">
      <c r="A371" s="747">
        <v>24</v>
      </c>
      <c r="B371" s="37">
        <f t="shared" si="71"/>
        <v>2.2912937937937334</v>
      </c>
      <c r="C371" s="37">
        <f t="shared" si="72"/>
        <v>644.56128439114741</v>
      </c>
    </row>
    <row r="372" spans="1:3">
      <c r="A372" s="747">
        <v>25</v>
      </c>
      <c r="B372" s="37">
        <f t="shared" si="71"/>
        <v>0.76463302063168959</v>
      </c>
      <c r="C372" s="37">
        <f t="shared" si="72"/>
        <v>645.32591741177907</v>
      </c>
    </row>
    <row r="373" spans="1:3">
      <c r="A373" s="747">
        <v>26</v>
      </c>
      <c r="B373" s="37">
        <f t="shared" si="71"/>
        <v>2.2967422597595393</v>
      </c>
      <c r="C373" s="37">
        <f t="shared" si="72"/>
        <v>647.6226596715386</v>
      </c>
    </row>
    <row r="374" spans="1:3">
      <c r="A374" s="747">
        <v>27</v>
      </c>
      <c r="B374" s="37">
        <f t="shared" si="71"/>
        <v>5.3781738298514519</v>
      </c>
      <c r="C374" s="37">
        <f t="shared" si="72"/>
        <v>653.00083350139005</v>
      </c>
    </row>
    <row r="375" spans="1:3">
      <c r="A375" s="747">
        <v>28</v>
      </c>
      <c r="B375" s="37">
        <f t="shared" si="71"/>
        <v>0.74166367985229376</v>
      </c>
      <c r="C375" s="37">
        <f t="shared" si="72"/>
        <v>653.74249718124236</v>
      </c>
    </row>
    <row r="376" spans="1:3">
      <c r="A376" s="747">
        <v>29</v>
      </c>
      <c r="B376" s="37">
        <f t="shared" si="71"/>
        <v>6.8975474167772406</v>
      </c>
      <c r="C376" s="37">
        <f t="shared" si="72"/>
        <v>660.64004459801959</v>
      </c>
    </row>
    <row r="377" spans="1:3">
      <c r="A377" s="747">
        <v>30</v>
      </c>
      <c r="B377" s="37">
        <f t="shared" si="71"/>
        <v>2.2967422597595393</v>
      </c>
      <c r="C377" s="37">
        <f t="shared" si="72"/>
        <v>662.93678685777911</v>
      </c>
    </row>
    <row r="378" spans="1:3">
      <c r="A378" s="747">
        <v>31</v>
      </c>
      <c r="B378" s="37">
        <f t="shared" si="71"/>
        <v>1.5053259377925574</v>
      </c>
      <c r="C378" s="37">
        <f t="shared" si="72"/>
        <v>664.44211279557169</v>
      </c>
    </row>
    <row r="379" spans="1:3">
      <c r="A379" s="747">
        <v>1</v>
      </c>
      <c r="B379" s="37">
        <f t="shared" si="71"/>
        <v>0.75602566236883972</v>
      </c>
      <c r="C379" s="37">
        <f t="shared" si="72"/>
        <v>665.19813845794056</v>
      </c>
    </row>
    <row r="380" spans="1:3">
      <c r="A380" s="747">
        <v>2</v>
      </c>
      <c r="B380" s="37">
        <f t="shared" si="71"/>
        <v>6.636914069603514</v>
      </c>
      <c r="C380" s="37">
        <f t="shared" si="72"/>
        <v>671.83505252754412</v>
      </c>
    </row>
    <row r="381" spans="1:3">
      <c r="A381" s="747">
        <v>3</v>
      </c>
      <c r="B381" s="37">
        <f t="shared" si="71"/>
        <v>6.6671569744420029</v>
      </c>
      <c r="C381" s="37">
        <f t="shared" si="72"/>
        <v>678.50220950198616</v>
      </c>
    </row>
    <row r="382" spans="1:3">
      <c r="A382" s="747">
        <v>4</v>
      </c>
      <c r="B382" s="37">
        <f t="shared" si="71"/>
        <v>2.0058892532189443</v>
      </c>
      <c r="C382" s="37">
        <f t="shared" si="72"/>
        <v>680.50809875520508</v>
      </c>
    </row>
    <row r="383" spans="1:3">
      <c r="A383" s="747">
        <v>5</v>
      </c>
      <c r="B383" s="37">
        <f t="shared" si="71"/>
        <v>3.5358009471971386</v>
      </c>
      <c r="C383" s="37">
        <f t="shared" si="72"/>
        <v>684.0438997024022</v>
      </c>
    </row>
    <row r="384" spans="1:3">
      <c r="A384" s="747">
        <v>6</v>
      </c>
      <c r="B384" s="37">
        <f t="shared" si="71"/>
        <v>1.5216315795227215</v>
      </c>
      <c r="C384" s="37">
        <f t="shared" si="72"/>
        <v>685.5655312819249</v>
      </c>
    </row>
    <row r="385" spans="1:3">
      <c r="A385" s="747">
        <v>7</v>
      </c>
      <c r="B385" s="37">
        <f t="shared" si="71"/>
        <v>2.2709297211156727</v>
      </c>
      <c r="C385" s="37">
        <f t="shared" si="72"/>
        <v>687.83646100304054</v>
      </c>
    </row>
    <row r="386" spans="1:3">
      <c r="A386" s="747">
        <v>8</v>
      </c>
      <c r="B386" s="37">
        <f t="shared" si="71"/>
        <v>2.6612001729713008</v>
      </c>
      <c r="C386" s="37">
        <f t="shared" si="72"/>
        <v>690.49766117601189</v>
      </c>
    </row>
    <row r="387" spans="1:3">
      <c r="A387" s="747">
        <v>9</v>
      </c>
      <c r="B387" s="37">
        <f t="shared" si="71"/>
        <v>0.75275696277111681</v>
      </c>
      <c r="C387" s="37">
        <f t="shared" si="72"/>
        <v>691.25041813878306</v>
      </c>
    </row>
    <row r="388" spans="1:3">
      <c r="A388" s="747">
        <v>10</v>
      </c>
      <c r="B388" s="37">
        <f t="shared" ref="B388:B451" si="73">B357</f>
        <v>1.5267917863587788</v>
      </c>
      <c r="C388" s="37">
        <f t="shared" si="72"/>
        <v>692.77720992514185</v>
      </c>
    </row>
    <row r="389" spans="1:3">
      <c r="A389" s="747">
        <v>11</v>
      </c>
      <c r="B389" s="37">
        <f t="shared" si="73"/>
        <v>0.76463302063168959</v>
      </c>
      <c r="C389" s="37">
        <f t="shared" si="72"/>
        <v>693.54184294577351</v>
      </c>
    </row>
    <row r="390" spans="1:3">
      <c r="A390" s="747">
        <v>12</v>
      </c>
      <c r="B390" s="37">
        <f t="shared" si="73"/>
        <v>1.9768374302937195</v>
      </c>
      <c r="C390" s="37">
        <f t="shared" si="72"/>
        <v>695.51868037606721</v>
      </c>
    </row>
    <row r="391" spans="1:3">
      <c r="A391" s="747">
        <v>13</v>
      </c>
      <c r="B391" s="37">
        <f t="shared" si="73"/>
        <v>2.0530478834386292</v>
      </c>
      <c r="C391" s="37">
        <f t="shared" si="72"/>
        <v>697.57172825950579</v>
      </c>
    </row>
    <row r="392" spans="1:3">
      <c r="A392" s="747">
        <v>14</v>
      </c>
      <c r="B392" s="37">
        <f t="shared" si="73"/>
        <v>1.5342720995256134</v>
      </c>
      <c r="C392" s="37">
        <f t="shared" si="72"/>
        <v>699.10600035903144</v>
      </c>
    </row>
    <row r="393" spans="1:3">
      <c r="A393" s="747">
        <v>15</v>
      </c>
      <c r="B393" s="37">
        <f t="shared" si="73"/>
        <v>2.2662817708061302</v>
      </c>
      <c r="C393" s="37">
        <f t="shared" si="72"/>
        <v>701.37228212983757</v>
      </c>
    </row>
    <row r="394" spans="1:3">
      <c r="A394" s="747">
        <v>16</v>
      </c>
      <c r="B394" s="37">
        <f t="shared" si="73"/>
        <v>1.5205600366049443</v>
      </c>
      <c r="C394" s="37">
        <f t="shared" si="72"/>
        <v>702.89284216644251</v>
      </c>
    </row>
    <row r="395" spans="1:3">
      <c r="A395" s="747">
        <v>17</v>
      </c>
      <c r="B395" s="37">
        <f t="shared" si="73"/>
        <v>0.74166367985229376</v>
      </c>
      <c r="C395" s="37">
        <f t="shared" si="72"/>
        <v>703.63450584629481</v>
      </c>
    </row>
    <row r="396" spans="1:3">
      <c r="A396" s="747">
        <v>18</v>
      </c>
      <c r="B396" s="37">
        <f t="shared" si="73"/>
        <v>1.5196433310765429</v>
      </c>
      <c r="C396" s="37">
        <f t="shared" si="72"/>
        <v>705.15414917737132</v>
      </c>
    </row>
    <row r="397" spans="1:3">
      <c r="A397" s="747">
        <v>19</v>
      </c>
      <c r="B397" s="37">
        <f t="shared" si="73"/>
        <v>0.77880413956909822</v>
      </c>
      <c r="C397" s="37">
        <f t="shared" si="72"/>
        <v>705.93295331694037</v>
      </c>
    </row>
    <row r="398" spans="1:3">
      <c r="A398" s="747">
        <v>20</v>
      </c>
      <c r="B398" s="37">
        <f t="shared" si="73"/>
        <v>2.8008611147841416</v>
      </c>
      <c r="C398" s="37">
        <f t="shared" si="72"/>
        <v>708.73381443172457</v>
      </c>
    </row>
    <row r="399" spans="1:3">
      <c r="A399" s="747">
        <v>21</v>
      </c>
      <c r="B399" s="37">
        <f t="shared" si="73"/>
        <v>1.2882581412440199</v>
      </c>
      <c r="C399" s="37">
        <f t="shared" si="72"/>
        <v>710.02207257296857</v>
      </c>
    </row>
    <row r="400" spans="1:3">
      <c r="A400" s="747">
        <v>22</v>
      </c>
      <c r="B400" s="37">
        <f t="shared" si="73"/>
        <v>1.5335920132014276</v>
      </c>
      <c r="C400" s="37">
        <f t="shared" si="72"/>
        <v>711.55566458617</v>
      </c>
    </row>
    <row r="401" spans="1:3">
      <c r="A401" s="747">
        <v>23</v>
      </c>
      <c r="B401" s="37">
        <f t="shared" si="73"/>
        <v>4.5412274329139262</v>
      </c>
      <c r="C401" s="37">
        <f t="shared" si="72"/>
        <v>716.09689201908395</v>
      </c>
    </row>
    <row r="402" spans="1:3">
      <c r="A402" s="747">
        <v>24</v>
      </c>
      <c r="B402" s="37">
        <f t="shared" si="73"/>
        <v>2.2912937937937334</v>
      </c>
      <c r="C402" s="37">
        <f t="shared" si="72"/>
        <v>718.38818581287774</v>
      </c>
    </row>
    <row r="403" spans="1:3">
      <c r="A403" s="747">
        <v>25</v>
      </c>
      <c r="B403" s="37">
        <f t="shared" si="73"/>
        <v>0.76463302063168959</v>
      </c>
      <c r="C403" s="37">
        <f t="shared" si="72"/>
        <v>719.1528188335094</v>
      </c>
    </row>
    <row r="404" spans="1:3">
      <c r="A404" s="747">
        <v>26</v>
      </c>
      <c r="B404" s="37">
        <f t="shared" si="73"/>
        <v>2.2967422597595393</v>
      </c>
      <c r="C404" s="37">
        <f t="shared" si="72"/>
        <v>721.44956109326893</v>
      </c>
    </row>
    <row r="405" spans="1:3">
      <c r="A405" s="747">
        <v>27</v>
      </c>
      <c r="B405" s="37">
        <f t="shared" si="73"/>
        <v>5.3781738298514519</v>
      </c>
      <c r="C405" s="37">
        <f t="shared" si="72"/>
        <v>726.82773492312037</v>
      </c>
    </row>
    <row r="406" spans="1:3">
      <c r="A406" s="747">
        <v>28</v>
      </c>
      <c r="B406" s="37">
        <f t="shared" si="73"/>
        <v>0.74166367985229376</v>
      </c>
      <c r="C406" s="37">
        <f t="shared" si="72"/>
        <v>727.56939860297268</v>
      </c>
    </row>
    <row r="407" spans="1:3">
      <c r="A407" s="747">
        <v>29</v>
      </c>
      <c r="B407" s="37">
        <f t="shared" si="73"/>
        <v>6.8975474167772406</v>
      </c>
      <c r="C407" s="37">
        <f t="shared" si="72"/>
        <v>734.46694601974991</v>
      </c>
    </row>
    <row r="408" spans="1:3">
      <c r="A408" s="747">
        <v>30</v>
      </c>
      <c r="B408" s="37">
        <f t="shared" si="73"/>
        <v>2.2967422597595393</v>
      </c>
      <c r="C408" s="37">
        <f t="shared" si="72"/>
        <v>736.76368827950944</v>
      </c>
    </row>
    <row r="409" spans="1:3">
      <c r="A409" s="747">
        <v>31</v>
      </c>
      <c r="B409" s="37">
        <f t="shared" si="73"/>
        <v>1.5053259377925574</v>
      </c>
      <c r="C409" s="37">
        <f t="shared" si="72"/>
        <v>738.26901421730201</v>
      </c>
    </row>
    <row r="410" spans="1:3">
      <c r="A410" s="747">
        <v>1</v>
      </c>
      <c r="B410" s="37">
        <f t="shared" si="73"/>
        <v>0.75602566236883972</v>
      </c>
      <c r="C410" s="37">
        <f t="shared" si="72"/>
        <v>739.02503987967089</v>
      </c>
    </row>
    <row r="411" spans="1:3">
      <c r="A411" s="747">
        <v>2</v>
      </c>
      <c r="B411" s="37">
        <f t="shared" si="73"/>
        <v>6.636914069603514</v>
      </c>
      <c r="C411" s="37">
        <f t="shared" si="72"/>
        <v>745.66195394927445</v>
      </c>
    </row>
    <row r="412" spans="1:3">
      <c r="A412" s="747">
        <v>3</v>
      </c>
      <c r="B412" s="37">
        <f t="shared" si="73"/>
        <v>6.6671569744420029</v>
      </c>
      <c r="C412" s="37">
        <f t="shared" si="72"/>
        <v>752.32911092371648</v>
      </c>
    </row>
    <row r="413" spans="1:3">
      <c r="A413" s="747">
        <v>4</v>
      </c>
      <c r="B413" s="37">
        <f t="shared" si="73"/>
        <v>2.0058892532189443</v>
      </c>
      <c r="C413" s="37">
        <f t="shared" si="72"/>
        <v>754.33500017693541</v>
      </c>
    </row>
    <row r="414" spans="1:3">
      <c r="A414" s="747">
        <v>5</v>
      </c>
      <c r="B414" s="37">
        <f t="shared" si="73"/>
        <v>3.5358009471971386</v>
      </c>
      <c r="C414" s="37">
        <f t="shared" si="72"/>
        <v>757.87080112413253</v>
      </c>
    </row>
    <row r="415" spans="1:3">
      <c r="A415" s="747">
        <v>6</v>
      </c>
      <c r="B415" s="37">
        <f t="shared" si="73"/>
        <v>1.5216315795227215</v>
      </c>
      <c r="C415" s="37">
        <f t="shared" si="72"/>
        <v>759.39243270365523</v>
      </c>
    </row>
    <row r="416" spans="1:3">
      <c r="A416" s="747">
        <v>7</v>
      </c>
      <c r="B416" s="37">
        <f t="shared" si="73"/>
        <v>2.2709297211156727</v>
      </c>
      <c r="C416" s="37">
        <f t="shared" si="72"/>
        <v>761.66336242477087</v>
      </c>
    </row>
    <row r="417" spans="1:3">
      <c r="A417" s="747">
        <v>8</v>
      </c>
      <c r="B417" s="37">
        <f t="shared" si="73"/>
        <v>2.6612001729713008</v>
      </c>
      <c r="C417" s="37">
        <f t="shared" si="72"/>
        <v>764.32456259774222</v>
      </c>
    </row>
    <row r="418" spans="1:3">
      <c r="A418" s="747">
        <v>9</v>
      </c>
      <c r="B418" s="37">
        <f t="shared" si="73"/>
        <v>0.75275696277111681</v>
      </c>
      <c r="C418" s="37">
        <f t="shared" si="72"/>
        <v>765.07731956051339</v>
      </c>
    </row>
    <row r="419" spans="1:3">
      <c r="A419" s="747">
        <v>10</v>
      </c>
      <c r="B419" s="37">
        <f t="shared" si="73"/>
        <v>1.5267917863587788</v>
      </c>
      <c r="C419" s="37">
        <f t="shared" si="72"/>
        <v>766.60411134687217</v>
      </c>
    </row>
    <row r="420" spans="1:3">
      <c r="A420" s="747">
        <v>11</v>
      </c>
      <c r="B420" s="37">
        <f t="shared" si="73"/>
        <v>0.76463302063168959</v>
      </c>
      <c r="C420" s="37">
        <f t="shared" si="72"/>
        <v>767.36874436750384</v>
      </c>
    </row>
    <row r="421" spans="1:3">
      <c r="A421" s="747">
        <v>12</v>
      </c>
      <c r="B421" s="37">
        <f t="shared" si="73"/>
        <v>1.9768374302937195</v>
      </c>
      <c r="C421" s="37">
        <f t="shared" si="72"/>
        <v>769.34558179779754</v>
      </c>
    </row>
    <row r="422" spans="1:3">
      <c r="A422" s="747">
        <v>13</v>
      </c>
      <c r="B422" s="37">
        <f t="shared" si="73"/>
        <v>2.0530478834386292</v>
      </c>
      <c r="C422" s="37">
        <f t="shared" ref="C422:C471" si="74">C421+B422</f>
        <v>771.39862968123612</v>
      </c>
    </row>
    <row r="423" spans="1:3">
      <c r="A423" s="747">
        <v>14</v>
      </c>
      <c r="B423" s="37">
        <f t="shared" si="73"/>
        <v>1.5342720995256134</v>
      </c>
      <c r="C423" s="37">
        <f t="shared" si="74"/>
        <v>772.93290178076177</v>
      </c>
    </row>
    <row r="424" spans="1:3">
      <c r="A424" s="747">
        <v>15</v>
      </c>
      <c r="B424" s="37">
        <f t="shared" si="73"/>
        <v>2.2662817708061302</v>
      </c>
      <c r="C424" s="37">
        <f t="shared" si="74"/>
        <v>775.1991835515679</v>
      </c>
    </row>
    <row r="425" spans="1:3">
      <c r="A425" s="747">
        <v>16</v>
      </c>
      <c r="B425" s="37">
        <f t="shared" si="73"/>
        <v>1.5205600366049443</v>
      </c>
      <c r="C425" s="37">
        <f t="shared" si="74"/>
        <v>776.71974358817283</v>
      </c>
    </row>
    <row r="426" spans="1:3">
      <c r="A426" s="747">
        <v>17</v>
      </c>
      <c r="B426" s="37">
        <f t="shared" si="73"/>
        <v>0.74166367985229376</v>
      </c>
      <c r="C426" s="37">
        <f t="shared" si="74"/>
        <v>777.46140726802514</v>
      </c>
    </row>
    <row r="427" spans="1:3">
      <c r="A427" s="747">
        <v>18</v>
      </c>
      <c r="B427" s="37">
        <f t="shared" si="73"/>
        <v>1.5196433310765429</v>
      </c>
      <c r="C427" s="37">
        <f t="shared" si="74"/>
        <v>778.98105059910165</v>
      </c>
    </row>
    <row r="428" spans="1:3">
      <c r="A428" s="747">
        <v>19</v>
      </c>
      <c r="B428" s="37">
        <f t="shared" si="73"/>
        <v>0.77880413956909822</v>
      </c>
      <c r="C428" s="37">
        <f t="shared" si="74"/>
        <v>779.7598547386707</v>
      </c>
    </row>
    <row r="429" spans="1:3">
      <c r="A429" s="747">
        <v>20</v>
      </c>
      <c r="B429" s="37">
        <f t="shared" si="73"/>
        <v>2.8008611147841416</v>
      </c>
      <c r="C429" s="37">
        <f t="shared" si="74"/>
        <v>782.56071585345489</v>
      </c>
    </row>
    <row r="430" spans="1:3">
      <c r="A430" s="747">
        <v>21</v>
      </c>
      <c r="B430" s="37">
        <f t="shared" si="73"/>
        <v>1.2882581412440199</v>
      </c>
      <c r="C430" s="37">
        <f t="shared" si="74"/>
        <v>783.84897399469889</v>
      </c>
    </row>
    <row r="431" spans="1:3">
      <c r="A431" s="747">
        <v>22</v>
      </c>
      <c r="B431" s="37">
        <f t="shared" si="73"/>
        <v>1.5335920132014276</v>
      </c>
      <c r="C431" s="37">
        <f t="shared" si="74"/>
        <v>785.38256600790032</v>
      </c>
    </row>
    <row r="432" spans="1:3">
      <c r="A432" s="747">
        <v>23</v>
      </c>
      <c r="B432" s="37">
        <f t="shared" si="73"/>
        <v>4.5412274329139262</v>
      </c>
      <c r="C432" s="37">
        <f t="shared" si="74"/>
        <v>789.92379344081428</v>
      </c>
    </row>
    <row r="433" spans="1:3">
      <c r="A433" s="747">
        <v>24</v>
      </c>
      <c r="B433" s="37">
        <f t="shared" si="73"/>
        <v>2.2912937937937334</v>
      </c>
      <c r="C433" s="37">
        <f t="shared" si="74"/>
        <v>792.21508723460806</v>
      </c>
    </row>
    <row r="434" spans="1:3">
      <c r="A434" s="747">
        <v>25</v>
      </c>
      <c r="B434" s="37">
        <f t="shared" si="73"/>
        <v>0.76463302063168959</v>
      </c>
      <c r="C434" s="37">
        <f t="shared" si="74"/>
        <v>792.97972025523973</v>
      </c>
    </row>
    <row r="435" spans="1:3">
      <c r="A435" s="747">
        <v>26</v>
      </c>
      <c r="B435" s="37">
        <f t="shared" si="73"/>
        <v>2.2967422597595393</v>
      </c>
      <c r="C435" s="37">
        <f t="shared" si="74"/>
        <v>795.27646251499925</v>
      </c>
    </row>
    <row r="436" spans="1:3">
      <c r="A436" s="747">
        <v>27</v>
      </c>
      <c r="B436" s="37">
        <f t="shared" si="73"/>
        <v>5.3781738298514519</v>
      </c>
      <c r="C436" s="37">
        <f t="shared" si="74"/>
        <v>800.6546363448507</v>
      </c>
    </row>
    <row r="437" spans="1:3">
      <c r="A437" s="747">
        <v>28</v>
      </c>
      <c r="B437" s="37">
        <f t="shared" si="73"/>
        <v>0.74166367985229376</v>
      </c>
      <c r="C437" s="37">
        <f t="shared" si="74"/>
        <v>801.39630002470301</v>
      </c>
    </row>
    <row r="438" spans="1:3">
      <c r="A438" s="747">
        <v>29</v>
      </c>
      <c r="B438" s="37">
        <f t="shared" si="73"/>
        <v>6.8975474167772406</v>
      </c>
      <c r="C438" s="37">
        <f t="shared" si="74"/>
        <v>808.29384744148024</v>
      </c>
    </row>
    <row r="439" spans="1:3">
      <c r="A439" s="747">
        <v>30</v>
      </c>
      <c r="B439" s="37">
        <f t="shared" si="73"/>
        <v>2.2967422597595393</v>
      </c>
      <c r="C439" s="37">
        <f t="shared" si="74"/>
        <v>810.59058970123976</v>
      </c>
    </row>
    <row r="440" spans="1:3">
      <c r="A440" s="747">
        <v>31</v>
      </c>
      <c r="B440" s="37">
        <f t="shared" si="73"/>
        <v>1.5053259377925574</v>
      </c>
      <c r="C440" s="37">
        <f t="shared" si="74"/>
        <v>812.09591563903234</v>
      </c>
    </row>
    <row r="441" spans="1:3">
      <c r="A441" s="747">
        <v>1</v>
      </c>
      <c r="B441" s="37">
        <f t="shared" si="73"/>
        <v>0.75602566236883972</v>
      </c>
      <c r="C441" s="37">
        <f t="shared" si="74"/>
        <v>812.85194130140121</v>
      </c>
    </row>
    <row r="442" spans="1:3">
      <c r="A442" s="747">
        <v>2</v>
      </c>
      <c r="B442" s="37">
        <f t="shared" si="73"/>
        <v>6.636914069603514</v>
      </c>
      <c r="C442" s="37">
        <f t="shared" si="74"/>
        <v>819.48885537100477</v>
      </c>
    </row>
    <row r="443" spans="1:3">
      <c r="A443" s="747">
        <v>3</v>
      </c>
      <c r="B443" s="37">
        <f t="shared" si="73"/>
        <v>6.6671569744420029</v>
      </c>
      <c r="C443" s="37">
        <f t="shared" si="74"/>
        <v>826.15601234544681</v>
      </c>
    </row>
    <row r="444" spans="1:3">
      <c r="A444" s="747">
        <v>4</v>
      </c>
      <c r="B444" s="37">
        <f t="shared" si="73"/>
        <v>2.0058892532189443</v>
      </c>
      <c r="C444" s="37">
        <f t="shared" si="74"/>
        <v>828.16190159866574</v>
      </c>
    </row>
    <row r="445" spans="1:3">
      <c r="A445" s="747">
        <v>5</v>
      </c>
      <c r="B445" s="37">
        <f t="shared" si="73"/>
        <v>3.5358009471971386</v>
      </c>
      <c r="C445" s="37">
        <f t="shared" si="74"/>
        <v>831.69770254586285</v>
      </c>
    </row>
    <row r="446" spans="1:3">
      <c r="A446" s="747">
        <v>6</v>
      </c>
      <c r="B446" s="37">
        <f t="shared" si="73"/>
        <v>1.5216315795227215</v>
      </c>
      <c r="C446" s="37">
        <f t="shared" si="74"/>
        <v>833.21933412538556</v>
      </c>
    </row>
    <row r="447" spans="1:3">
      <c r="A447" s="747">
        <v>7</v>
      </c>
      <c r="B447" s="37">
        <f t="shared" si="73"/>
        <v>2.2709297211156727</v>
      </c>
      <c r="C447" s="37">
        <f t="shared" si="74"/>
        <v>835.49026384650119</v>
      </c>
    </row>
    <row r="448" spans="1:3">
      <c r="A448" s="747">
        <v>8</v>
      </c>
      <c r="B448" s="37">
        <f t="shared" si="73"/>
        <v>2.6612001729713008</v>
      </c>
      <c r="C448" s="37">
        <f t="shared" si="74"/>
        <v>838.15146401947254</v>
      </c>
    </row>
    <row r="449" spans="1:3">
      <c r="A449" s="747">
        <v>9</v>
      </c>
      <c r="B449" s="37">
        <f t="shared" si="73"/>
        <v>0.75275696277111681</v>
      </c>
      <c r="C449" s="37">
        <f t="shared" si="74"/>
        <v>838.90422098224371</v>
      </c>
    </row>
    <row r="450" spans="1:3">
      <c r="A450" s="747">
        <v>10</v>
      </c>
      <c r="B450" s="37">
        <f t="shared" si="73"/>
        <v>1.5267917863587788</v>
      </c>
      <c r="C450" s="37">
        <f t="shared" si="74"/>
        <v>840.4310127686025</v>
      </c>
    </row>
    <row r="451" spans="1:3">
      <c r="A451" s="747">
        <v>11</v>
      </c>
      <c r="B451" s="37">
        <f t="shared" si="73"/>
        <v>0.76463302063168959</v>
      </c>
      <c r="C451" s="37">
        <f t="shared" si="74"/>
        <v>841.19564578923416</v>
      </c>
    </row>
    <row r="452" spans="1:3">
      <c r="A452" s="747">
        <v>12</v>
      </c>
      <c r="B452" s="37">
        <f t="shared" ref="B452:B471" si="75">B421</f>
        <v>1.9768374302937195</v>
      </c>
      <c r="C452" s="37">
        <f t="shared" si="74"/>
        <v>843.17248321952786</v>
      </c>
    </row>
    <row r="453" spans="1:3">
      <c r="A453" s="747">
        <v>13</v>
      </c>
      <c r="B453" s="37">
        <f t="shared" si="75"/>
        <v>2.0530478834386292</v>
      </c>
      <c r="C453" s="37">
        <f t="shared" si="74"/>
        <v>845.22553110296644</v>
      </c>
    </row>
    <row r="454" spans="1:3">
      <c r="A454" s="747">
        <v>14</v>
      </c>
      <c r="B454" s="37">
        <f t="shared" si="75"/>
        <v>1.5342720995256134</v>
      </c>
      <c r="C454" s="37">
        <f t="shared" si="74"/>
        <v>846.75980320249209</v>
      </c>
    </row>
    <row r="455" spans="1:3">
      <c r="A455" s="747">
        <v>15</v>
      </c>
      <c r="B455" s="37">
        <f t="shared" si="75"/>
        <v>2.2662817708061302</v>
      </c>
      <c r="C455" s="37">
        <f t="shared" si="74"/>
        <v>849.02608497329823</v>
      </c>
    </row>
    <row r="456" spans="1:3">
      <c r="A456" s="747">
        <v>16</v>
      </c>
      <c r="B456" s="37">
        <f t="shared" si="75"/>
        <v>1.5205600366049443</v>
      </c>
      <c r="C456" s="37">
        <f t="shared" si="74"/>
        <v>850.54664500990316</v>
      </c>
    </row>
    <row r="457" spans="1:3">
      <c r="A457" s="747">
        <v>17</v>
      </c>
      <c r="B457" s="37">
        <f t="shared" si="75"/>
        <v>0.74166367985229376</v>
      </c>
      <c r="C457" s="37">
        <f t="shared" si="74"/>
        <v>851.28830868975547</v>
      </c>
    </row>
    <row r="458" spans="1:3">
      <c r="A458" s="747">
        <v>18</v>
      </c>
      <c r="B458" s="37">
        <f t="shared" si="75"/>
        <v>1.5196433310765429</v>
      </c>
      <c r="C458" s="37">
        <f t="shared" si="74"/>
        <v>852.80795202083198</v>
      </c>
    </row>
    <row r="459" spans="1:3">
      <c r="A459" s="747">
        <v>19</v>
      </c>
      <c r="B459" s="37">
        <f t="shared" si="75"/>
        <v>0.77880413956909822</v>
      </c>
      <c r="C459" s="37">
        <f t="shared" si="74"/>
        <v>853.58675616040102</v>
      </c>
    </row>
    <row r="460" spans="1:3">
      <c r="A460" s="747">
        <v>20</v>
      </c>
      <c r="B460" s="37">
        <f t="shared" si="75"/>
        <v>2.8008611147841416</v>
      </c>
      <c r="C460" s="37">
        <f t="shared" si="74"/>
        <v>856.38761727518522</v>
      </c>
    </row>
    <row r="461" spans="1:3">
      <c r="A461" s="747">
        <v>21</v>
      </c>
      <c r="B461" s="37">
        <f t="shared" si="75"/>
        <v>1.2882581412440199</v>
      </c>
      <c r="C461" s="37">
        <f t="shared" si="74"/>
        <v>857.67587541642922</v>
      </c>
    </row>
    <row r="462" spans="1:3">
      <c r="A462" s="747">
        <v>22</v>
      </c>
      <c r="B462" s="37">
        <f t="shared" si="75"/>
        <v>1.5335920132014276</v>
      </c>
      <c r="C462" s="37">
        <f t="shared" si="74"/>
        <v>859.20946742963065</v>
      </c>
    </row>
    <row r="463" spans="1:3">
      <c r="A463" s="747">
        <v>23</v>
      </c>
      <c r="B463" s="37">
        <f t="shared" si="75"/>
        <v>4.5412274329139262</v>
      </c>
      <c r="C463" s="37">
        <f t="shared" si="74"/>
        <v>863.75069486254461</v>
      </c>
    </row>
    <row r="464" spans="1:3">
      <c r="A464" s="747">
        <v>24</v>
      </c>
      <c r="B464" s="37">
        <f t="shared" si="75"/>
        <v>2.2912937937937334</v>
      </c>
      <c r="C464" s="37">
        <f t="shared" si="74"/>
        <v>866.04198865633839</v>
      </c>
    </row>
    <row r="465" spans="1:3">
      <c r="A465" s="747">
        <v>25</v>
      </c>
      <c r="B465" s="37">
        <f t="shared" si="75"/>
        <v>0.76463302063168959</v>
      </c>
      <c r="C465" s="37">
        <f t="shared" si="74"/>
        <v>866.80662167697005</v>
      </c>
    </row>
    <row r="466" spans="1:3">
      <c r="A466" s="747">
        <v>26</v>
      </c>
      <c r="B466" s="37">
        <f t="shared" si="75"/>
        <v>2.2967422597595393</v>
      </c>
      <c r="C466" s="37">
        <f t="shared" si="74"/>
        <v>869.10336393672958</v>
      </c>
    </row>
    <row r="467" spans="1:3">
      <c r="A467" s="747">
        <v>27</v>
      </c>
      <c r="B467" s="37">
        <f t="shared" si="75"/>
        <v>5.3781738298514519</v>
      </c>
      <c r="C467" s="37">
        <f t="shared" si="74"/>
        <v>874.48153776658103</v>
      </c>
    </row>
    <row r="468" spans="1:3">
      <c r="A468" s="747">
        <v>28</v>
      </c>
      <c r="B468" s="37">
        <f t="shared" si="75"/>
        <v>0.74166367985229376</v>
      </c>
      <c r="C468" s="37">
        <f t="shared" si="74"/>
        <v>875.22320144643334</v>
      </c>
    </row>
    <row r="469" spans="1:3">
      <c r="A469" s="747">
        <v>29</v>
      </c>
      <c r="B469" s="37">
        <f t="shared" si="75"/>
        <v>6.8975474167772406</v>
      </c>
      <c r="C469" s="37">
        <f t="shared" si="74"/>
        <v>882.12074886321057</v>
      </c>
    </row>
    <row r="470" spans="1:3">
      <c r="A470" s="747">
        <v>30</v>
      </c>
      <c r="B470" s="37">
        <f t="shared" si="75"/>
        <v>2.2967422597595393</v>
      </c>
      <c r="C470" s="37">
        <f t="shared" si="74"/>
        <v>884.41749112297009</v>
      </c>
    </row>
    <row r="471" spans="1:3">
      <c r="A471" s="747">
        <v>31</v>
      </c>
      <c r="B471" s="37">
        <f t="shared" si="75"/>
        <v>1.5053259377925574</v>
      </c>
      <c r="C471" s="37">
        <f t="shared" si="74"/>
        <v>885.92281706076267</v>
      </c>
    </row>
    <row r="472" spans="1:3">
      <c r="A472" s="747"/>
      <c r="B472" s="37"/>
    </row>
    <row r="473" spans="1:3">
      <c r="A473" s="747"/>
      <c r="B473" s="37"/>
    </row>
    <row r="474" spans="1:3">
      <c r="A474" s="747"/>
      <c r="B474" s="37"/>
    </row>
    <row r="475" spans="1:3">
      <c r="A475" s="747"/>
      <c r="B475" s="37"/>
    </row>
    <row r="476" spans="1:3">
      <c r="A476" s="747"/>
      <c r="B476" s="37"/>
    </row>
    <row r="477" spans="1:3">
      <c r="A477" s="747"/>
      <c r="B477" s="37"/>
    </row>
    <row r="478" spans="1:3">
      <c r="A478" s="747"/>
      <c r="B478" s="37"/>
    </row>
    <row r="479" spans="1:3">
      <c r="A479" s="747"/>
      <c r="B479" s="37"/>
    </row>
    <row r="480" spans="1:3">
      <c r="A480" s="747"/>
      <c r="B480" s="37"/>
    </row>
    <row r="481" spans="1:2">
      <c r="A481" s="747"/>
      <c r="B481" s="37"/>
    </row>
    <row r="482" spans="1:2">
      <c r="A482" s="747"/>
      <c r="B482" s="37"/>
    </row>
    <row r="483" spans="1:2">
      <c r="A483" s="747"/>
      <c r="B483" s="37"/>
    </row>
    <row r="484" spans="1:2">
      <c r="A484" s="747"/>
      <c r="B484" s="37"/>
    </row>
    <row r="485" spans="1:2">
      <c r="A485" s="747"/>
      <c r="B485" s="37"/>
    </row>
    <row r="486" spans="1:2">
      <c r="A486" s="747"/>
      <c r="B486" s="37"/>
    </row>
    <row r="487" spans="1:2">
      <c r="A487" s="747"/>
      <c r="B487" s="37"/>
    </row>
    <row r="488" spans="1:2">
      <c r="A488" s="747"/>
      <c r="B488" s="37"/>
    </row>
    <row r="489" spans="1:2">
      <c r="A489" s="747"/>
      <c r="B489" s="37"/>
    </row>
    <row r="490" spans="1:2">
      <c r="A490" s="747"/>
      <c r="B490" s="37"/>
    </row>
    <row r="491" spans="1:2">
      <c r="A491" s="747"/>
      <c r="B491" s="37"/>
    </row>
    <row r="492" spans="1:2">
      <c r="A492" s="747"/>
      <c r="B492" s="37"/>
    </row>
    <row r="493" spans="1:2">
      <c r="A493" s="747"/>
      <c r="B493" s="37"/>
    </row>
    <row r="494" spans="1:2">
      <c r="A494" s="747"/>
      <c r="B494" s="37"/>
    </row>
    <row r="495" spans="1:2">
      <c r="A495" s="747"/>
      <c r="B495" s="37"/>
    </row>
    <row r="496" spans="1:2">
      <c r="A496" s="747"/>
      <c r="B496" s="37"/>
    </row>
    <row r="497" spans="1:2">
      <c r="A497" s="747"/>
      <c r="B497" s="37"/>
    </row>
    <row r="498" spans="1:2">
      <c r="A498" s="747"/>
      <c r="B498" s="37"/>
    </row>
    <row r="499" spans="1:2">
      <c r="A499" s="747"/>
      <c r="B499" s="37"/>
    </row>
    <row r="500" spans="1:2">
      <c r="A500" s="747"/>
      <c r="B500" s="37"/>
    </row>
    <row r="501" spans="1:2">
      <c r="A501" s="747"/>
      <c r="B501" s="37"/>
    </row>
    <row r="502" spans="1:2">
      <c r="A502" s="747"/>
      <c r="B502" s="37"/>
    </row>
    <row r="503" spans="1:2">
      <c r="A503" s="747"/>
      <c r="B503" s="37"/>
    </row>
    <row r="504" spans="1:2">
      <c r="A504" s="747"/>
      <c r="B504" s="37"/>
    </row>
    <row r="505" spans="1:2">
      <c r="A505" s="747"/>
      <c r="B505" s="37"/>
    </row>
    <row r="506" spans="1:2">
      <c r="A506" s="747"/>
      <c r="B506" s="37"/>
    </row>
    <row r="507" spans="1:2">
      <c r="A507" s="747"/>
      <c r="B507" s="37"/>
    </row>
    <row r="508" spans="1:2">
      <c r="A508" s="747"/>
      <c r="B508" s="37"/>
    </row>
    <row r="509" spans="1:2">
      <c r="A509" s="747"/>
      <c r="B509" s="37"/>
    </row>
    <row r="510" spans="1:2">
      <c r="A510" s="747"/>
      <c r="B510" s="37"/>
    </row>
    <row r="511" spans="1:2">
      <c r="A511" s="747"/>
      <c r="B511" s="37"/>
    </row>
    <row r="512" spans="1:2">
      <c r="A512" s="747"/>
      <c r="B512" s="37"/>
    </row>
    <row r="513" spans="1:2">
      <c r="A513" s="747"/>
      <c r="B513" s="37"/>
    </row>
    <row r="514" spans="1:2">
      <c r="A514" s="747"/>
      <c r="B514" s="37"/>
    </row>
    <row r="515" spans="1:2">
      <c r="A515" s="747"/>
      <c r="B515" s="37"/>
    </row>
    <row r="516" spans="1:2">
      <c r="A516" s="747"/>
      <c r="B516" s="37"/>
    </row>
    <row r="517" spans="1:2">
      <c r="A517" s="747"/>
      <c r="B517" s="37"/>
    </row>
    <row r="518" spans="1:2">
      <c r="A518" s="747"/>
      <c r="B518" s="37"/>
    </row>
    <row r="519" spans="1:2">
      <c r="A519" s="747"/>
      <c r="B519" s="37"/>
    </row>
    <row r="520" spans="1:2">
      <c r="A520" s="747"/>
      <c r="B520" s="37"/>
    </row>
    <row r="521" spans="1:2">
      <c r="A521" s="747"/>
      <c r="B521" s="37"/>
    </row>
    <row r="522" spans="1:2">
      <c r="A522" s="747"/>
      <c r="B522" s="37"/>
    </row>
    <row r="523" spans="1:2">
      <c r="A523" s="747"/>
      <c r="B523" s="37"/>
    </row>
    <row r="524" spans="1:2">
      <c r="A524" s="747"/>
      <c r="B524" s="37"/>
    </row>
    <row r="525" spans="1:2">
      <c r="A525" s="747"/>
      <c r="B525" s="37"/>
    </row>
    <row r="526" spans="1:2">
      <c r="A526" s="747"/>
      <c r="B526" s="37"/>
    </row>
    <row r="527" spans="1:2">
      <c r="A527" s="747"/>
      <c r="B527" s="37"/>
    </row>
    <row r="528" spans="1:2">
      <c r="A528" s="747"/>
      <c r="B528" s="37"/>
    </row>
    <row r="529" spans="1:2">
      <c r="A529" s="747"/>
      <c r="B529" s="37"/>
    </row>
    <row r="530" spans="1:2">
      <c r="A530" s="747"/>
      <c r="B530" s="37"/>
    </row>
    <row r="531" spans="1:2">
      <c r="A531" s="747"/>
      <c r="B531" s="37"/>
    </row>
    <row r="532" spans="1:2">
      <c r="A532" s="747"/>
      <c r="B532" s="37"/>
    </row>
    <row r="533" spans="1:2">
      <c r="A533" s="747"/>
      <c r="B533" s="37"/>
    </row>
    <row r="534" spans="1:2">
      <c r="A534" s="747"/>
      <c r="B534" s="37"/>
    </row>
    <row r="535" spans="1:2">
      <c r="A535" s="747"/>
      <c r="B535" s="37"/>
    </row>
    <row r="536" spans="1:2">
      <c r="A536" s="747"/>
      <c r="B536" s="37"/>
    </row>
    <row r="537" spans="1:2">
      <c r="A537" s="747"/>
      <c r="B537" s="37"/>
    </row>
    <row r="538" spans="1:2">
      <c r="A538" s="747"/>
      <c r="B538" s="37"/>
    </row>
    <row r="539" spans="1:2">
      <c r="A539" s="747"/>
      <c r="B539" s="37"/>
    </row>
  </sheetData>
  <sortState ref="AA1:AA540">
    <sortCondition descending="1" ref="AA1"/>
  </sortState>
  <conditionalFormatting sqref="J2:J32">
    <cfRule type="cellIs" dxfId="5" priority="7" operator="equal">
      <formula>0</formula>
    </cfRule>
  </conditionalFormatting>
  <conditionalFormatting sqref="J1:J33 J152:J1048576 J41:J135">
    <cfRule type="dataBar" priority="4">
      <dataBar>
        <cfvo type="min" val="0"/>
        <cfvo type="max" val="0"/>
        <color rgb="FF63C384"/>
      </dataBar>
      <extLst>
        <ext xmlns:x14="http://schemas.microsoft.com/office/spreadsheetml/2009/9/main" uri="{B025F937-C7B1-47D3-B67F-A62EFF666E3E}">
          <x14:id>{340D281E-59C6-44D2-AB60-55619A4267FD}</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340D281E-59C6-44D2-AB60-55619A4267FD}">
            <x14:dataBar minLength="0" maxLength="100" border="1" negativeBarBorderColorSameAsPositive="0">
              <x14:cfvo type="autoMin"/>
              <x14:cfvo type="autoMax"/>
              <x14:borderColor rgb="FF63C384"/>
              <x14:negativeFillColor rgb="FFFF0000"/>
              <x14:negativeBorderColor rgb="FFFF0000"/>
              <x14:axisColor rgb="FF000000"/>
            </x14:dataBar>
          </x14:cfRule>
          <xm:sqref>J1:J33 J152:J1048576 J41:J135</xm:sqref>
        </x14:conditionalFormatting>
        <x14:conditionalFormatting xmlns:xm="http://schemas.microsoft.com/office/excel/2006/main">
          <x14:cfRule type="cellIs" priority="6" operator="lessThan" id="{4DD58586-B888-4986-B46D-1D7F232B160F}">
            <xm:f>Stocks!$A$4</xm:f>
            <x14:dxf>
              <font>
                <color rgb="FF9C0006"/>
              </font>
              <fill>
                <patternFill>
                  <bgColor rgb="FFFFC7CE"/>
                </patternFill>
              </fill>
            </x14:dxf>
          </x14:cfRule>
          <xm:sqref>T1 T103:T1048576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5"/>
  <dimension ref="A1:BS2429"/>
  <sheetViews>
    <sheetView tabSelected="1" topLeftCell="D1" zoomScale="70" zoomScaleNormal="70" workbookViewId="0">
      <selection activeCell="H5" sqref="H5"/>
    </sheetView>
  </sheetViews>
  <sheetFormatPr defaultRowHeight="16.5" customHeight="1"/>
  <cols>
    <col min="1" max="1" width="9.7109375" style="277" customWidth="1"/>
    <col min="2" max="2" width="30.28515625" style="277" customWidth="1"/>
    <col min="3" max="3" width="28.140625" style="277" customWidth="1"/>
    <col min="4" max="4" width="26.28515625" style="277" customWidth="1"/>
    <col min="5" max="5" width="44" style="247" customWidth="1"/>
    <col min="6" max="6" width="23.42578125" style="247" customWidth="1"/>
    <col min="7" max="7" width="25" style="247" customWidth="1"/>
    <col min="8" max="8" width="25.5703125" style="247" customWidth="1"/>
    <col min="9" max="9" width="25.140625" style="247" customWidth="1"/>
    <col min="10" max="10" width="25" style="247" customWidth="1"/>
    <col min="11" max="11" width="26.85546875" style="247" customWidth="1"/>
    <col min="12" max="12" width="28.140625" style="269" customWidth="1"/>
    <col min="13" max="13" width="25" style="247" customWidth="1"/>
    <col min="14" max="14" width="26.140625" style="247" customWidth="1"/>
    <col min="15" max="15" width="23" style="247" customWidth="1"/>
    <col min="16" max="16" width="23" style="270" customWidth="1"/>
    <col min="17" max="17" width="24.140625" style="247" customWidth="1"/>
    <col min="18" max="18" width="32" style="247" bestFit="1" customWidth="1"/>
    <col min="19" max="19" width="31.42578125" style="247" customWidth="1"/>
    <col min="20" max="20" width="35.28515625" style="247" customWidth="1"/>
    <col min="21" max="21" width="46.85546875" style="247" customWidth="1"/>
    <col min="22" max="22" width="24.42578125" style="247" customWidth="1"/>
    <col min="23" max="23" width="18.140625" style="247" customWidth="1"/>
    <col min="24" max="24" width="42" style="247" customWidth="1"/>
    <col min="25" max="25" width="24" style="266" customWidth="1"/>
    <col min="26" max="26" width="15.5703125" style="271" customWidth="1"/>
    <col min="27" max="27" width="20.42578125" style="247" bestFit="1" customWidth="1"/>
    <col min="28" max="28" width="14.140625" style="247" customWidth="1"/>
    <col min="29" max="29" width="21" style="247" customWidth="1"/>
    <col min="30" max="30" width="18.42578125" style="247" customWidth="1"/>
    <col min="31" max="31" width="13.7109375" style="247" customWidth="1"/>
    <col min="32" max="32" width="17.42578125" style="247" customWidth="1"/>
    <col min="33" max="33" width="15.140625" style="247" customWidth="1"/>
    <col min="34" max="34" width="14.85546875" style="247" bestFit="1" customWidth="1"/>
    <col min="35" max="35" width="17" style="247" customWidth="1"/>
    <col min="36" max="36" width="17.5703125" style="247" customWidth="1"/>
    <col min="37" max="37" width="13.7109375" style="247" customWidth="1"/>
    <col min="38" max="38" width="14.28515625" style="247" bestFit="1" customWidth="1"/>
    <col min="39" max="39" width="11.28515625" style="247" customWidth="1"/>
    <col min="40" max="40" width="13.5703125" style="272" customWidth="1"/>
    <col min="41" max="41" width="9.42578125" style="272" customWidth="1"/>
    <col min="42" max="42" width="13.5703125" style="272" customWidth="1"/>
    <col min="43" max="43" width="14.42578125" style="272" customWidth="1"/>
    <col min="44" max="44" width="13.28515625" style="247" bestFit="1" customWidth="1"/>
    <col min="45" max="45" width="14" style="272" bestFit="1" customWidth="1"/>
    <col min="46" max="46" width="13.5703125" style="266" bestFit="1" customWidth="1"/>
    <col min="47" max="47" width="9.140625" style="272" customWidth="1"/>
    <col min="48" max="48" width="20" style="247" bestFit="1" customWidth="1"/>
    <col min="49" max="49" width="10.140625" style="272" customWidth="1"/>
    <col min="50" max="50" width="14.85546875" style="249" customWidth="1"/>
    <col min="51" max="51" width="5" style="272" bestFit="1" customWidth="1"/>
    <col min="52" max="52" width="17.42578125" style="249" bestFit="1" customWidth="1"/>
    <col min="53" max="53" width="5" style="272" bestFit="1" customWidth="1"/>
    <col min="54" max="54" width="17.7109375" style="249" bestFit="1" customWidth="1"/>
    <col min="55" max="55" width="15.42578125" style="249" bestFit="1" customWidth="1"/>
    <col min="56" max="56" width="12.28515625" style="247" customWidth="1"/>
    <col min="57" max="57" width="18.42578125" style="273" bestFit="1" customWidth="1"/>
    <col min="58" max="58" width="11.85546875" style="272" bestFit="1" customWidth="1"/>
    <col min="59" max="59" width="25.140625" style="274" bestFit="1" customWidth="1"/>
    <col min="60" max="60" width="5" style="272" bestFit="1" customWidth="1"/>
    <col min="61" max="61" width="22.42578125" style="273" bestFit="1" customWidth="1"/>
    <col min="62" max="62" width="5" style="272" bestFit="1" customWidth="1"/>
    <col min="63" max="64" width="9.140625" style="1273"/>
    <col min="65" max="65" width="30.5703125" style="1273" customWidth="1"/>
    <col min="66" max="66" width="25" style="1273" customWidth="1"/>
    <col min="67" max="67" width="27" style="1273" customWidth="1"/>
    <col min="68" max="68" width="25" style="247" customWidth="1"/>
    <col min="69" max="69" width="28.7109375" style="247" customWidth="1"/>
    <col min="70" max="70" width="24" style="247" customWidth="1"/>
    <col min="71" max="71" width="18.85546875" style="247" customWidth="1"/>
    <col min="72" max="72" width="36.140625" style="247" customWidth="1"/>
    <col min="73" max="73" width="40.140625" style="247" customWidth="1"/>
    <col min="74" max="74" width="40.5703125" style="247" bestFit="1" customWidth="1"/>
    <col min="75" max="75" width="16.85546875" style="247" bestFit="1" customWidth="1"/>
    <col min="76" max="78" width="12.140625" style="247" customWidth="1"/>
    <col min="79" max="79" width="34.140625" style="247" bestFit="1" customWidth="1"/>
    <col min="80" max="81" width="7.140625" style="247" bestFit="1" customWidth="1"/>
    <col min="82" max="82" width="15" style="247" bestFit="1" customWidth="1"/>
    <col min="83" max="83" width="7.140625" style="247" bestFit="1" customWidth="1"/>
    <col min="84" max="84" width="17.140625" style="247" bestFit="1" customWidth="1"/>
    <col min="85" max="85" width="9" style="247" customWidth="1"/>
    <col min="86" max="86" width="10" style="247" bestFit="1" customWidth="1"/>
    <col min="87" max="87" width="8.7109375" style="247" bestFit="1" customWidth="1"/>
    <col min="88" max="88" width="16.28515625" style="247" bestFit="1" customWidth="1"/>
    <col min="89" max="89" width="7.140625" style="247" bestFit="1" customWidth="1"/>
    <col min="90" max="90" width="7" style="247" bestFit="1" customWidth="1"/>
    <col min="91" max="91" width="13.7109375" style="247" bestFit="1" customWidth="1"/>
    <col min="92" max="92" width="15.28515625" style="247" bestFit="1" customWidth="1"/>
    <col min="93" max="93" width="7.140625" style="247" bestFit="1" customWidth="1"/>
    <col min="94" max="94" width="9.140625" style="247"/>
    <col min="95" max="95" width="12.140625" style="247" bestFit="1" customWidth="1"/>
    <col min="96" max="96" width="7.140625" style="247" bestFit="1" customWidth="1"/>
    <col min="97" max="97" width="12.5703125" style="247" customWidth="1"/>
    <col min="98" max="98" width="7.140625" style="247" bestFit="1" customWidth="1"/>
    <col min="99" max="99" width="15.28515625" style="247" bestFit="1" customWidth="1"/>
    <col min="100" max="100" width="5.140625" style="247" customWidth="1"/>
    <col min="101" max="101" width="11.28515625" style="247" bestFit="1" customWidth="1"/>
    <col min="102" max="102" width="7.140625" style="247" bestFit="1" customWidth="1"/>
    <col min="103" max="103" width="17" style="247" bestFit="1" customWidth="1"/>
    <col min="104" max="104" width="7.140625" style="247" bestFit="1" customWidth="1"/>
    <col min="105" max="105" width="38" style="247" bestFit="1" customWidth="1"/>
    <col min="106" max="106" width="2.28515625" style="247" bestFit="1" customWidth="1"/>
    <col min="107" max="107" width="14.28515625" style="247" bestFit="1" customWidth="1"/>
    <col min="108" max="108" width="7.140625" style="247" bestFit="1" customWidth="1"/>
    <col min="109" max="109" width="14.5703125" style="247" bestFit="1" customWidth="1"/>
    <col min="110" max="110" width="15.7109375" style="247" bestFit="1" customWidth="1"/>
    <col min="111" max="111" width="13.7109375" style="247" bestFit="1" customWidth="1"/>
    <col min="112" max="112" width="20.140625" style="247" bestFit="1" customWidth="1"/>
    <col min="113" max="113" width="7.140625" style="247" bestFit="1" customWidth="1"/>
    <col min="114" max="114" width="19" style="247" bestFit="1" customWidth="1"/>
    <col min="115" max="115" width="2.28515625" style="247" bestFit="1" customWidth="1"/>
    <col min="116" max="116" width="19.28515625" style="247" bestFit="1" customWidth="1"/>
    <col min="117" max="117" width="7.140625" style="247" bestFit="1" customWidth="1"/>
    <col min="118" max="16384" width="9.140625" style="247"/>
  </cols>
  <sheetData>
    <row r="1" spans="2:67" ht="16.5" customHeight="1">
      <c r="B1" s="296"/>
      <c r="C1" s="1272" t="s">
        <v>249</v>
      </c>
      <c r="K1" s="249"/>
    </row>
    <row r="2" spans="2:67" ht="16.5" customHeight="1" thickBot="1">
      <c r="B2" s="329" t="s">
        <v>140</v>
      </c>
      <c r="C2" s="252">
        <v>1229.5999999999999</v>
      </c>
      <c r="F2" s="246"/>
      <c r="G2" s="283" t="s">
        <v>3150</v>
      </c>
      <c r="H2" s="248"/>
      <c r="I2" s="248"/>
      <c r="J2" s="246"/>
      <c r="L2" s="311"/>
      <c r="M2" s="294"/>
    </row>
    <row r="3" spans="2:67" ht="16.5" customHeight="1">
      <c r="B3" s="330" t="s">
        <v>139</v>
      </c>
      <c r="C3" s="252">
        <v>17.64</v>
      </c>
      <c r="F3" s="246"/>
      <c r="G3" s="1479">
        <v>3.2150699999999997E-2</v>
      </c>
      <c r="H3" s="248"/>
      <c r="I3" s="248"/>
      <c r="J3" s="296" t="s">
        <v>143</v>
      </c>
      <c r="K3" s="297">
        <v>12</v>
      </c>
      <c r="L3" s="255"/>
      <c r="M3" s="294"/>
    </row>
    <row r="4" spans="2:67" ht="16.5" customHeight="1" thickBot="1">
      <c r="E4" s="306" t="s">
        <v>2645</v>
      </c>
      <c r="F4" s="246"/>
      <c r="G4" s="283"/>
      <c r="J4" s="304" t="s">
        <v>216</v>
      </c>
      <c r="K4" s="246"/>
      <c r="L4" s="335"/>
      <c r="O4" s="270"/>
      <c r="P4" s="247"/>
      <c r="X4" s="266"/>
      <c r="Y4" s="271"/>
      <c r="Z4" s="247"/>
      <c r="AM4" s="272"/>
      <c r="AQ4" s="247"/>
      <c r="AR4" s="272"/>
      <c r="AS4" s="266"/>
      <c r="AT4" s="272"/>
      <c r="AU4" s="247"/>
      <c r="AV4" s="272"/>
      <c r="AW4" s="249"/>
      <c r="AX4" s="272"/>
      <c r="AY4" s="249"/>
      <c r="AZ4" s="272"/>
      <c r="BA4" s="249"/>
      <c r="BC4" s="247"/>
      <c r="BD4" s="273"/>
      <c r="BE4" s="272"/>
      <c r="BF4" s="274"/>
      <c r="BG4" s="272"/>
      <c r="BH4" s="273"/>
      <c r="BI4" s="272"/>
      <c r="BJ4" s="1273"/>
      <c r="BO4" s="247"/>
    </row>
    <row r="5" spans="2:67" ht="16.5" customHeight="1">
      <c r="B5" s="1183" t="s">
        <v>2760</v>
      </c>
      <c r="C5" s="298" t="s">
        <v>2119</v>
      </c>
      <c r="D5" s="298"/>
      <c r="E5" s="296" t="s">
        <v>2641</v>
      </c>
      <c r="F5" s="255" t="s">
        <v>2642</v>
      </c>
      <c r="J5" s="307">
        <f>C3*K3</f>
        <v>211.68</v>
      </c>
      <c r="K5" s="303" t="s">
        <v>234</v>
      </c>
      <c r="L5" s="335"/>
      <c r="O5" s="270"/>
      <c r="P5" s="247"/>
      <c r="X5" s="266"/>
      <c r="Y5" s="271"/>
      <c r="Z5" s="247"/>
      <c r="AM5" s="272"/>
      <c r="AQ5" s="247"/>
      <c r="AR5" s="272"/>
      <c r="AS5" s="266"/>
      <c r="AT5" s="272"/>
      <c r="AU5" s="247"/>
      <c r="AV5" s="272"/>
      <c r="AW5" s="249"/>
      <c r="AX5" s="272"/>
      <c r="AY5" s="249"/>
      <c r="AZ5" s="272"/>
      <c r="BA5" s="249"/>
      <c r="BC5" s="247"/>
      <c r="BD5" s="273"/>
      <c r="BE5" s="272"/>
      <c r="BF5" s="274"/>
      <c r="BG5" s="272"/>
      <c r="BH5" s="273"/>
      <c r="BI5" s="272"/>
      <c r="BJ5" s="1273"/>
      <c r="BO5" s="247"/>
    </row>
    <row r="6" spans="2:67" ht="16.5" customHeight="1">
      <c r="B6" s="332" t="s">
        <v>2622</v>
      </c>
      <c r="E6" s="1351">
        <v>0.68</v>
      </c>
      <c r="F6" s="1352">
        <v>0.15</v>
      </c>
      <c r="J6" s="308">
        <f>C2/K3</f>
        <v>102.46666666666665</v>
      </c>
      <c r="K6" s="309" t="s">
        <v>235</v>
      </c>
      <c r="L6" s="335"/>
      <c r="O6" s="270"/>
      <c r="P6" s="247"/>
      <c r="X6" s="266"/>
      <c r="Y6" s="271"/>
      <c r="Z6" s="247"/>
      <c r="AM6" s="272"/>
      <c r="AQ6" s="247"/>
      <c r="AR6" s="272"/>
      <c r="AS6" s="266"/>
      <c r="AT6" s="272"/>
      <c r="AU6" s="247"/>
      <c r="AV6" s="272"/>
      <c r="AW6" s="249"/>
      <c r="AX6" s="272"/>
      <c r="AY6" s="249"/>
      <c r="AZ6" s="272"/>
      <c r="BA6" s="249"/>
      <c r="BC6" s="247"/>
      <c r="BD6" s="273"/>
      <c r="BE6" s="272"/>
      <c r="BF6" s="274"/>
      <c r="BG6" s="272"/>
      <c r="BH6" s="273"/>
      <c r="BI6" s="272"/>
      <c r="BJ6" s="1273"/>
      <c r="BO6" s="247"/>
    </row>
    <row r="7" spans="2:67" ht="16.5" customHeight="1">
      <c r="B7" s="1339" t="s">
        <v>2320</v>
      </c>
      <c r="E7" s="257"/>
      <c r="F7" s="256"/>
      <c r="J7" s="257">
        <f>(C2/C3)^0.5</f>
        <v>8.3489649310259484</v>
      </c>
      <c r="K7" s="303" t="s">
        <v>265</v>
      </c>
      <c r="L7" s="335"/>
      <c r="O7" s="270"/>
      <c r="P7" s="247"/>
      <c r="X7" s="266"/>
      <c r="Y7" s="271"/>
      <c r="Z7" s="247"/>
      <c r="AM7" s="272"/>
      <c r="AQ7" s="247"/>
      <c r="AR7" s="272"/>
      <c r="AS7" s="266"/>
      <c r="AT7" s="272"/>
      <c r="AU7" s="247"/>
      <c r="AV7" s="272"/>
      <c r="AW7" s="249"/>
      <c r="AX7" s="272"/>
      <c r="AY7" s="249"/>
      <c r="AZ7" s="272"/>
      <c r="BA7" s="249"/>
      <c r="BC7" s="247"/>
      <c r="BD7" s="273"/>
      <c r="BE7" s="272"/>
      <c r="BF7" s="274"/>
      <c r="BG7" s="272"/>
      <c r="BH7" s="273"/>
      <c r="BI7" s="272"/>
      <c r="BJ7" s="1273"/>
      <c r="BO7" s="247"/>
    </row>
    <row r="8" spans="2:67" ht="16.5" customHeight="1" thickBot="1">
      <c r="B8" s="295" t="s">
        <v>2321</v>
      </c>
      <c r="C8" s="246" t="s">
        <v>2623</v>
      </c>
      <c r="D8" s="246" t="s">
        <v>2624</v>
      </c>
      <c r="E8" s="257" t="s">
        <v>2643</v>
      </c>
      <c r="F8" s="256" t="s">
        <v>2644</v>
      </c>
      <c r="G8" s="247" t="s">
        <v>1782</v>
      </c>
      <c r="H8" s="1478">
        <v>1037.9000000000001</v>
      </c>
      <c r="J8" s="320">
        <f>C3*J7</f>
        <v>147.27574138329774</v>
      </c>
      <c r="K8" s="312" t="s">
        <v>1886</v>
      </c>
      <c r="L8" s="1477"/>
      <c r="O8" s="270"/>
      <c r="P8" s="247"/>
      <c r="X8" s="266"/>
      <c r="Y8" s="271"/>
      <c r="Z8" s="247"/>
      <c r="AM8" s="272"/>
      <c r="AQ8" s="247"/>
      <c r="AR8" s="272"/>
      <c r="AS8" s="266"/>
      <c r="AT8" s="272"/>
      <c r="AU8" s="247"/>
      <c r="AV8" s="272"/>
      <c r="AW8" s="249"/>
      <c r="AX8" s="272"/>
      <c r="AY8" s="249"/>
      <c r="AZ8" s="272"/>
      <c r="BA8" s="249"/>
      <c r="BC8" s="247"/>
      <c r="BD8" s="273"/>
      <c r="BE8" s="272"/>
      <c r="BF8" s="274"/>
      <c r="BG8" s="272"/>
      <c r="BH8" s="273"/>
      <c r="BI8" s="272"/>
      <c r="BJ8" s="1273"/>
      <c r="BO8" s="247"/>
    </row>
    <row r="9" spans="2:67" ht="16.5" customHeight="1">
      <c r="B9" s="1206">
        <v>7371000000</v>
      </c>
      <c r="C9" s="277">
        <f>B9/L48</f>
        <v>1.3383774639198194</v>
      </c>
      <c r="D9" s="277">
        <f>B9/L49</f>
        <v>0.16248338736319282</v>
      </c>
      <c r="E9" s="1350">
        <f>B9/(E6*L48)</f>
        <v>1.9682021528232636</v>
      </c>
      <c r="F9" s="260">
        <f>B9/(F6*L49)</f>
        <v>1.0832225824212853</v>
      </c>
      <c r="G9" s="1349" t="s">
        <v>2618</v>
      </c>
      <c r="H9" s="1340" t="s">
        <v>2612</v>
      </c>
      <c r="J9" s="246"/>
      <c r="L9" s="311"/>
      <c r="M9" s="294"/>
    </row>
    <row r="10" spans="2:67" ht="16.5" customHeight="1" thickBot="1">
      <c r="B10" s="295"/>
      <c r="D10" s="248"/>
      <c r="E10" s="257"/>
      <c r="F10" s="256"/>
      <c r="G10" s="1314" t="s">
        <v>2625</v>
      </c>
      <c r="H10" s="256"/>
      <c r="J10" s="369" t="s">
        <v>546</v>
      </c>
      <c r="K10" s="248"/>
      <c r="L10" s="248"/>
      <c r="M10" s="294"/>
    </row>
    <row r="11" spans="2:67" ht="16.5" customHeight="1">
      <c r="B11" s="295"/>
      <c r="C11" s="248">
        <f>C9*$C$2</f>
        <v>1645.6689296358097</v>
      </c>
      <c r="D11" s="248">
        <f>D9*$C$3</f>
        <v>2.8662069530867216</v>
      </c>
      <c r="E11" s="290">
        <f>$C$2*E9</f>
        <v>2420.1013671114847</v>
      </c>
      <c r="F11" s="287">
        <f>$C$3*F9</f>
        <v>19.108046353911472</v>
      </c>
      <c r="G11" s="246" t="s">
        <v>2209</v>
      </c>
      <c r="H11" s="348">
        <v>0.35</v>
      </c>
      <c r="J11" s="1008"/>
      <c r="K11" s="278" t="s">
        <v>518</v>
      </c>
      <c r="L11" s="278" t="s">
        <v>545</v>
      </c>
      <c r="M11" s="1480" t="s">
        <v>3151</v>
      </c>
    </row>
    <row r="12" spans="2:67" ht="16.5" customHeight="1" thickBot="1">
      <c r="B12" s="295"/>
      <c r="D12" s="248"/>
      <c r="E12" s="257"/>
      <c r="F12" s="256"/>
      <c r="G12" s="264" t="s">
        <v>2210</v>
      </c>
      <c r="H12" s="293">
        <f>H8/Metals!H11</f>
        <v>2965.428571428572</v>
      </c>
      <c r="J12" s="329" t="s">
        <v>140</v>
      </c>
      <c r="K12" s="252">
        <v>375</v>
      </c>
      <c r="L12" s="252">
        <v>1895</v>
      </c>
      <c r="M12" s="287">
        <f>AVERAGE(K12:L12)</f>
        <v>1135</v>
      </c>
    </row>
    <row r="13" spans="2:67" ht="16.5" customHeight="1" thickBot="1">
      <c r="B13" s="1085" t="s">
        <v>2617</v>
      </c>
      <c r="C13" s="253">
        <f>1/C9</f>
        <v>0.74717336996336992</v>
      </c>
      <c r="D13" s="277">
        <f>1/D9</f>
        <v>6.1544753357753352</v>
      </c>
      <c r="E13" s="1350">
        <f>1/E9</f>
        <v>0.50807789157509164</v>
      </c>
      <c r="F13" s="260">
        <f>1/F9</f>
        <v>0.92317130036630046</v>
      </c>
      <c r="H13" s="315"/>
      <c r="J13" s="1481" t="s">
        <v>139</v>
      </c>
      <c r="K13" s="879">
        <v>5.5</v>
      </c>
      <c r="L13" s="879">
        <v>48.7</v>
      </c>
      <c r="M13" s="293">
        <f>AVERAGE(K13:L13)</f>
        <v>27.1</v>
      </c>
    </row>
    <row r="14" spans="2:67" ht="16.5" customHeight="1" thickBot="1">
      <c r="B14" s="320">
        <f>SUM(C14:D14)</f>
        <v>1027.2893206300364</v>
      </c>
      <c r="C14" s="268">
        <f>C13*$C$2</f>
        <v>918.72437570695956</v>
      </c>
      <c r="D14" s="268">
        <f>D13*$C$3</f>
        <v>108.56494492307692</v>
      </c>
      <c r="E14" s="320">
        <f>E13*$C$2</f>
        <v>624.73257548073263</v>
      </c>
      <c r="F14" s="293">
        <f>F13*$C$3</f>
        <v>16.284741738461541</v>
      </c>
      <c r="G14" s="266">
        <f>SUM(E14:F14)</f>
        <v>641.01731721919418</v>
      </c>
      <c r="H14" s="315"/>
      <c r="J14" s="246"/>
      <c r="L14" s="311"/>
      <c r="M14" s="294"/>
    </row>
    <row r="15" spans="2:67" ht="16.5" customHeight="1" thickBot="1">
      <c r="H15" s="275"/>
      <c r="J15" s="246"/>
      <c r="L15" s="311"/>
      <c r="M15" s="294"/>
    </row>
    <row r="16" spans="2:67" ht="16.5" customHeight="1" thickBot="1">
      <c r="B16" s="1087" t="s">
        <v>2628</v>
      </c>
      <c r="C16" s="1342" t="s">
        <v>2730</v>
      </c>
      <c r="J16" s="246"/>
      <c r="L16" s="311"/>
      <c r="M16" s="294"/>
    </row>
    <row r="17" spans="1:68" ht="16.5" customHeight="1">
      <c r="B17" s="1339" t="s">
        <v>2614</v>
      </c>
      <c r="C17" s="313"/>
      <c r="E17" s="1335" t="s">
        <v>2593</v>
      </c>
      <c r="F17" s="1313" t="s">
        <v>2595</v>
      </c>
      <c r="G17" s="280"/>
      <c r="H17" s="278"/>
      <c r="I17" s="278"/>
      <c r="J17" s="254"/>
      <c r="K17" s="254"/>
      <c r="L17" s="339"/>
      <c r="M17" s="254"/>
      <c r="N17" s="254"/>
      <c r="O17" s="255"/>
    </row>
    <row r="18" spans="1:68" ht="16.5" customHeight="1">
      <c r="B18" s="1339" t="s">
        <v>2636</v>
      </c>
      <c r="C18" s="313"/>
      <c r="E18" s="257"/>
      <c r="F18" s="1314" t="s">
        <v>2592</v>
      </c>
      <c r="G18" s="283"/>
      <c r="H18" s="248"/>
      <c r="I18" s="248"/>
      <c r="J18" s="246"/>
      <c r="K18" s="261"/>
      <c r="L18" s="309"/>
      <c r="M18" s="246"/>
      <c r="N18" s="246"/>
      <c r="O18" s="256"/>
    </row>
    <row r="19" spans="1:68" ht="16.5" customHeight="1">
      <c r="B19" s="1085" t="s">
        <v>2637</v>
      </c>
      <c r="C19" s="1343">
        <v>234900</v>
      </c>
      <c r="D19" s="248"/>
      <c r="E19" s="1330" t="s">
        <v>2598</v>
      </c>
      <c r="F19" s="780"/>
      <c r="G19" s="246"/>
      <c r="H19" s="1315" t="s">
        <v>2598</v>
      </c>
      <c r="I19" s="780"/>
      <c r="J19" s="246"/>
      <c r="K19" s="1326" t="s">
        <v>2601</v>
      </c>
      <c r="L19" s="1319" t="s">
        <v>2616</v>
      </c>
      <c r="M19" s="246"/>
      <c r="N19" s="1326" t="s">
        <v>2601</v>
      </c>
      <c r="O19" s="1338"/>
      <c r="Z19" s="266"/>
      <c r="AA19" s="271"/>
      <c r="AN19" s="247"/>
      <c r="AR19" s="272"/>
      <c r="AS19" s="247"/>
      <c r="AT19" s="272"/>
      <c r="AU19" s="266"/>
      <c r="AV19" s="272"/>
      <c r="AW19" s="247"/>
      <c r="AX19" s="272"/>
      <c r="AY19" s="249"/>
      <c r="AZ19" s="272"/>
      <c r="BA19" s="249"/>
      <c r="BB19" s="272"/>
      <c r="BD19" s="249"/>
      <c r="BE19" s="247"/>
      <c r="BF19" s="273"/>
      <c r="BG19" s="272"/>
      <c r="BH19" s="274"/>
      <c r="BI19" s="272"/>
      <c r="BJ19" s="273"/>
      <c r="BK19" s="272"/>
      <c r="BP19" s="1273"/>
    </row>
    <row r="20" spans="1:68" ht="16.5" customHeight="1">
      <c r="B20" s="295" t="s">
        <v>2626</v>
      </c>
      <c r="C20" s="301">
        <v>282</v>
      </c>
      <c r="D20" s="248"/>
      <c r="E20" s="718">
        <v>1</v>
      </c>
      <c r="F20" s="1317" t="s">
        <v>2600</v>
      </c>
      <c r="G20" s="246"/>
      <c r="H20" s="1316">
        <v>1</v>
      </c>
      <c r="I20" s="1317" t="s">
        <v>2600</v>
      </c>
      <c r="J20" s="246"/>
      <c r="K20" s="1327">
        <f>90.5*1000000</f>
        <v>90500000</v>
      </c>
      <c r="L20" s="1322"/>
      <c r="M20" s="246"/>
      <c r="N20" s="1318">
        <f>K20</f>
        <v>90500000</v>
      </c>
      <c r="O20" s="314"/>
      <c r="Z20" s="266"/>
      <c r="AA20" s="271"/>
      <c r="AN20" s="247"/>
      <c r="AR20" s="272"/>
      <c r="AS20" s="247"/>
      <c r="AT20" s="272"/>
      <c r="AU20" s="266"/>
      <c r="AV20" s="272"/>
      <c r="AW20" s="247"/>
      <c r="AX20" s="272"/>
      <c r="AY20" s="249"/>
      <c r="AZ20" s="272"/>
      <c r="BA20" s="249"/>
      <c r="BB20" s="272"/>
      <c r="BD20" s="249"/>
      <c r="BE20" s="247"/>
      <c r="BF20" s="273"/>
      <c r="BG20" s="272"/>
      <c r="BH20" s="274"/>
      <c r="BI20" s="272"/>
      <c r="BJ20" s="273"/>
      <c r="BK20" s="272"/>
      <c r="BP20" s="1273"/>
    </row>
    <row r="21" spans="1:68" ht="16.5" customHeight="1" thickBot="1">
      <c r="B21" s="534" t="s">
        <v>2210</v>
      </c>
      <c r="C21" s="717">
        <f>C19/C20</f>
        <v>832.97872340425533</v>
      </c>
      <c r="D21" s="299"/>
      <c r="E21" s="618"/>
      <c r="F21" s="334"/>
      <c r="G21" s="246"/>
      <c r="H21" s="1318"/>
      <c r="I21" s="334"/>
      <c r="J21" s="246"/>
      <c r="K21" s="1320"/>
      <c r="L21" s="1322"/>
      <c r="M21" s="246"/>
      <c r="N21" s="1320"/>
      <c r="O21" s="314"/>
      <c r="Z21" s="266"/>
      <c r="AA21" s="271"/>
      <c r="AN21" s="247"/>
      <c r="AR21" s="272"/>
      <c r="AS21" s="247"/>
      <c r="AT21" s="272"/>
      <c r="AU21" s="266"/>
      <c r="AV21" s="272"/>
      <c r="AW21" s="247"/>
      <c r="AX21" s="272"/>
      <c r="AY21" s="249"/>
      <c r="AZ21" s="272"/>
      <c r="BA21" s="249"/>
      <c r="BB21" s="272"/>
      <c r="BD21" s="249"/>
      <c r="BE21" s="247"/>
      <c r="BF21" s="273"/>
      <c r="BG21" s="272"/>
      <c r="BH21" s="274"/>
      <c r="BI21" s="272"/>
      <c r="BJ21" s="273"/>
      <c r="BK21" s="272"/>
      <c r="BP21" s="1273"/>
    </row>
    <row r="22" spans="1:68" ht="16.5" customHeight="1">
      <c r="C22" s="248"/>
      <c r="E22" s="1311" t="s">
        <v>2599</v>
      </c>
      <c r="F22" s="518"/>
      <c r="G22" s="250"/>
      <c r="H22" s="1324" t="s">
        <v>2594</v>
      </c>
      <c r="I22" s="1183" t="s">
        <v>2760</v>
      </c>
      <c r="J22" s="250"/>
      <c r="K22" s="1320" t="s">
        <v>2602</v>
      </c>
      <c r="L22" s="1322"/>
      <c r="M22" s="246"/>
      <c r="N22" s="1320" t="s">
        <v>2602</v>
      </c>
      <c r="O22" s="314"/>
      <c r="Z22" s="266"/>
      <c r="AA22" s="271"/>
      <c r="AN22" s="247"/>
      <c r="AR22" s="272"/>
      <c r="AS22" s="247"/>
      <c r="AT22" s="272"/>
      <c r="AU22" s="266"/>
      <c r="AV22" s="272"/>
      <c r="AW22" s="247"/>
      <c r="AX22" s="272"/>
      <c r="AY22" s="249"/>
      <c r="AZ22" s="272"/>
      <c r="BA22" s="249"/>
      <c r="BB22" s="272"/>
      <c r="BD22" s="249"/>
      <c r="BE22" s="247"/>
      <c r="BF22" s="273"/>
      <c r="BG22" s="272"/>
      <c r="BH22" s="274"/>
      <c r="BI22" s="272"/>
      <c r="BJ22" s="273"/>
      <c r="BK22" s="272"/>
      <c r="BP22" s="1273"/>
    </row>
    <row r="23" spans="1:68" ht="16.5" customHeight="1" thickBot="1">
      <c r="C23" s="282"/>
      <c r="E23" s="718">
        <f>0.888671*G3*$C$2</f>
        <v>35.131386947343117</v>
      </c>
      <c r="F23" s="1317"/>
      <c r="G23" s="303"/>
      <c r="H23" s="1325">
        <v>1.36019</v>
      </c>
      <c r="I23" s="1317"/>
      <c r="J23" s="303"/>
      <c r="K23" s="1328">
        <f>K20*$C$2</f>
        <v>111278799999.99998</v>
      </c>
      <c r="L23" s="1322" t="s">
        <v>2281</v>
      </c>
      <c r="M23" s="246"/>
      <c r="N23" s="1328">
        <f>N20*$C$2</f>
        <v>111278799999.99998</v>
      </c>
      <c r="O23" s="314" t="s">
        <v>2281</v>
      </c>
      <c r="Z23" s="266"/>
      <c r="AA23" s="271"/>
      <c r="AN23" s="247"/>
      <c r="AR23" s="272"/>
      <c r="AS23" s="247"/>
      <c r="AT23" s="272"/>
      <c r="AU23" s="266"/>
      <c r="AV23" s="272"/>
      <c r="AW23" s="247"/>
      <c r="AX23" s="272"/>
      <c r="AY23" s="249"/>
      <c r="AZ23" s="272"/>
      <c r="BA23" s="249"/>
      <c r="BB23" s="272"/>
      <c r="BD23" s="249"/>
      <c r="BE23" s="247"/>
      <c r="BF23" s="273"/>
      <c r="BG23" s="272"/>
      <c r="BH23" s="274"/>
      <c r="BI23" s="272"/>
      <c r="BJ23" s="273"/>
      <c r="BK23" s="272"/>
      <c r="BP23" s="1273"/>
    </row>
    <row r="24" spans="1:68" ht="16.5" customHeight="1">
      <c r="B24" s="1336" t="s">
        <v>2420</v>
      </c>
      <c r="C24" s="298"/>
      <c r="D24" s="383"/>
      <c r="E24" s="718"/>
      <c r="F24" s="276"/>
      <c r="G24" s="248"/>
      <c r="H24" s="1316"/>
      <c r="I24" s="276"/>
      <c r="J24" s="248"/>
      <c r="K24" s="1320"/>
      <c r="L24" s="1322">
        <f>K29/K20</f>
        <v>79230.011888980443</v>
      </c>
      <c r="M24" s="246"/>
      <c r="N24" s="1320"/>
      <c r="O24" s="314">
        <f>N29/N20</f>
        <v>3067.5666187845304</v>
      </c>
      <c r="Z24" s="266"/>
      <c r="AA24" s="271"/>
      <c r="AN24" s="247"/>
      <c r="AR24" s="272"/>
      <c r="AS24" s="247"/>
      <c r="AT24" s="272"/>
      <c r="AU24" s="266"/>
      <c r="AV24" s="272"/>
      <c r="AW24" s="247"/>
      <c r="AX24" s="272"/>
      <c r="AY24" s="249"/>
      <c r="AZ24" s="272"/>
      <c r="BA24" s="249"/>
      <c r="BB24" s="272"/>
      <c r="BD24" s="249"/>
      <c r="BE24" s="247"/>
      <c r="BF24" s="273"/>
      <c r="BG24" s="272"/>
      <c r="BH24" s="274"/>
      <c r="BI24" s="272"/>
      <c r="BJ24" s="273"/>
      <c r="BK24" s="272"/>
      <c r="BP24" s="1273"/>
    </row>
    <row r="25" spans="1:68" ht="16.5" customHeight="1">
      <c r="B25" s="295" t="s">
        <v>2401</v>
      </c>
      <c r="C25" s="1366">
        <f>D41</f>
        <v>1500337000000</v>
      </c>
      <c r="D25" s="313"/>
      <c r="E25" s="257" t="s">
        <v>1415</v>
      </c>
      <c r="F25" s="1321">
        <f>E23/E20-1</f>
        <v>34.131386947343117</v>
      </c>
      <c r="G25" s="261"/>
      <c r="H25" s="1320" t="s">
        <v>1415</v>
      </c>
      <c r="I25" s="1321">
        <f>H23/H20-1</f>
        <v>0.36019000000000001</v>
      </c>
      <c r="J25" s="261"/>
      <c r="K25" s="1320" t="s">
        <v>2596</v>
      </c>
      <c r="L25" s="1322"/>
      <c r="M25" s="246"/>
      <c r="N25" s="1320" t="s">
        <v>2596</v>
      </c>
      <c r="O25" s="314"/>
      <c r="P25" s="370"/>
      <c r="Q25" s="250"/>
      <c r="Z25" s="266"/>
      <c r="AA25" s="271"/>
      <c r="AN25" s="247"/>
      <c r="AR25" s="272"/>
      <c r="AS25" s="247"/>
      <c r="AT25" s="272"/>
      <c r="AU25" s="266"/>
      <c r="AV25" s="272"/>
      <c r="AW25" s="247"/>
      <c r="AX25" s="272"/>
      <c r="AY25" s="249"/>
      <c r="AZ25" s="272"/>
      <c r="BA25" s="249"/>
      <c r="BB25" s="272"/>
      <c r="BD25" s="249"/>
      <c r="BE25" s="247"/>
      <c r="BF25" s="273"/>
      <c r="BG25" s="272"/>
      <c r="BH25" s="274"/>
      <c r="BI25" s="272"/>
      <c r="BJ25" s="273"/>
      <c r="BK25" s="272"/>
      <c r="BP25" s="1273"/>
    </row>
    <row r="26" spans="1:68" ht="16.5" customHeight="1">
      <c r="A26" s="277" t="s">
        <v>2677</v>
      </c>
      <c r="B26" s="295" t="s">
        <v>2674</v>
      </c>
      <c r="C26" s="1366">
        <f>G56</f>
        <v>3410700000000</v>
      </c>
      <c r="D26" s="313">
        <f>C26/C25</f>
        <v>2.2732892676778618</v>
      </c>
      <c r="E26" s="257"/>
      <c r="F26" s="334"/>
      <c r="G26" s="246"/>
      <c r="H26" s="1320"/>
      <c r="I26" s="334"/>
      <c r="J26" s="246"/>
      <c r="K26" s="1327">
        <f>204.1*1000000000</f>
        <v>204100000000</v>
      </c>
      <c r="L26" s="1329"/>
      <c r="M26" s="284"/>
      <c r="N26" s="1318">
        <f>K26</f>
        <v>204100000000</v>
      </c>
      <c r="O26" s="1312"/>
      <c r="P26" s="370"/>
      <c r="Q26" s="250"/>
      <c r="Y26" s="247"/>
      <c r="Z26" s="266"/>
      <c r="AA26" s="271"/>
      <c r="AN26" s="247"/>
      <c r="AR26" s="272"/>
      <c r="AS26" s="247"/>
      <c r="AT26" s="272"/>
      <c r="AU26" s="266"/>
      <c r="AV26" s="272"/>
      <c r="AW26" s="247"/>
      <c r="AX26" s="272"/>
      <c r="AY26" s="249"/>
      <c r="AZ26" s="272"/>
      <c r="BA26" s="249"/>
      <c r="BB26" s="272"/>
      <c r="BD26" s="249"/>
      <c r="BE26" s="247"/>
      <c r="BF26" s="273"/>
      <c r="BG26" s="272"/>
      <c r="BH26" s="274"/>
      <c r="BI26" s="272"/>
      <c r="BJ26" s="273"/>
      <c r="BK26" s="272"/>
      <c r="BP26" s="1273"/>
    </row>
    <row r="27" spans="1:68" ht="16.5" customHeight="1">
      <c r="A27" s="277" t="s">
        <v>2680</v>
      </c>
      <c r="B27" s="295" t="s">
        <v>2402</v>
      </c>
      <c r="C27" s="1366">
        <f>B33</f>
        <v>3675460000000</v>
      </c>
      <c r="D27" s="313">
        <f>C27/C25</f>
        <v>2.4497562880872765</v>
      </c>
      <c r="E27" s="302" t="s">
        <v>2281</v>
      </c>
      <c r="F27" s="1322" t="s">
        <v>2282</v>
      </c>
      <c r="G27" s="246" t="s">
        <v>1930</v>
      </c>
      <c r="H27" s="882" t="s">
        <v>2281</v>
      </c>
      <c r="I27" s="1322" t="s">
        <v>2282</v>
      </c>
      <c r="J27" s="246" t="s">
        <v>1930</v>
      </c>
      <c r="K27" s="1320"/>
      <c r="L27" s="1329"/>
      <c r="M27" s="284"/>
      <c r="N27" s="1320"/>
      <c r="O27" s="1312"/>
      <c r="P27" s="299"/>
      <c r="Q27" s="250"/>
      <c r="Y27" s="247"/>
      <c r="Z27" s="266"/>
      <c r="AA27" s="271"/>
      <c r="AN27" s="247"/>
      <c r="AR27" s="272"/>
      <c r="AS27" s="247"/>
      <c r="AT27" s="272"/>
      <c r="AU27" s="266"/>
      <c r="AV27" s="272"/>
      <c r="AW27" s="247"/>
      <c r="AX27" s="272"/>
      <c r="AY27" s="249"/>
      <c r="AZ27" s="272"/>
      <c r="BA27" s="249"/>
      <c r="BB27" s="272"/>
      <c r="BD27" s="249"/>
      <c r="BE27" s="247"/>
      <c r="BF27" s="273"/>
      <c r="BG27" s="272"/>
      <c r="BH27" s="274"/>
      <c r="BI27" s="272"/>
      <c r="BJ27" s="273"/>
      <c r="BK27" s="272"/>
      <c r="BP27" s="1273"/>
    </row>
    <row r="28" spans="1:68" ht="16.5" customHeight="1" thickBot="1">
      <c r="A28" s="277" t="s">
        <v>2679</v>
      </c>
      <c r="B28" s="1086" t="s">
        <v>2287</v>
      </c>
      <c r="C28" s="1367">
        <f>B56</f>
        <v>13279400000000</v>
      </c>
      <c r="D28" s="384">
        <f>C28/C25</f>
        <v>8.8509448210635338</v>
      </c>
      <c r="E28" s="1331">
        <f>$C$2*(1+$F$25)</f>
        <v>43197.553390453097</v>
      </c>
      <c r="F28" s="778">
        <f>$C$3*(1+$F$25)</f>
        <v>619.71766575113259</v>
      </c>
      <c r="G28" s="253">
        <f>E28/F28</f>
        <v>69.70521541950113</v>
      </c>
      <c r="H28" s="1323">
        <f>$C$2*(1+$I$25)</f>
        <v>1672.4896239999998</v>
      </c>
      <c r="I28" s="778">
        <f>$C$3*(1+$I$25)</f>
        <v>23.9937516</v>
      </c>
      <c r="J28" s="253">
        <f>H28/I28</f>
        <v>69.70521541950113</v>
      </c>
      <c r="K28" s="1320" t="s">
        <v>2597</v>
      </c>
      <c r="L28" s="1329" t="s">
        <v>2607</v>
      </c>
      <c r="M28" s="284"/>
      <c r="N28" s="1320" t="s">
        <v>2597</v>
      </c>
      <c r="O28" s="1312" t="s">
        <v>2608</v>
      </c>
      <c r="P28" s="299"/>
      <c r="Q28" s="250"/>
      <c r="Y28" s="247"/>
      <c r="Z28" s="266"/>
      <c r="AA28" s="271"/>
      <c r="AN28" s="247"/>
      <c r="AR28" s="272"/>
      <c r="AS28" s="247"/>
      <c r="AT28" s="272"/>
      <c r="AU28" s="266"/>
      <c r="AV28" s="272"/>
      <c r="AW28" s="247"/>
      <c r="AX28" s="272"/>
      <c r="AY28" s="249"/>
      <c r="AZ28" s="272"/>
      <c r="BA28" s="249"/>
      <c r="BB28" s="272"/>
      <c r="BD28" s="249"/>
      <c r="BE28" s="247"/>
      <c r="BF28" s="273"/>
      <c r="BG28" s="272"/>
      <c r="BH28" s="274"/>
      <c r="BI28" s="272"/>
      <c r="BJ28" s="273"/>
      <c r="BK28" s="272"/>
      <c r="BP28" s="1273"/>
    </row>
    <row r="29" spans="1:68" ht="16.5" customHeight="1" thickBot="1">
      <c r="C29" s="333"/>
      <c r="E29" s="292"/>
      <c r="F29" s="268"/>
      <c r="G29" s="325"/>
      <c r="H29" s="268"/>
      <c r="I29" s="264"/>
      <c r="J29" s="264"/>
      <c r="K29" s="1332">
        <f>K26*$E$23</f>
        <v>7170316075952.7305</v>
      </c>
      <c r="L29" s="1333"/>
      <c r="M29" s="341"/>
      <c r="N29" s="1332">
        <f>N26*H23</f>
        <v>277614779000</v>
      </c>
      <c r="O29" s="1100"/>
      <c r="P29" s="299"/>
      <c r="Q29" s="250"/>
      <c r="Y29" s="247"/>
      <c r="Z29" s="266"/>
      <c r="AA29" s="271"/>
      <c r="AN29" s="247"/>
      <c r="AR29" s="272"/>
      <c r="AS29" s="247"/>
      <c r="AT29" s="272"/>
      <c r="AU29" s="266"/>
      <c r="AV29" s="272"/>
      <c r="AW29" s="247"/>
      <c r="AX29" s="272"/>
      <c r="AY29" s="249"/>
      <c r="AZ29" s="272"/>
      <c r="BA29" s="249"/>
      <c r="BB29" s="272"/>
      <c r="BD29" s="249"/>
      <c r="BE29" s="247"/>
      <c r="BF29" s="273"/>
      <c r="BG29" s="272"/>
      <c r="BH29" s="274"/>
      <c r="BI29" s="272"/>
      <c r="BJ29" s="273"/>
      <c r="BK29" s="272"/>
      <c r="BP29" s="1273"/>
    </row>
    <row r="30" spans="1:68" ht="16.5" customHeight="1" thickBot="1">
      <c r="B30" s="1183" t="s">
        <v>2760</v>
      </c>
      <c r="C30" s="1257" t="s">
        <v>2694</v>
      </c>
      <c r="E30" s="246"/>
      <c r="F30" s="246"/>
      <c r="G30" s="283"/>
      <c r="H30" s="248"/>
      <c r="I30" s="248"/>
      <c r="J30" s="246"/>
      <c r="L30" s="311"/>
      <c r="M30" s="294"/>
      <c r="O30" s="250"/>
      <c r="P30" s="251"/>
      <c r="Q30" s="251"/>
      <c r="Y30" s="247"/>
      <c r="Z30" s="266"/>
      <c r="AA30" s="271"/>
      <c r="AN30" s="247"/>
      <c r="AR30" s="272"/>
      <c r="AS30" s="247"/>
      <c r="AT30" s="272"/>
      <c r="AU30" s="266"/>
      <c r="AV30" s="272"/>
      <c r="AW30" s="247"/>
      <c r="AX30" s="272"/>
      <c r="AY30" s="249"/>
      <c r="AZ30" s="272"/>
      <c r="BA30" s="249"/>
      <c r="BB30" s="272"/>
      <c r="BD30" s="249"/>
      <c r="BE30" s="247"/>
      <c r="BF30" s="273"/>
      <c r="BG30" s="272"/>
      <c r="BH30" s="274"/>
      <c r="BI30" s="272"/>
      <c r="BJ30" s="273"/>
      <c r="BK30" s="272"/>
      <c r="BP30" s="1273"/>
    </row>
    <row r="31" spans="1:68" ht="16.5" customHeight="1" thickBot="1">
      <c r="B31" s="1205" t="s">
        <v>2403</v>
      </c>
      <c r="C31" s="1201" t="s">
        <v>551</v>
      </c>
      <c r="D31" s="279" t="s">
        <v>2104</v>
      </c>
      <c r="E31" s="1082" t="s">
        <v>2106</v>
      </c>
      <c r="F31" s="343" t="s">
        <v>1943</v>
      </c>
      <c r="G31" s="283"/>
      <c r="H31" s="1183" t="s">
        <v>2760</v>
      </c>
      <c r="I31" s="246"/>
      <c r="J31" s="246"/>
      <c r="K31" s="246"/>
      <c r="L31" s="309"/>
      <c r="M31" s="246"/>
      <c r="O31" s="250"/>
      <c r="P31" s="251"/>
      <c r="Q31" s="251"/>
      <c r="Y31" s="247"/>
      <c r="Z31" s="266"/>
      <c r="AA31" s="271"/>
      <c r="AN31" s="247"/>
      <c r="AR31" s="272"/>
      <c r="AS31" s="247"/>
      <c r="AT31" s="272"/>
      <c r="AU31" s="266"/>
      <c r="AV31" s="272"/>
      <c r="AW31" s="247"/>
      <c r="AX31" s="272"/>
      <c r="AY31" s="249"/>
      <c r="AZ31" s="272"/>
      <c r="BA31" s="249"/>
      <c r="BB31" s="272"/>
      <c r="BD31" s="249"/>
      <c r="BE31" s="247"/>
      <c r="BF31" s="273"/>
      <c r="BG31" s="272"/>
      <c r="BH31" s="274"/>
      <c r="BI31" s="272"/>
      <c r="BJ31" s="273"/>
      <c r="BK31" s="272"/>
      <c r="BP31" s="1273"/>
    </row>
    <row r="32" spans="1:68" ht="16.5" customHeight="1">
      <c r="A32" s="277" t="s">
        <v>2289</v>
      </c>
      <c r="B32" s="316" t="s">
        <v>2400</v>
      </c>
      <c r="C32" s="1121">
        <f>42+(2/9)</f>
        <v>42.222222222222221</v>
      </c>
      <c r="D32" s="252">
        <v>228.23</v>
      </c>
      <c r="E32" s="1269">
        <f>1/0.7734</f>
        <v>1.2929919834497026</v>
      </c>
      <c r="F32" s="291">
        <v>31.35</v>
      </c>
      <c r="H32" s="1271" t="s">
        <v>2033</v>
      </c>
      <c r="I32" s="1272" t="s">
        <v>2034</v>
      </c>
      <c r="J32" s="339"/>
      <c r="K32" s="254"/>
      <c r="L32" s="1105" t="s">
        <v>2117</v>
      </c>
      <c r="M32" s="1084" t="s">
        <v>2140</v>
      </c>
      <c r="Q32" s="250"/>
      <c r="Y32" s="247"/>
      <c r="Z32" s="266"/>
      <c r="AA32" s="271"/>
      <c r="AN32" s="247"/>
      <c r="AR32" s="272"/>
      <c r="AS32" s="247"/>
      <c r="AT32" s="272"/>
      <c r="AU32" s="266"/>
      <c r="AV32" s="272"/>
      <c r="AW32" s="247"/>
      <c r="AX32" s="272"/>
      <c r="AY32" s="249"/>
      <c r="AZ32" s="272"/>
      <c r="BA32" s="249"/>
      <c r="BB32" s="272"/>
      <c r="BD32" s="249"/>
      <c r="BE32" s="247"/>
      <c r="BF32" s="273"/>
      <c r="BG32" s="272"/>
      <c r="BH32" s="274"/>
      <c r="BI32" s="272"/>
      <c r="BJ32" s="273"/>
      <c r="BK32" s="272"/>
      <c r="BP32" s="1273"/>
    </row>
    <row r="33" spans="1:71" ht="16.5" customHeight="1" thickBot="1">
      <c r="A33" s="333" t="s">
        <v>2319</v>
      </c>
      <c r="B33" s="1258">
        <f>3675.46*1000000000</f>
        <v>3675460000000</v>
      </c>
      <c r="C33" s="1259" t="s">
        <v>2101</v>
      </c>
      <c r="E33" s="1261" t="s">
        <v>2105</v>
      </c>
      <c r="F33" s="287"/>
      <c r="H33" s="267" t="s">
        <v>3131</v>
      </c>
      <c r="I33" s="252">
        <v>16.739999999999998</v>
      </c>
      <c r="J33" s="246" t="s">
        <v>3132</v>
      </c>
      <c r="K33" s="246" t="s">
        <v>3133</v>
      </c>
      <c r="L33" s="248">
        <f>I33</f>
        <v>16.739999999999998</v>
      </c>
      <c r="M33" s="287">
        <f>L33*(1+0.5/100)</f>
        <v>16.823699999999995</v>
      </c>
      <c r="Y33" s="247"/>
      <c r="Z33" s="266"/>
      <c r="AA33" s="271"/>
      <c r="AN33" s="247"/>
      <c r="AR33" s="272"/>
      <c r="AS33" s="247"/>
      <c r="AT33" s="272"/>
      <c r="AU33" s="266"/>
      <c r="AV33" s="272"/>
      <c r="AW33" s="247"/>
      <c r="AX33" s="272"/>
      <c r="AY33" s="249"/>
      <c r="AZ33" s="272"/>
      <c r="BA33" s="249"/>
      <c r="BB33" s="272"/>
      <c r="BD33" s="249"/>
      <c r="BE33" s="247"/>
      <c r="BF33" s="273"/>
      <c r="BG33" s="272"/>
      <c r="BH33" s="274"/>
      <c r="BI33" s="272"/>
      <c r="BJ33" s="273"/>
      <c r="BK33" s="272"/>
      <c r="BP33" s="1273"/>
    </row>
    <row r="34" spans="1:71" ht="16.5" customHeight="1" thickBot="1">
      <c r="B34" s="295"/>
      <c r="C34" s="1121">
        <v>35</v>
      </c>
      <c r="D34" s="252">
        <v>646.16999999999996</v>
      </c>
      <c r="E34" s="246"/>
      <c r="F34" s="256"/>
      <c r="H34" s="258" t="s">
        <v>3134</v>
      </c>
      <c r="I34" s="252">
        <v>17.28</v>
      </c>
      <c r="J34" s="248" t="s">
        <v>3135</v>
      </c>
      <c r="K34" s="246" t="s">
        <v>2030</v>
      </c>
      <c r="L34" s="248">
        <f>I34</f>
        <v>17.28</v>
      </c>
      <c r="M34" s="287">
        <f>L34*(1+0.3/100)</f>
        <v>17.33184</v>
      </c>
      <c r="N34" s="1093"/>
      <c r="O34" s="1183" t="s">
        <v>2760</v>
      </c>
      <c r="P34" s="255"/>
      <c r="Y34" s="247"/>
      <c r="Z34" s="266"/>
      <c r="AA34" s="271"/>
      <c r="AN34" s="247"/>
      <c r="AR34" s="272"/>
      <c r="AS34" s="247"/>
      <c r="AT34" s="272"/>
      <c r="AU34" s="266"/>
      <c r="AV34" s="272"/>
      <c r="AW34" s="247"/>
      <c r="AX34" s="272"/>
      <c r="AY34" s="249"/>
      <c r="AZ34" s="272"/>
      <c r="BA34" s="249"/>
      <c r="BB34" s="272"/>
      <c r="BD34" s="249"/>
      <c r="BE34" s="247"/>
      <c r="BF34" s="273"/>
      <c r="BG34" s="272"/>
      <c r="BH34" s="274"/>
      <c r="BI34" s="272"/>
      <c r="BJ34" s="273"/>
      <c r="BK34" s="272"/>
      <c r="BP34" s="1273"/>
    </row>
    <row r="35" spans="1:71" ht="16.5" customHeight="1" thickBot="1">
      <c r="A35" s="277" t="s">
        <v>1673</v>
      </c>
      <c r="B35" s="290">
        <f>(B33/D42)</f>
        <v>14055.354081137866</v>
      </c>
      <c r="C35" s="1260" t="s">
        <v>2102</v>
      </c>
      <c r="E35" s="1183" t="s">
        <v>2760</v>
      </c>
      <c r="F35" s="256"/>
      <c r="H35" s="258" t="s">
        <v>3136</v>
      </c>
      <c r="I35" s="252">
        <v>117.09</v>
      </c>
      <c r="J35" s="248" t="s">
        <v>3137</v>
      </c>
      <c r="K35" s="246" t="s">
        <v>3138</v>
      </c>
      <c r="L35" s="248">
        <f>I35*10</f>
        <v>1170.9000000000001</v>
      </c>
      <c r="M35" s="287">
        <f>L35*(1+0.4/100)</f>
        <v>1175.5836000000002</v>
      </c>
      <c r="N35" s="1093"/>
      <c r="O35" s="332" t="s">
        <v>2054</v>
      </c>
      <c r="P35" s="256"/>
      <c r="Y35" s="247"/>
      <c r="Z35" s="266"/>
      <c r="AA35" s="271"/>
      <c r="AN35" s="247"/>
      <c r="AR35" s="272"/>
      <c r="AS35" s="247"/>
      <c r="AT35" s="272"/>
      <c r="AU35" s="266"/>
      <c r="AV35" s="272"/>
      <c r="AW35" s="247"/>
      <c r="AX35" s="272"/>
      <c r="AY35" s="249"/>
      <c r="AZ35" s="272"/>
      <c r="BA35" s="249"/>
      <c r="BB35" s="272"/>
      <c r="BD35" s="249"/>
      <c r="BE35" s="247"/>
      <c r="BF35" s="273"/>
      <c r="BG35" s="272"/>
      <c r="BH35" s="274"/>
      <c r="BI35" s="272"/>
      <c r="BJ35" s="273"/>
      <c r="BK35" s="272"/>
      <c r="BP35" s="1273"/>
    </row>
    <row r="36" spans="1:71" ht="16.5" customHeight="1" thickBot="1">
      <c r="B36" s="1086"/>
      <c r="C36" s="1121">
        <v>20.67</v>
      </c>
      <c r="D36" s="252">
        <v>501.11</v>
      </c>
      <c r="E36" s="246"/>
      <c r="F36" s="256"/>
      <c r="H36" s="267" t="s">
        <v>3139</v>
      </c>
      <c r="I36" s="252">
        <v>11.84</v>
      </c>
      <c r="J36" s="246" t="s">
        <v>3140</v>
      </c>
      <c r="K36" s="246" t="s">
        <v>3141</v>
      </c>
      <c r="L36" s="248">
        <f>I36*100</f>
        <v>1184</v>
      </c>
      <c r="M36" s="287">
        <f>L36*(1+0.25/100)</f>
        <v>1186.96</v>
      </c>
      <c r="N36" s="1093"/>
      <c r="O36" s="296" t="s">
        <v>2050</v>
      </c>
      <c r="P36" s="1080">
        <f>I39</f>
        <v>20056.95</v>
      </c>
      <c r="Q36" s="247">
        <f>P36/C2</f>
        <v>16.311768054651921</v>
      </c>
      <c r="U36" s="246"/>
      <c r="Y36" s="247"/>
      <c r="Z36" s="266"/>
      <c r="AA36" s="271"/>
      <c r="AN36" s="247"/>
      <c r="AR36" s="272"/>
      <c r="AS36" s="247"/>
      <c r="AT36" s="272"/>
      <c r="AU36" s="266"/>
      <c r="AV36" s="272"/>
      <c r="AW36" s="247"/>
      <c r="AX36" s="272"/>
      <c r="AY36" s="249"/>
      <c r="AZ36" s="272"/>
      <c r="BA36" s="249"/>
      <c r="BB36" s="272"/>
      <c r="BD36" s="249"/>
      <c r="BE36" s="247"/>
      <c r="BF36" s="273"/>
      <c r="BG36" s="272"/>
      <c r="BH36" s="274"/>
      <c r="BI36" s="272"/>
      <c r="BJ36" s="273"/>
      <c r="BK36" s="272"/>
      <c r="BP36" s="1273"/>
    </row>
    <row r="37" spans="1:71" ht="16.5" customHeight="1" thickBot="1">
      <c r="C37" s="1260" t="s">
        <v>2103</v>
      </c>
      <c r="E37" s="246"/>
      <c r="F37" s="256" t="s">
        <v>2048</v>
      </c>
      <c r="H37" s="267" t="s">
        <v>3142</v>
      </c>
      <c r="I37" s="252">
        <v>119.4</v>
      </c>
      <c r="J37" s="246" t="s">
        <v>3143</v>
      </c>
      <c r="K37" s="246" t="s">
        <v>2031</v>
      </c>
      <c r="L37" s="248">
        <f>I37*10</f>
        <v>1194</v>
      </c>
      <c r="M37" s="287">
        <f>L37*(1+0.25/100)</f>
        <v>1196.9849999999999</v>
      </c>
      <c r="N37" s="1093"/>
      <c r="O37" s="257" t="s">
        <v>2051</v>
      </c>
      <c r="P37" s="301">
        <v>5.9</v>
      </c>
      <c r="U37" s="246"/>
      <c r="Y37" s="247"/>
      <c r="Z37" s="247"/>
      <c r="AC37" s="266"/>
      <c r="AD37" s="271"/>
      <c r="AN37" s="247"/>
      <c r="AO37" s="247"/>
      <c r="AP37" s="247"/>
      <c r="AQ37" s="247"/>
      <c r="AR37" s="272"/>
      <c r="AT37" s="272"/>
      <c r="AX37" s="266"/>
      <c r="AZ37" s="247"/>
      <c r="BC37" s="272"/>
      <c r="BD37" s="249"/>
      <c r="BE37" s="272"/>
      <c r="BF37" s="249"/>
      <c r="BG37" s="249"/>
      <c r="BH37" s="247"/>
      <c r="BK37" s="274"/>
      <c r="BL37" s="272"/>
      <c r="BM37" s="273"/>
      <c r="BN37" s="272"/>
      <c r="BP37" s="1273"/>
      <c r="BQ37" s="1273"/>
      <c r="BR37" s="1273"/>
      <c r="BS37" s="1273"/>
    </row>
    <row r="38" spans="1:71" ht="16.5" customHeight="1" thickBot="1">
      <c r="B38" s="1183" t="s">
        <v>2760</v>
      </c>
      <c r="C38" s="1204" t="s">
        <v>2520</v>
      </c>
      <c r="D38" s="284"/>
      <c r="E38" s="282" t="s">
        <v>2038</v>
      </c>
      <c r="F38" s="1234" t="s">
        <v>2358</v>
      </c>
      <c r="G38" s="288"/>
      <c r="H38" s="267" t="s">
        <v>3144</v>
      </c>
      <c r="I38" s="252">
        <v>12.15</v>
      </c>
      <c r="J38" s="246" t="s">
        <v>3145</v>
      </c>
      <c r="K38" s="246" t="s">
        <v>2032</v>
      </c>
      <c r="L38" s="248">
        <f>I38*100</f>
        <v>1215</v>
      </c>
      <c r="M38" s="287">
        <f>L38*(1+0.4/100)</f>
        <v>1219.8599999999999</v>
      </c>
      <c r="N38" s="1093"/>
      <c r="O38" s="292" t="s">
        <v>1931</v>
      </c>
      <c r="P38" s="293">
        <f>P36/P37</f>
        <v>3399.4830508474574</v>
      </c>
      <c r="U38" s="246"/>
      <c r="Y38" s="247"/>
      <c r="Z38" s="247"/>
      <c r="AC38" s="266"/>
      <c r="AD38" s="271"/>
      <c r="AN38" s="247"/>
      <c r="AO38" s="247"/>
      <c r="AP38" s="247"/>
      <c r="AQ38" s="247"/>
      <c r="AR38" s="272"/>
      <c r="AT38" s="272"/>
      <c r="AX38" s="266"/>
      <c r="AZ38" s="247"/>
      <c r="BC38" s="272"/>
      <c r="BD38" s="249"/>
      <c r="BE38" s="272"/>
      <c r="BF38" s="249"/>
      <c r="BG38" s="249"/>
      <c r="BH38" s="247"/>
      <c r="BK38" s="274"/>
      <c r="BL38" s="272"/>
      <c r="BM38" s="273"/>
      <c r="BN38" s="272"/>
      <c r="BP38" s="1273"/>
      <c r="BQ38" s="1273"/>
      <c r="BR38" s="1273"/>
      <c r="BS38" s="1273"/>
    </row>
    <row r="39" spans="1:71" ht="16.5" customHeight="1" thickBot="1">
      <c r="B39" s="1101" t="s">
        <v>2207</v>
      </c>
      <c r="C39" s="336">
        <v>2103.7399999999998</v>
      </c>
      <c r="D39" s="1083" t="s">
        <v>2666</v>
      </c>
      <c r="E39" s="879">
        <v>109.47</v>
      </c>
      <c r="F39" s="1235" t="s">
        <v>2359</v>
      </c>
      <c r="G39" s="1140" t="s">
        <v>2165</v>
      </c>
      <c r="H39" s="267" t="s">
        <v>3146</v>
      </c>
      <c r="I39" s="252">
        <v>20056.95</v>
      </c>
      <c r="J39" s="246" t="s">
        <v>3147</v>
      </c>
      <c r="K39" s="246" t="s">
        <v>2157</v>
      </c>
      <c r="L39" s="248"/>
      <c r="M39" s="287"/>
      <c r="N39" s="1093"/>
      <c r="O39" s="296"/>
      <c r="P39" s="1080"/>
      <c r="U39" s="246"/>
      <c r="Y39" s="247"/>
      <c r="Z39" s="247"/>
      <c r="AC39" s="266"/>
      <c r="AD39" s="271"/>
      <c r="AN39" s="247"/>
      <c r="AO39" s="247"/>
      <c r="AP39" s="247"/>
      <c r="AQ39" s="247"/>
      <c r="AR39" s="272"/>
      <c r="AT39" s="272"/>
      <c r="AX39" s="266"/>
      <c r="AZ39" s="247"/>
      <c r="BC39" s="272"/>
      <c r="BD39" s="249"/>
      <c r="BE39" s="272"/>
      <c r="BF39" s="249"/>
      <c r="BG39" s="249"/>
      <c r="BH39" s="247"/>
      <c r="BK39" s="274"/>
      <c r="BL39" s="272"/>
      <c r="BM39" s="273"/>
      <c r="BN39" s="272"/>
      <c r="BP39" s="1273"/>
      <c r="BQ39" s="1273"/>
      <c r="BR39" s="1273"/>
      <c r="BS39" s="1273"/>
    </row>
    <row r="40" spans="1:71" ht="16.5" customHeight="1" thickBot="1">
      <c r="A40" s="333" t="s">
        <v>2308</v>
      </c>
      <c r="B40" s="1151">
        <f>19972*1000000000</f>
        <v>19972000000000</v>
      </c>
      <c r="C40" s="1250" t="s">
        <v>2390</v>
      </c>
      <c r="D40" s="246"/>
      <c r="E40" s="246"/>
      <c r="F40" s="256"/>
      <c r="G40" s="1140" t="s">
        <v>2187</v>
      </c>
      <c r="H40" s="267" t="s">
        <v>3148</v>
      </c>
      <c r="I40" s="252">
        <v>42292.85</v>
      </c>
      <c r="J40" s="246" t="s">
        <v>3149</v>
      </c>
      <c r="K40" s="246" t="s">
        <v>2157</v>
      </c>
      <c r="L40" s="246"/>
      <c r="M40" s="256"/>
      <c r="O40" s="296" t="s">
        <v>2050</v>
      </c>
      <c r="P40" s="1080">
        <f>P36</f>
        <v>20056.95</v>
      </c>
      <c r="U40" s="246"/>
      <c r="Y40" s="247"/>
      <c r="Z40" s="247"/>
      <c r="AC40" s="266"/>
      <c r="AD40" s="271"/>
      <c r="AN40" s="247"/>
      <c r="AO40" s="247"/>
      <c r="AP40" s="247"/>
      <c r="AQ40" s="247"/>
      <c r="AR40" s="272"/>
      <c r="AT40" s="272"/>
      <c r="AX40" s="266"/>
      <c r="AZ40" s="247"/>
      <c r="BC40" s="272"/>
      <c r="BD40" s="249"/>
      <c r="BE40" s="272"/>
      <c r="BF40" s="249"/>
      <c r="BG40" s="249"/>
      <c r="BH40" s="247"/>
      <c r="BK40" s="274"/>
      <c r="BL40" s="272"/>
      <c r="BM40" s="273"/>
      <c r="BN40" s="272"/>
      <c r="BP40" s="1273"/>
      <c r="BQ40" s="1273"/>
      <c r="BR40" s="1273"/>
      <c r="BS40" s="1273"/>
    </row>
    <row r="41" spans="1:71" ht="16.5" customHeight="1">
      <c r="B41" s="1152"/>
      <c r="C41" s="1150" t="s">
        <v>1443</v>
      </c>
      <c r="D41" s="1006">
        <f>1500.337*1000000000</f>
        <v>1500337000000</v>
      </c>
      <c r="E41" s="1183" t="s">
        <v>2760</v>
      </c>
      <c r="F41" s="287" t="s">
        <v>2016</v>
      </c>
      <c r="G41" s="1140" t="s">
        <v>1415</v>
      </c>
      <c r="H41" s="1074">
        <f>I40/I39-1</f>
        <v>1.1086381528597316</v>
      </c>
      <c r="I41" s="246"/>
      <c r="J41" s="246"/>
      <c r="K41" s="246"/>
      <c r="L41" s="309"/>
      <c r="M41" s="256"/>
      <c r="O41" s="257" t="s">
        <v>2053</v>
      </c>
      <c r="P41" s="301">
        <v>400</v>
      </c>
      <c r="U41" s="246"/>
      <c r="Y41" s="247"/>
      <c r="Z41" s="247"/>
      <c r="AC41" s="266"/>
      <c r="AD41" s="271"/>
      <c r="AN41" s="247"/>
      <c r="AO41" s="247"/>
      <c r="AP41" s="247"/>
      <c r="AQ41" s="247"/>
      <c r="AR41" s="272"/>
      <c r="AT41" s="272"/>
      <c r="AX41" s="266"/>
      <c r="AZ41" s="247"/>
      <c r="BC41" s="272"/>
      <c r="BD41" s="249"/>
      <c r="BE41" s="272"/>
      <c r="BF41" s="249"/>
      <c r="BG41" s="249"/>
      <c r="BH41" s="247"/>
      <c r="BK41" s="274"/>
      <c r="BL41" s="272"/>
      <c r="BM41" s="273"/>
      <c r="BN41" s="272"/>
      <c r="BP41" s="1273"/>
      <c r="BQ41" s="1273"/>
      <c r="BR41" s="1273"/>
      <c r="BS41" s="1273"/>
    </row>
    <row r="42" spans="1:71" ht="16.5" customHeight="1" thickBot="1">
      <c r="B42" s="1152" t="s">
        <v>2208</v>
      </c>
      <c r="C42" s="345" t="s">
        <v>550</v>
      </c>
      <c r="D42" s="318">
        <v>261498926.22999999</v>
      </c>
      <c r="E42" s="846" t="s">
        <v>2045</v>
      </c>
      <c r="F42" s="287" t="s">
        <v>2047</v>
      </c>
      <c r="G42" s="1388">
        <f>I40/I39</f>
        <v>2.1086381528597316</v>
      </c>
      <c r="H42" s="257"/>
      <c r="I42" s="248" t="s">
        <v>472</v>
      </c>
      <c r="J42" s="246" t="s">
        <v>474</v>
      </c>
      <c r="K42" s="246"/>
      <c r="L42" s="248"/>
      <c r="M42" s="256"/>
      <c r="O42" s="292" t="s">
        <v>1932</v>
      </c>
      <c r="P42" s="293">
        <f>P40/P41</f>
        <v>50.142375000000001</v>
      </c>
      <c r="U42" s="246"/>
      <c r="V42" s="250"/>
      <c r="Y42" s="247"/>
      <c r="Z42" s="247"/>
      <c r="AC42" s="266"/>
      <c r="AD42" s="271"/>
      <c r="AN42" s="247"/>
      <c r="AO42" s="247"/>
      <c r="AP42" s="247"/>
      <c r="AQ42" s="247"/>
      <c r="AR42" s="272"/>
      <c r="AT42" s="272"/>
      <c r="AX42" s="266"/>
      <c r="AZ42" s="247"/>
      <c r="BC42" s="272"/>
      <c r="BD42" s="249"/>
      <c r="BE42" s="272"/>
      <c r="BF42" s="249"/>
      <c r="BG42" s="249"/>
      <c r="BH42" s="247"/>
      <c r="BK42" s="274"/>
      <c r="BL42" s="272"/>
      <c r="BM42" s="273"/>
      <c r="BN42" s="272"/>
      <c r="BP42" s="1273"/>
      <c r="BQ42" s="1273"/>
      <c r="BR42" s="1273"/>
      <c r="BS42" s="1273"/>
    </row>
    <row r="43" spans="1:71" ht="16.5" customHeight="1">
      <c r="B43" s="1153">
        <f>D42*C2</f>
        <v>321539079692.40796</v>
      </c>
      <c r="C43" s="342" t="s">
        <v>549</v>
      </c>
      <c r="D43" s="248">
        <f>D41/D42</f>
        <v>5737.4499453217122</v>
      </c>
      <c r="E43" s="1233" t="s">
        <v>2357</v>
      </c>
      <c r="F43" s="256"/>
      <c r="H43" s="257" t="s">
        <v>1674</v>
      </c>
      <c r="I43" s="248">
        <f>AVERAGE(M33:M34)</f>
        <v>17.077769999999997</v>
      </c>
      <c r="J43" s="248">
        <f>MEDIAN(M33:M34)</f>
        <v>17.077769999999997</v>
      </c>
      <c r="K43" s="246"/>
      <c r="L43" s="246"/>
      <c r="M43" s="256"/>
      <c r="U43" s="246"/>
      <c r="Y43" s="247"/>
      <c r="Z43" s="247"/>
      <c r="AC43" s="266"/>
      <c r="AD43" s="271"/>
      <c r="AN43" s="247"/>
      <c r="AO43" s="247"/>
      <c r="AP43" s="247"/>
      <c r="AQ43" s="247"/>
      <c r="AR43" s="272"/>
      <c r="AT43" s="272"/>
      <c r="AX43" s="266"/>
      <c r="AZ43" s="247"/>
      <c r="BC43" s="272"/>
      <c r="BD43" s="249"/>
      <c r="BE43" s="272"/>
      <c r="BF43" s="249"/>
      <c r="BG43" s="249"/>
      <c r="BH43" s="247"/>
      <c r="BK43" s="274"/>
      <c r="BL43" s="272"/>
      <c r="BM43" s="273"/>
      <c r="BN43" s="272"/>
      <c r="BP43" s="1273"/>
      <c r="BQ43" s="1273"/>
      <c r="BR43" s="1273"/>
      <c r="BS43" s="1273"/>
    </row>
    <row r="44" spans="1:71" ht="16.5" customHeight="1" thickBot="1">
      <c r="B44" s="1152"/>
      <c r="E44" s="248"/>
      <c r="F44" s="256"/>
      <c r="H44" s="292" t="s">
        <v>1673</v>
      </c>
      <c r="I44" s="268">
        <f>AVERAGE(M35:M38)</f>
        <v>1194.8471499999998</v>
      </c>
      <c r="J44" s="268">
        <f>MEDIAN(M35:M38)</f>
        <v>1191.9724999999999</v>
      </c>
      <c r="K44" s="264"/>
      <c r="L44" s="264"/>
      <c r="M44" s="265"/>
      <c r="U44" s="246"/>
      <c r="X44" s="250"/>
      <c r="Y44" s="250"/>
      <c r="Z44" s="247"/>
      <c r="AC44" s="266"/>
      <c r="AD44" s="271"/>
      <c r="AN44" s="247"/>
      <c r="AO44" s="247"/>
      <c r="AP44" s="247"/>
      <c r="AQ44" s="247"/>
      <c r="AR44" s="272"/>
      <c r="AT44" s="272"/>
      <c r="AX44" s="266"/>
      <c r="AZ44" s="247"/>
      <c r="BC44" s="272"/>
      <c r="BD44" s="249"/>
      <c r="BE44" s="272"/>
      <c r="BF44" s="249"/>
      <c r="BG44" s="249"/>
      <c r="BH44" s="247"/>
      <c r="BK44" s="274"/>
      <c r="BL44" s="272"/>
      <c r="BM44" s="273"/>
      <c r="BN44" s="272"/>
      <c r="BP44" s="1273"/>
      <c r="BQ44" s="1273"/>
      <c r="BR44" s="1273"/>
      <c r="BS44" s="1273"/>
    </row>
    <row r="45" spans="1:71" ht="16.5" customHeight="1" thickBot="1">
      <c r="B45" s="295">
        <f>B40/B43</f>
        <v>62.113756185113473</v>
      </c>
      <c r="C45" s="501" t="s">
        <v>1884</v>
      </c>
      <c r="D45" s="254"/>
      <c r="E45" s="254"/>
      <c r="F45" s="255"/>
      <c r="U45" s="246"/>
      <c r="W45" s="250"/>
      <c r="X45" s="250"/>
      <c r="Y45" s="250"/>
      <c r="Z45" s="247"/>
      <c r="AC45" s="266"/>
      <c r="AD45" s="271"/>
      <c r="AN45" s="247"/>
      <c r="AO45" s="247"/>
      <c r="AP45" s="247"/>
      <c r="AQ45" s="247"/>
      <c r="AR45" s="272"/>
      <c r="AT45" s="272"/>
      <c r="AX45" s="266"/>
      <c r="AZ45" s="247"/>
      <c r="BC45" s="272"/>
      <c r="BD45" s="249"/>
      <c r="BE45" s="272"/>
      <c r="BF45" s="249"/>
      <c r="BG45" s="249"/>
      <c r="BH45" s="247"/>
      <c r="BK45" s="274"/>
      <c r="BL45" s="272"/>
      <c r="BM45" s="273"/>
      <c r="BN45" s="272"/>
      <c r="BP45" s="1273"/>
      <c r="BQ45" s="1273"/>
      <c r="BR45" s="1273"/>
      <c r="BS45" s="1273"/>
    </row>
    <row r="46" spans="1:71" ht="16.5" customHeight="1" thickBot="1">
      <c r="B46" s="295"/>
      <c r="C46" s="617" t="s">
        <v>1790</v>
      </c>
      <c r="D46" s="1006">
        <f>73.892*10^12</f>
        <v>73892000000000</v>
      </c>
      <c r="E46" s="1183" t="s">
        <v>2735</v>
      </c>
      <c r="F46" s="1238" t="s">
        <v>2371</v>
      </c>
      <c r="H46" s="250"/>
      <c r="I46" s="310"/>
      <c r="J46" s="310"/>
      <c r="K46" s="727" t="s">
        <v>2045</v>
      </c>
      <c r="L46" s="247"/>
      <c r="N46" s="296" t="s">
        <v>2248</v>
      </c>
      <c r="O46" s="1337" t="s">
        <v>2322</v>
      </c>
      <c r="P46" s="255"/>
      <c r="R46" s="1357" t="s">
        <v>2653</v>
      </c>
      <c r="S46" s="1080"/>
      <c r="U46" s="246"/>
      <c r="W46" s="250"/>
      <c r="X46" s="250"/>
      <c r="Y46" s="250"/>
      <c r="Z46" s="247"/>
      <c r="AC46" s="266"/>
      <c r="AD46" s="271"/>
      <c r="AN46" s="247"/>
      <c r="AO46" s="247"/>
      <c r="AP46" s="247"/>
      <c r="AQ46" s="247"/>
      <c r="AR46" s="272"/>
      <c r="AT46" s="272"/>
      <c r="AX46" s="266"/>
      <c r="AZ46" s="247"/>
      <c r="BC46" s="272"/>
      <c r="BD46" s="249"/>
      <c r="BE46" s="272"/>
      <c r="BF46" s="249"/>
      <c r="BG46" s="249"/>
      <c r="BH46" s="247"/>
      <c r="BK46" s="274"/>
      <c r="BL46" s="272"/>
      <c r="BM46" s="273"/>
      <c r="BN46" s="272"/>
      <c r="BP46" s="1273"/>
      <c r="BQ46" s="1273"/>
      <c r="BR46" s="1273"/>
      <c r="BS46" s="1273"/>
    </row>
    <row r="47" spans="1:71" ht="16.5" customHeight="1" thickBot="1">
      <c r="B47" s="295" t="s">
        <v>2634</v>
      </c>
      <c r="C47" s="290" t="s">
        <v>1791</v>
      </c>
      <c r="D47" s="1007">
        <f>171300*32150.7</f>
        <v>5507414910</v>
      </c>
      <c r="E47" s="846" t="s">
        <v>2045</v>
      </c>
      <c r="F47" s="286" t="s">
        <v>1792</v>
      </c>
      <c r="H47" s="1069" t="s">
        <v>2761</v>
      </c>
      <c r="I47" s="255"/>
      <c r="J47" s="246"/>
      <c r="K47" s="328" t="s">
        <v>2046</v>
      </c>
      <c r="L47" s="248"/>
      <c r="N47" s="1183" t="s">
        <v>2760</v>
      </c>
      <c r="O47" s="246"/>
      <c r="P47" s="256"/>
      <c r="R47" s="1355" t="s">
        <v>2652</v>
      </c>
      <c r="S47" s="319"/>
      <c r="U47" s="246"/>
      <c r="W47" s="250"/>
      <c r="X47" s="251"/>
      <c r="Y47" s="251"/>
      <c r="Z47" s="247"/>
      <c r="AC47" s="266"/>
      <c r="AD47" s="271"/>
      <c r="AN47" s="247"/>
      <c r="AO47" s="247"/>
      <c r="AP47" s="247"/>
      <c r="AQ47" s="247"/>
      <c r="AR47" s="272"/>
      <c r="AT47" s="272"/>
      <c r="AX47" s="266"/>
      <c r="AZ47" s="247"/>
      <c r="BC47" s="272"/>
      <c r="BD47" s="249"/>
      <c r="BE47" s="272"/>
      <c r="BF47" s="249"/>
      <c r="BG47" s="249"/>
      <c r="BH47" s="247"/>
      <c r="BK47" s="274"/>
      <c r="BL47" s="272"/>
      <c r="BM47" s="273"/>
      <c r="BN47" s="272"/>
      <c r="BP47" s="1273"/>
      <c r="BQ47" s="1273"/>
      <c r="BR47" s="1273"/>
      <c r="BS47" s="1273"/>
    </row>
    <row r="48" spans="1:71" ht="16.5" customHeight="1">
      <c r="B48" s="300">
        <v>5.5</v>
      </c>
      <c r="C48" s="257" t="s">
        <v>549</v>
      </c>
      <c r="D48" s="248">
        <f>D46/D47</f>
        <v>13416.820996332015</v>
      </c>
      <c r="E48" s="246"/>
      <c r="F48" s="256"/>
      <c r="H48" s="718">
        <v>1.25</v>
      </c>
      <c r="I48" s="256" t="s">
        <v>2026</v>
      </c>
      <c r="J48" s="246"/>
      <c r="K48" s="296" t="s">
        <v>1933</v>
      </c>
      <c r="L48" s="1197">
        <f>171300*32150.7</f>
        <v>5507414910</v>
      </c>
      <c r="N48" s="1075" t="s">
        <v>2085</v>
      </c>
      <c r="O48" s="342"/>
      <c r="P48" s="256"/>
      <c r="R48" s="1356" t="s">
        <v>2648</v>
      </c>
      <c r="S48" s="256" t="s">
        <v>2659</v>
      </c>
      <c r="U48" s="246"/>
      <c r="W48" s="250"/>
      <c r="X48" s="251"/>
      <c r="Y48" s="251"/>
      <c r="Z48" s="247"/>
      <c r="AC48" s="266"/>
      <c r="AD48" s="271"/>
      <c r="AN48" s="247"/>
      <c r="AO48" s="247"/>
      <c r="AP48" s="247"/>
      <c r="AQ48" s="247"/>
      <c r="AR48" s="272"/>
      <c r="AT48" s="272"/>
      <c r="AX48" s="266"/>
      <c r="AZ48" s="247"/>
      <c r="BC48" s="272"/>
      <c r="BD48" s="249"/>
      <c r="BE48" s="272"/>
      <c r="BF48" s="249"/>
      <c r="BG48" s="249"/>
      <c r="BH48" s="247"/>
      <c r="BK48" s="274"/>
      <c r="BL48" s="272"/>
      <c r="BM48" s="273"/>
      <c r="BN48" s="272"/>
      <c r="BP48" s="1273"/>
      <c r="BQ48" s="1273"/>
      <c r="BR48" s="1273"/>
      <c r="BS48" s="1273"/>
    </row>
    <row r="49" spans="1:71" ht="16.5" customHeight="1">
      <c r="B49" s="295"/>
      <c r="C49" s="1266"/>
      <c r="D49" s="248"/>
      <c r="E49" s="317"/>
      <c r="F49" s="286"/>
      <c r="H49" s="618"/>
      <c r="I49" s="256"/>
      <c r="J49" s="246"/>
      <c r="K49" s="257" t="s">
        <v>1934</v>
      </c>
      <c r="L49" s="1198">
        <f>1.411*1000000*32150.7</f>
        <v>45364637700</v>
      </c>
      <c r="N49" s="322" t="s">
        <v>2086</v>
      </c>
      <c r="O49" s="252">
        <v>53.16</v>
      </c>
      <c r="P49" s="1341" t="s">
        <v>2155</v>
      </c>
      <c r="R49" s="718">
        <f>S49</f>
        <v>14.98</v>
      </c>
      <c r="S49" s="291">
        <v>14.98</v>
      </c>
      <c r="U49" s="246"/>
      <c r="W49" s="251"/>
      <c r="X49" s="251"/>
      <c r="Y49" s="251"/>
      <c r="Z49" s="247"/>
      <c r="AC49" s="266"/>
      <c r="AD49" s="271"/>
      <c r="AN49" s="247"/>
      <c r="AO49" s="247"/>
      <c r="AP49" s="247"/>
      <c r="AQ49" s="247"/>
      <c r="AR49" s="272"/>
      <c r="AT49" s="272"/>
      <c r="AX49" s="266"/>
      <c r="AZ49" s="247"/>
      <c r="BC49" s="272"/>
      <c r="BD49" s="249"/>
      <c r="BE49" s="272"/>
      <c r="BF49" s="249"/>
      <c r="BG49" s="249"/>
      <c r="BH49" s="247"/>
      <c r="BK49" s="274"/>
      <c r="BL49" s="272"/>
      <c r="BM49" s="273"/>
      <c r="BN49" s="272"/>
      <c r="BP49" s="1273"/>
      <c r="BQ49" s="1273"/>
      <c r="BR49" s="1273"/>
      <c r="BS49" s="1273"/>
    </row>
    <row r="50" spans="1:71" ht="16.5" customHeight="1">
      <c r="B50" s="295" t="s">
        <v>2210</v>
      </c>
      <c r="C50" s="290" t="s">
        <v>1887</v>
      </c>
      <c r="D50" s="1007">
        <f>1.411*1000000*32150.7</f>
        <v>45364637700</v>
      </c>
      <c r="E50" s="1076" t="s">
        <v>2045</v>
      </c>
      <c r="F50" s="256"/>
      <c r="H50" s="718" t="s">
        <v>2022</v>
      </c>
      <c r="I50" s="532" t="s">
        <v>2025</v>
      </c>
      <c r="J50" s="250"/>
      <c r="K50" s="257" t="s">
        <v>1930</v>
      </c>
      <c r="L50" s="256">
        <f>L49/L48</f>
        <v>8.2370110916520716</v>
      </c>
      <c r="N50" s="257" t="s">
        <v>2087</v>
      </c>
      <c r="O50" s="252">
        <v>55.92</v>
      </c>
      <c r="P50" s="263">
        <f>O50/O49-1</f>
        <v>5.1918735891647971E-2</v>
      </c>
      <c r="R50" s="257"/>
      <c r="S50" s="256"/>
      <c r="T50" s="299"/>
      <c r="W50" s="251"/>
      <c r="X50" s="251"/>
      <c r="Y50" s="251"/>
      <c r="Z50" s="247"/>
      <c r="AC50" s="266"/>
      <c r="AD50" s="271"/>
      <c r="AN50" s="247"/>
      <c r="AO50" s="247"/>
      <c r="AP50" s="247"/>
      <c r="AQ50" s="247"/>
      <c r="AR50" s="272"/>
      <c r="AT50" s="272"/>
      <c r="AX50" s="266"/>
      <c r="AZ50" s="247"/>
      <c r="BC50" s="272"/>
      <c r="BD50" s="249"/>
      <c r="BE50" s="272"/>
      <c r="BF50" s="249"/>
      <c r="BG50" s="249"/>
      <c r="BH50" s="247"/>
      <c r="BK50" s="274"/>
      <c r="BL50" s="272"/>
      <c r="BM50" s="273"/>
      <c r="BN50" s="272"/>
      <c r="BP50" s="1273"/>
      <c r="BQ50" s="1273"/>
      <c r="BR50" s="1273"/>
      <c r="BS50" s="1273"/>
    </row>
    <row r="51" spans="1:71" ht="16.5" customHeight="1" thickBot="1">
      <c r="B51" s="320">
        <f>(B40/B48)/D42</f>
        <v>13886.377200948276</v>
      </c>
      <c r="C51" s="257" t="s">
        <v>549</v>
      </c>
      <c r="D51" s="248">
        <f>D46/D50</f>
        <v>1628.8458091223772</v>
      </c>
      <c r="E51" s="246"/>
      <c r="F51" s="256"/>
      <c r="H51" s="258">
        <v>15</v>
      </c>
      <c r="I51" s="286" t="s">
        <v>2027</v>
      </c>
      <c r="J51" s="303"/>
      <c r="K51" s="257" t="s">
        <v>1931</v>
      </c>
      <c r="L51" s="287">
        <f>C3*L50</f>
        <v>145.30087565674253</v>
      </c>
      <c r="N51" s="257"/>
      <c r="O51" s="342"/>
      <c r="P51" s="256"/>
      <c r="R51" s="322" t="s">
        <v>2654</v>
      </c>
      <c r="S51" s="256" t="s">
        <v>2658</v>
      </c>
      <c r="T51" s="251"/>
      <c r="W51" s="251"/>
      <c r="X51" s="251"/>
      <c r="Y51" s="251"/>
      <c r="Z51" s="247"/>
      <c r="AC51" s="266"/>
      <c r="AD51" s="271"/>
      <c r="AN51" s="247"/>
      <c r="AO51" s="247"/>
      <c r="AP51" s="247"/>
      <c r="AQ51" s="247"/>
      <c r="AR51" s="272"/>
      <c r="AT51" s="272"/>
      <c r="AX51" s="266"/>
      <c r="AZ51" s="247"/>
      <c r="BC51" s="272"/>
      <c r="BD51" s="249"/>
      <c r="BE51" s="272"/>
      <c r="BF51" s="249"/>
      <c r="BG51" s="249"/>
      <c r="BH51" s="247"/>
      <c r="BK51" s="274"/>
      <c r="BL51" s="272"/>
      <c r="BM51" s="273"/>
      <c r="BN51" s="272"/>
      <c r="BP51" s="1273"/>
      <c r="BQ51" s="1273"/>
      <c r="BR51" s="1273"/>
      <c r="BS51" s="1273"/>
    </row>
    <row r="52" spans="1:71" ht="16.5" customHeight="1" thickBot="1">
      <c r="C52" s="1266"/>
      <c r="D52" s="246"/>
      <c r="E52" s="246"/>
      <c r="F52" s="1364"/>
      <c r="H52" s="718" t="s">
        <v>2268</v>
      </c>
      <c r="I52" s="287">
        <f>5*6.25*G3*C3*0.9</f>
        <v>15.950766037500003</v>
      </c>
      <c r="J52" s="248"/>
      <c r="K52" s="292" t="s">
        <v>1932</v>
      </c>
      <c r="L52" s="293">
        <f>C2/L50</f>
        <v>149.27744861800142</v>
      </c>
      <c r="N52" s="281"/>
      <c r="O52" s="246" t="s">
        <v>2619</v>
      </c>
      <c r="P52" s="327" t="s">
        <v>2620</v>
      </c>
      <c r="R52" s="267">
        <v>8</v>
      </c>
      <c r="S52" s="287">
        <f>R49*R52</f>
        <v>119.84</v>
      </c>
      <c r="T52" s="299"/>
      <c r="W52" s="251"/>
      <c r="X52" s="251"/>
      <c r="Y52" s="251"/>
      <c r="Z52" s="247"/>
      <c r="AC52" s="266"/>
      <c r="AD52" s="271"/>
      <c r="AN52" s="247"/>
      <c r="AO52" s="247"/>
      <c r="AP52" s="247"/>
      <c r="AQ52" s="247"/>
      <c r="AR52" s="272"/>
      <c r="AT52" s="272"/>
      <c r="AX52" s="266"/>
      <c r="AZ52" s="247"/>
      <c r="BC52" s="272"/>
      <c r="BD52" s="249"/>
      <c r="BE52" s="272"/>
      <c r="BF52" s="249"/>
      <c r="BG52" s="249"/>
      <c r="BH52" s="247"/>
      <c r="BK52" s="274"/>
      <c r="BL52" s="272"/>
      <c r="BM52" s="273"/>
      <c r="BN52" s="272"/>
      <c r="BP52" s="1273"/>
      <c r="BQ52" s="1273"/>
      <c r="BR52" s="1273"/>
      <c r="BS52" s="1273"/>
    </row>
    <row r="53" spans="1:71" ht="16.5" customHeight="1">
      <c r="B53" s="1183" t="s">
        <v>2760</v>
      </c>
      <c r="C53" s="1183" t="s">
        <v>2760</v>
      </c>
      <c r="D53" s="298" t="s">
        <v>2669</v>
      </c>
      <c r="E53" s="254" t="s">
        <v>1956</v>
      </c>
      <c r="F53" s="255" t="s">
        <v>1953</v>
      </c>
      <c r="G53" s="1183" t="s">
        <v>2760</v>
      </c>
      <c r="H53" s="257" t="s">
        <v>2269</v>
      </c>
      <c r="I53" s="287">
        <f>I52+1.25</f>
        <v>17.200766037500003</v>
      </c>
      <c r="J53" s="248"/>
      <c r="L53" s="340"/>
      <c r="N53" s="257" t="s">
        <v>2083</v>
      </c>
      <c r="O53" s="318">
        <v>16.78</v>
      </c>
      <c r="P53" s="500">
        <f>O53</f>
        <v>16.78</v>
      </c>
      <c r="R53" s="257"/>
      <c r="S53" s="256"/>
      <c r="T53" s="250"/>
      <c r="W53" s="251"/>
      <c r="X53" s="251"/>
      <c r="Y53" s="251"/>
      <c r="Z53" s="247"/>
      <c r="AC53" s="266"/>
      <c r="AD53" s="271"/>
      <c r="AN53" s="247"/>
      <c r="AO53" s="247"/>
      <c r="AP53" s="247"/>
      <c r="AQ53" s="247"/>
      <c r="AR53" s="272"/>
      <c r="AT53" s="272"/>
      <c r="AX53" s="266"/>
      <c r="AZ53" s="247"/>
      <c r="BC53" s="272"/>
      <c r="BD53" s="249"/>
      <c r="BE53" s="272"/>
      <c r="BF53" s="249"/>
      <c r="BG53" s="249"/>
      <c r="BH53" s="247"/>
      <c r="BK53" s="274"/>
      <c r="BL53" s="272"/>
      <c r="BM53" s="273"/>
      <c r="BN53" s="272"/>
      <c r="BP53" s="1273"/>
      <c r="BQ53" s="1273"/>
      <c r="BR53" s="1273"/>
      <c r="BS53" s="1273"/>
    </row>
    <row r="54" spans="1:71" ht="16.5" customHeight="1">
      <c r="B54" s="1363" t="s">
        <v>2422</v>
      </c>
      <c r="C54" s="1006">
        <f>G56-(3093.7*1000000000)</f>
        <v>317000000000</v>
      </c>
      <c r="D54" s="333" t="s">
        <v>2674</v>
      </c>
      <c r="E54" s="248">
        <f>C54/$C$59</f>
        <v>49299.082135070152</v>
      </c>
      <c r="F54" s="287">
        <f>C54/$D$59</f>
        <v>8427.1935273624204</v>
      </c>
      <c r="G54" s="1363" t="s">
        <v>2675</v>
      </c>
      <c r="H54" s="257"/>
      <c r="I54" s="256"/>
      <c r="J54" s="246"/>
      <c r="K54" s="269"/>
      <c r="L54" s="247"/>
      <c r="N54" s="257" t="s">
        <v>1931</v>
      </c>
      <c r="O54" s="248">
        <f>O53*O49</f>
        <v>892.02480000000003</v>
      </c>
      <c r="P54" s="319">
        <f>P53*O50</f>
        <v>938.33760000000007</v>
      </c>
      <c r="R54" s="257" t="s">
        <v>2655</v>
      </c>
      <c r="S54" s="256"/>
      <c r="T54" s="250"/>
      <c r="W54" s="251"/>
      <c r="X54" s="251"/>
      <c r="Y54" s="251"/>
      <c r="Z54" s="247"/>
      <c r="AC54" s="266"/>
      <c r="AD54" s="271"/>
      <c r="AN54" s="247"/>
      <c r="AO54" s="247"/>
      <c r="AP54" s="247"/>
      <c r="AQ54" s="247"/>
      <c r="AR54" s="272"/>
      <c r="AT54" s="272"/>
      <c r="AX54" s="266"/>
      <c r="AZ54" s="247"/>
      <c r="BC54" s="272"/>
      <c r="BD54" s="249"/>
      <c r="BE54" s="272"/>
      <c r="BF54" s="249"/>
      <c r="BG54" s="249"/>
      <c r="BH54" s="247"/>
      <c r="BK54" s="274"/>
      <c r="BL54" s="272"/>
      <c r="BM54" s="273"/>
      <c r="BN54" s="272"/>
      <c r="BP54" s="1273"/>
      <c r="BQ54" s="1273"/>
      <c r="BR54" s="1273"/>
      <c r="BS54" s="1273"/>
    </row>
    <row r="55" spans="1:71" ht="16.5" customHeight="1" thickBot="1">
      <c r="A55" s="277" t="s">
        <v>2289</v>
      </c>
      <c r="B55" s="295" t="s">
        <v>2287</v>
      </c>
      <c r="C55" s="1258">
        <f>B56-(12438.4*1000000000)</f>
        <v>841000000000</v>
      </c>
      <c r="D55" s="345" t="s">
        <v>2287</v>
      </c>
      <c r="E55" s="248">
        <f>C55/$C$59</f>
        <v>130790.30938673185</v>
      </c>
      <c r="F55" s="287">
        <f>C55/$D$59</f>
        <v>22357.317843885787</v>
      </c>
      <c r="G55" s="295" t="s">
        <v>2674</v>
      </c>
      <c r="H55" s="257" t="s">
        <v>2270</v>
      </c>
      <c r="I55" s="263">
        <f>I52/H51-1</f>
        <v>6.3384402500000103E-2</v>
      </c>
      <c r="J55" s="261"/>
      <c r="K55" s="269"/>
      <c r="L55" s="247"/>
      <c r="N55" s="257"/>
      <c r="O55" s="248"/>
      <c r="P55" s="319"/>
      <c r="R55" s="1358">
        <f>Stocks!BC122</f>
        <v>0.66558644761949082</v>
      </c>
      <c r="S55" s="256"/>
      <c r="T55" s="251"/>
      <c r="W55" s="251"/>
      <c r="X55" s="251"/>
      <c r="Y55" s="251"/>
      <c r="Z55" s="247"/>
      <c r="AC55" s="266"/>
      <c r="AD55" s="271"/>
      <c r="AN55" s="247"/>
      <c r="AO55" s="247"/>
      <c r="AP55" s="247"/>
      <c r="AQ55" s="247"/>
      <c r="AR55" s="272"/>
      <c r="AT55" s="272"/>
      <c r="AX55" s="266"/>
      <c r="AZ55" s="247"/>
      <c r="BC55" s="272"/>
      <c r="BD55" s="249"/>
      <c r="BE55" s="272"/>
      <c r="BF55" s="249"/>
      <c r="BG55" s="249"/>
      <c r="BH55" s="247"/>
      <c r="BK55" s="274"/>
      <c r="BL55" s="272"/>
      <c r="BM55" s="273"/>
      <c r="BN55" s="272"/>
      <c r="BP55" s="1273"/>
      <c r="BQ55" s="1273"/>
      <c r="BR55" s="1273"/>
      <c r="BS55" s="1273"/>
    </row>
    <row r="56" spans="1:71" ht="16.5" customHeight="1">
      <c r="A56" s="333" t="s">
        <v>2319</v>
      </c>
      <c r="B56" s="1258">
        <f>13279.4*1000000000</f>
        <v>13279400000000</v>
      </c>
      <c r="C56" s="1258">
        <f>B33-(3920.613*1000000000)</f>
        <v>-245153000000</v>
      </c>
      <c r="D56" s="303" t="s">
        <v>2402</v>
      </c>
      <c r="E56" s="248">
        <f t="shared" ref="E56:E57" si="0">C56/$C$59</f>
        <v>-38125.608462646225</v>
      </c>
      <c r="F56" s="287">
        <f t="shared" ref="F56:F57" si="1">C56/$D$59</f>
        <v>-6517.1980278027731</v>
      </c>
      <c r="G56" s="1258">
        <f>3410.7*1000000000</f>
        <v>3410700000000</v>
      </c>
      <c r="H56" s="257" t="s">
        <v>2271</v>
      </c>
      <c r="I56" s="263">
        <f>I53/H51-1</f>
        <v>0.14671773583333358</v>
      </c>
      <c r="J56" s="261"/>
      <c r="K56" s="1183" t="s">
        <v>2760</v>
      </c>
      <c r="L56" s="1120" t="s">
        <v>2265</v>
      </c>
      <c r="N56" s="257" t="s">
        <v>2084</v>
      </c>
      <c r="O56" s="318">
        <v>0.25600000000000001</v>
      </c>
      <c r="P56" s="500">
        <f>O56</f>
        <v>0.25600000000000001</v>
      </c>
      <c r="R56" s="257"/>
      <c r="S56" s="256" t="s">
        <v>1240</v>
      </c>
      <c r="T56" s="299"/>
      <c r="W56" s="251"/>
      <c r="X56" s="251"/>
      <c r="Y56" s="251"/>
      <c r="Z56" s="247"/>
      <c r="AC56" s="266"/>
      <c r="AD56" s="271"/>
      <c r="AN56" s="247"/>
      <c r="AO56" s="247"/>
      <c r="AP56" s="247"/>
      <c r="AQ56" s="247"/>
      <c r="AR56" s="272"/>
      <c r="AT56" s="272"/>
      <c r="AX56" s="266"/>
      <c r="AZ56" s="247"/>
      <c r="BC56" s="272"/>
      <c r="BD56" s="249"/>
      <c r="BE56" s="272"/>
      <c r="BF56" s="249"/>
      <c r="BG56" s="249"/>
      <c r="BH56" s="247"/>
      <c r="BK56" s="274"/>
      <c r="BL56" s="272"/>
      <c r="BM56" s="273"/>
      <c r="BN56" s="272"/>
      <c r="BP56" s="1273"/>
      <c r="BQ56" s="1273"/>
      <c r="BR56" s="1273"/>
      <c r="BS56" s="1273"/>
    </row>
    <row r="57" spans="1:71" ht="16.5" customHeight="1">
      <c r="B57" s="295"/>
      <c r="C57" s="1258">
        <f>D41-(1413.083*1000000000)</f>
        <v>87254000000</v>
      </c>
      <c r="D57" s="333" t="s">
        <v>2401</v>
      </c>
      <c r="E57" s="248">
        <f t="shared" si="0"/>
        <v>13569.533478275745</v>
      </c>
      <c r="F57" s="287">
        <f t="shared" si="1"/>
        <v>2319.5783723548284</v>
      </c>
      <c r="G57" s="295"/>
      <c r="H57" s="257"/>
      <c r="I57" s="256"/>
      <c r="J57" s="246"/>
      <c r="K57" s="718" t="s">
        <v>2097</v>
      </c>
      <c r="L57" s="319"/>
      <c r="N57" s="257" t="s">
        <v>1932</v>
      </c>
      <c r="O57" s="248">
        <f>O56*O49</f>
        <v>13.60896</v>
      </c>
      <c r="P57" s="319">
        <f>P56*O50</f>
        <v>14.315520000000001</v>
      </c>
      <c r="R57" s="257" t="s">
        <v>2656</v>
      </c>
      <c r="S57" s="287">
        <f>R49*R52*R55</f>
        <v>79.763879882719777</v>
      </c>
      <c r="T57" s="251"/>
      <c r="W57" s="251"/>
      <c r="X57" s="251"/>
      <c r="Y57" s="251"/>
      <c r="Z57" s="247"/>
      <c r="AC57" s="266"/>
      <c r="AD57" s="271"/>
      <c r="AN57" s="247"/>
      <c r="AO57" s="247"/>
      <c r="AP57" s="247"/>
      <c r="AQ57" s="247"/>
      <c r="AR57" s="272"/>
      <c r="AT57" s="272"/>
      <c r="AX57" s="266"/>
      <c r="AZ57" s="247"/>
      <c r="BC57" s="272"/>
      <c r="BD57" s="249"/>
      <c r="BE57" s="272"/>
      <c r="BF57" s="249"/>
      <c r="BG57" s="249"/>
      <c r="BH57" s="247"/>
      <c r="BK57" s="274"/>
      <c r="BL57" s="272"/>
      <c r="BM57" s="273"/>
      <c r="BN57" s="272"/>
      <c r="BP57" s="1273"/>
      <c r="BQ57" s="1273"/>
      <c r="BR57" s="1273"/>
      <c r="BS57" s="1273"/>
    </row>
    <row r="58" spans="1:71" ht="16.5" customHeight="1" thickBot="1">
      <c r="A58" s="277" t="s">
        <v>1673</v>
      </c>
      <c r="B58" s="290">
        <f>(B56/D42)</f>
        <v>50781.852879656471</v>
      </c>
      <c r="C58" s="1204" t="s">
        <v>1955</v>
      </c>
      <c r="D58" s="345" t="s">
        <v>1952</v>
      </c>
      <c r="E58" s="246"/>
      <c r="F58" s="256"/>
      <c r="G58" s="290">
        <f>(G56/D42)</f>
        <v>13042.883384538784</v>
      </c>
      <c r="H58" s="1099" t="s">
        <v>2082</v>
      </c>
      <c r="I58" s="314" t="s">
        <v>2023</v>
      </c>
      <c r="J58" s="247" t="s">
        <v>1930</v>
      </c>
      <c r="K58" s="718" t="s">
        <v>139</v>
      </c>
      <c r="L58" s="291">
        <v>983</v>
      </c>
      <c r="M58" s="270" t="s">
        <v>1930</v>
      </c>
      <c r="N58" s="281"/>
      <c r="O58" s="246"/>
      <c r="P58" s="327"/>
      <c r="R58" s="292" t="s">
        <v>2657</v>
      </c>
      <c r="S58" s="293">
        <f>S57*10</f>
        <v>797.63879882719777</v>
      </c>
      <c r="T58" s="248"/>
      <c r="U58" s="246"/>
      <c r="Z58" s="247"/>
      <c r="AC58" s="266"/>
      <c r="AD58" s="271"/>
      <c r="AN58" s="247"/>
      <c r="AO58" s="247"/>
      <c r="AP58" s="247"/>
      <c r="AQ58" s="247"/>
      <c r="AR58" s="272"/>
      <c r="AT58" s="272"/>
      <c r="AX58" s="266"/>
      <c r="AZ58" s="247"/>
      <c r="BC58" s="272"/>
      <c r="BD58" s="249"/>
      <c r="BE58" s="272"/>
      <c r="BF58" s="249"/>
      <c r="BG58" s="249"/>
      <c r="BH58" s="247"/>
      <c r="BK58" s="274"/>
      <c r="BL58" s="272"/>
      <c r="BM58" s="273"/>
      <c r="BN58" s="272"/>
      <c r="BP58" s="1273"/>
      <c r="BQ58" s="1273"/>
      <c r="BR58" s="1273"/>
      <c r="BS58" s="1273"/>
    </row>
    <row r="59" spans="1:71" ht="16.5" customHeight="1" thickBot="1">
      <c r="B59" s="1086"/>
      <c r="C59" s="1206">
        <f>200*32150.7</f>
        <v>6430140</v>
      </c>
      <c r="D59" s="1007">
        <f>1170*32150.7</f>
        <v>37616319</v>
      </c>
      <c r="E59" s="846" t="s">
        <v>2015</v>
      </c>
      <c r="F59" s="256" t="s">
        <v>2049</v>
      </c>
      <c r="G59" s="1086" t="s">
        <v>2210</v>
      </c>
      <c r="H59" s="320">
        <f>C2*(1+((H51/H48)-1))</f>
        <v>14755.199999999999</v>
      </c>
      <c r="I59" s="293">
        <f>C3*(1+((H51/H48)-1))</f>
        <v>211.68</v>
      </c>
      <c r="J59" s="249">
        <f>H59/I59</f>
        <v>69.70521541950113</v>
      </c>
      <c r="K59" s="719" t="s">
        <v>140</v>
      </c>
      <c r="L59" s="1081">
        <v>8961</v>
      </c>
      <c r="M59" s="311">
        <f>L59/L58</f>
        <v>9.1159715157680576</v>
      </c>
      <c r="N59" s="281" t="s">
        <v>2094</v>
      </c>
      <c r="O59" s="248">
        <f>AVERAGE(O54,P54)</f>
        <v>915.18119999999999</v>
      </c>
      <c r="P59" s="319">
        <f>AVERAGE(O57:P57)</f>
        <v>13.962240000000001</v>
      </c>
      <c r="T59" s="248"/>
      <c r="U59" s="246"/>
      <c r="Z59" s="247"/>
      <c r="AC59" s="266"/>
      <c r="AD59" s="271"/>
      <c r="AN59" s="247"/>
      <c r="AO59" s="247"/>
      <c r="AP59" s="247"/>
      <c r="AQ59" s="247"/>
      <c r="AR59" s="272"/>
      <c r="AT59" s="272"/>
      <c r="AX59" s="266"/>
      <c r="AZ59" s="247"/>
      <c r="BC59" s="272"/>
      <c r="BD59" s="249"/>
      <c r="BE59" s="272"/>
      <c r="BF59" s="249"/>
      <c r="BG59" s="249"/>
      <c r="BH59" s="247"/>
      <c r="BK59" s="274"/>
      <c r="BL59" s="272"/>
      <c r="BM59" s="273"/>
      <c r="BN59" s="272"/>
      <c r="BP59" s="1273"/>
      <c r="BQ59" s="1273"/>
      <c r="BR59" s="1273"/>
      <c r="BS59" s="1273"/>
    </row>
    <row r="60" spans="1:71" ht="16.5" customHeight="1" thickBot="1">
      <c r="C60" s="292"/>
      <c r="D60" s="264"/>
      <c r="E60" s="264"/>
      <c r="F60" s="1365" t="s">
        <v>2613</v>
      </c>
      <c r="H60" s="266"/>
      <c r="N60" s="281" t="s">
        <v>474</v>
      </c>
      <c r="O60" s="248">
        <f>MEDIAN(O54:P54)</f>
        <v>915.18119999999999</v>
      </c>
      <c r="P60" s="319">
        <f>MEDIAN(O57:P57)</f>
        <v>13.962240000000001</v>
      </c>
      <c r="Z60" s="247"/>
      <c r="AC60" s="266"/>
      <c r="AD60" s="271"/>
      <c r="AN60" s="247"/>
      <c r="AO60" s="247"/>
      <c r="AP60" s="247"/>
      <c r="AQ60" s="247"/>
      <c r="AR60" s="272"/>
      <c r="AT60" s="272"/>
      <c r="AX60" s="266"/>
      <c r="AZ60" s="247"/>
      <c r="BC60" s="272"/>
      <c r="BD60" s="249"/>
      <c r="BE60" s="272"/>
      <c r="BF60" s="249"/>
      <c r="BG60" s="249"/>
      <c r="BH60" s="247"/>
      <c r="BK60" s="274"/>
      <c r="BL60" s="272"/>
      <c r="BM60" s="273"/>
      <c r="BN60" s="272"/>
      <c r="BP60" s="1273"/>
      <c r="BQ60" s="1273"/>
      <c r="BR60" s="1273"/>
      <c r="BS60" s="1273"/>
    </row>
    <row r="61" spans="1:71" ht="16.5" customHeight="1" thickBot="1">
      <c r="N61" s="323"/>
      <c r="O61" s="264"/>
      <c r="P61" s="535"/>
      <c r="T61" s="270"/>
      <c r="Z61" s="247"/>
      <c r="AC61" s="266"/>
      <c r="AD61" s="271"/>
      <c r="AN61" s="247"/>
      <c r="AO61" s="247"/>
      <c r="AP61" s="247"/>
      <c r="AQ61" s="247"/>
      <c r="AR61" s="272"/>
      <c r="AT61" s="272"/>
      <c r="AX61" s="266"/>
      <c r="AZ61" s="247"/>
      <c r="BC61" s="272"/>
      <c r="BD61" s="249"/>
      <c r="BE61" s="272"/>
      <c r="BF61" s="249"/>
      <c r="BG61" s="249"/>
      <c r="BH61" s="247"/>
      <c r="BK61" s="274"/>
      <c r="BL61" s="272"/>
      <c r="BM61" s="273"/>
      <c r="BN61" s="272"/>
      <c r="BP61" s="1273"/>
      <c r="BQ61" s="1273"/>
      <c r="BR61" s="1273"/>
      <c r="BS61" s="1273"/>
    </row>
    <row r="62" spans="1:71" ht="16.5" customHeight="1" thickBot="1">
      <c r="B62" s="1104" t="s">
        <v>2138</v>
      </c>
      <c r="G62" s="266"/>
      <c r="N62" s="246"/>
      <c r="R62" s="266"/>
      <c r="S62" s="246"/>
      <c r="T62" s="270"/>
      <c r="Z62" s="247"/>
      <c r="AC62" s="266"/>
      <c r="AD62" s="271"/>
      <c r="AN62" s="247"/>
      <c r="AO62" s="247"/>
      <c r="AP62" s="247"/>
      <c r="AQ62" s="247"/>
      <c r="AR62" s="272"/>
      <c r="AT62" s="272"/>
      <c r="AX62" s="266"/>
      <c r="AZ62" s="247"/>
      <c r="BC62" s="272"/>
      <c r="BD62" s="249"/>
      <c r="BE62" s="272"/>
      <c r="BF62" s="249"/>
      <c r="BG62" s="249"/>
      <c r="BH62" s="247"/>
      <c r="BK62" s="274"/>
      <c r="BL62" s="272"/>
      <c r="BM62" s="273"/>
      <c r="BN62" s="272"/>
      <c r="BP62" s="1273"/>
      <c r="BQ62" s="1273"/>
      <c r="BR62" s="1273"/>
      <c r="BS62" s="1273"/>
    </row>
    <row r="63" spans="1:71" ht="16.5" customHeight="1" thickBot="1">
      <c r="B63" s="1101" t="s">
        <v>2134</v>
      </c>
      <c r="C63" s="298" t="s">
        <v>2135</v>
      </c>
      <c r="D63" s="383" t="s">
        <v>2139</v>
      </c>
      <c r="E63" s="306" t="s">
        <v>2132</v>
      </c>
      <c r="H63" s="248"/>
      <c r="I63" s="248"/>
      <c r="J63" s="248"/>
      <c r="K63" s="246"/>
      <c r="L63" s="246"/>
      <c r="M63" s="246"/>
      <c r="N63" s="246"/>
      <c r="O63" s="246"/>
      <c r="P63" s="309"/>
      <c r="S63" s="246"/>
      <c r="T63" s="270"/>
      <c r="U63" s="250"/>
      <c r="Z63" s="247"/>
      <c r="AC63" s="266"/>
      <c r="AD63" s="271"/>
      <c r="AN63" s="247"/>
      <c r="AO63" s="247"/>
      <c r="AP63" s="247"/>
      <c r="AQ63" s="247"/>
      <c r="AR63" s="272"/>
      <c r="AT63" s="272"/>
      <c r="AX63" s="266"/>
      <c r="AZ63" s="247"/>
      <c r="BC63" s="272"/>
      <c r="BD63" s="249"/>
      <c r="BE63" s="272"/>
      <c r="BF63" s="249"/>
      <c r="BG63" s="249"/>
      <c r="BH63" s="247"/>
      <c r="BK63" s="274"/>
      <c r="BL63" s="272"/>
      <c r="BM63" s="273"/>
      <c r="BN63" s="272"/>
      <c r="BP63" s="1273"/>
      <c r="BQ63" s="1273"/>
      <c r="BR63" s="1273"/>
      <c r="BS63" s="1273"/>
    </row>
    <row r="64" spans="1:71" ht="16.5" customHeight="1">
      <c r="B64" s="295" t="s">
        <v>2133</v>
      </c>
      <c r="C64" s="277" t="s">
        <v>2122</v>
      </c>
      <c r="D64" s="313" t="s">
        <v>2124</v>
      </c>
      <c r="E64" s="296"/>
      <c r="F64" s="1070" t="s">
        <v>140</v>
      </c>
      <c r="G64" s="1072" t="s">
        <v>139</v>
      </c>
      <c r="H64" s="1070" t="s">
        <v>2040</v>
      </c>
      <c r="I64" s="1073" t="s">
        <v>2041</v>
      </c>
      <c r="J64" s="246"/>
      <c r="K64" s="1077" t="s">
        <v>2305</v>
      </c>
      <c r="L64" s="1426" t="s">
        <v>2800</v>
      </c>
      <c r="M64" s="1143" t="s">
        <v>2194</v>
      </c>
      <c r="N64" s="269"/>
      <c r="O64" s="1077" t="s">
        <v>2288</v>
      </c>
      <c r="P64" s="1184"/>
      <c r="Q64" s="1185"/>
      <c r="T64" s="251"/>
      <c r="U64" s="266"/>
    </row>
    <row r="65" spans="2:68" ht="16.5" customHeight="1">
      <c r="B65" s="295">
        <f t="shared" ref="B65:B96" si="2">D65/$D$119</f>
        <v>5.2356020942408377E-2</v>
      </c>
      <c r="C65" s="277">
        <f t="shared" ref="C65:C96" si="3">D65/$D$116</f>
        <v>0.33333333333333331</v>
      </c>
      <c r="D65" s="301">
        <v>10</v>
      </c>
      <c r="E65" s="1123" t="s">
        <v>2042</v>
      </c>
      <c r="F65" s="248">
        <f>C2</f>
        <v>1229.5999999999999</v>
      </c>
      <c r="G65" s="248">
        <f>C3</f>
        <v>17.64</v>
      </c>
      <c r="H65" s="246" t="str">
        <f>IF(F65&lt;&gt;"",IF(F65&lt;$C$2,"OVERVALUED",IF(F65&gt;$C$2,"UNDERVALUED","")),"")</f>
        <v/>
      </c>
      <c r="I65" s="256" t="str">
        <f>IF(G65&lt;&gt;"",IF(G65&lt;$C$3,"OVERVALUED",IF(G65&gt;$C$3,"UNDERVALUED","")),"")</f>
        <v/>
      </c>
      <c r="J65" s="246"/>
      <c r="K65" s="1254" t="s">
        <v>2058</v>
      </c>
      <c r="L65" s="313"/>
      <c r="N65" s="270"/>
      <c r="O65" s="1186" t="s">
        <v>2297</v>
      </c>
      <c r="P65" s="246"/>
      <c r="Q65" s="319"/>
      <c r="T65" s="251"/>
      <c r="U65" s="266"/>
    </row>
    <row r="66" spans="2:68" ht="16.5" customHeight="1" thickBot="1">
      <c r="B66" s="295">
        <f t="shared" si="2"/>
        <v>5.235602094240838E-3</v>
      </c>
      <c r="C66" s="277">
        <f t="shared" si="3"/>
        <v>3.3333333333333333E-2</v>
      </c>
      <c r="D66" s="301">
        <v>1</v>
      </c>
      <c r="E66" s="1123" t="s">
        <v>2043</v>
      </c>
      <c r="F66" s="248">
        <f>C3</f>
        <v>17.64</v>
      </c>
      <c r="G66" s="248"/>
      <c r="H66" s="246" t="str">
        <f>IF(F66&lt;&gt;"",IF(F66&lt;$C$2,"OVERVALUED",IF(F66&gt;$C$2,"UNDERVALUED","")),"")</f>
        <v>OVERVALUED</v>
      </c>
      <c r="I66" s="256" t="str">
        <f>IF(G66&lt;&gt;"",IF(G66&lt;$C$3,"OVERVALUED",IF(G66&gt;$C$3,"UNDERVALUED","")),"")</f>
        <v/>
      </c>
      <c r="J66" s="246"/>
      <c r="K66" s="320">
        <f>MEDIAN(L81:N84)</f>
        <v>639.523613963039</v>
      </c>
      <c r="L66" s="1100" t="s">
        <v>2057</v>
      </c>
      <c r="N66" s="270"/>
      <c r="O66" s="285" t="s">
        <v>2296</v>
      </c>
      <c r="P66" s="246"/>
      <c r="Q66" s="256"/>
      <c r="T66" s="251"/>
      <c r="U66" s="266"/>
      <c r="AY66" s="249"/>
      <c r="BA66" s="247"/>
      <c r="BB66" s="273"/>
      <c r="BC66" s="272"/>
      <c r="BD66" s="274"/>
      <c r="BE66" s="272"/>
      <c r="BF66" s="273"/>
      <c r="BG66" s="272"/>
      <c r="BH66" s="1273"/>
      <c r="BI66" s="1273"/>
      <c r="BJ66" s="1273"/>
      <c r="BM66" s="247"/>
      <c r="BN66" s="247"/>
      <c r="BO66" s="247"/>
    </row>
    <row r="67" spans="2:68" ht="16.5" customHeight="1">
      <c r="B67" s="295">
        <f t="shared" si="2"/>
        <v>1.0471204188481676E-2</v>
      </c>
      <c r="C67" s="277">
        <f t="shared" si="3"/>
        <v>6.6666666666666666E-2</v>
      </c>
      <c r="D67" s="301">
        <v>2</v>
      </c>
      <c r="E67" s="1123" t="s">
        <v>2044</v>
      </c>
      <c r="F67" s="248"/>
      <c r="G67" s="248">
        <f>C2</f>
        <v>1229.5999999999999</v>
      </c>
      <c r="H67" s="246" t="str">
        <f>IF(F67&lt;&gt;"",IF(F67&lt;$C$2,"OVERVALUED",IF(F67&gt;$C$2,"UNDERVALUED","")),"")</f>
        <v/>
      </c>
      <c r="I67" s="256" t="str">
        <f>IF(G67&lt;&gt;"",IF(G67&lt;$C$3,"OVERVALUED",IF(G67&gt;$C$3,"UNDERVALUED","")),"")</f>
        <v>UNDERVALUED</v>
      </c>
      <c r="J67" s="246"/>
      <c r="K67" s="296"/>
      <c r="L67" s="1272" t="s">
        <v>2059</v>
      </c>
      <c r="M67" s="254"/>
      <c r="N67" s="255"/>
      <c r="O67" s="246"/>
      <c r="P67" s="246"/>
      <c r="Q67" s="256"/>
      <c r="T67" s="251"/>
      <c r="U67" s="266"/>
      <c r="AY67" s="249"/>
      <c r="AZ67" s="272"/>
      <c r="BA67" s="249"/>
      <c r="BB67" s="272"/>
      <c r="BD67" s="249"/>
      <c r="BE67" s="247"/>
      <c r="BF67" s="273"/>
      <c r="BG67" s="272"/>
      <c r="BH67" s="274"/>
      <c r="BI67" s="272"/>
      <c r="BJ67" s="273"/>
      <c r="BK67" s="272"/>
      <c r="BP67" s="1273"/>
    </row>
    <row r="68" spans="2:68" ht="16.5" customHeight="1">
      <c r="B68" s="295">
        <f t="shared" si="2"/>
        <v>5.2356020942408377E-2</v>
      </c>
      <c r="C68" s="277">
        <f t="shared" si="3"/>
        <v>0.33333333333333331</v>
      </c>
      <c r="D68" s="301">
        <v>10</v>
      </c>
      <c r="E68" s="1123" t="s">
        <v>2055</v>
      </c>
      <c r="F68" s="248">
        <f>M12</f>
        <v>1135</v>
      </c>
      <c r="G68" s="248">
        <f>M13</f>
        <v>27.1</v>
      </c>
      <c r="H68" s="246" t="str">
        <f>IF(F68&lt;&gt;"",IF(F68&lt;$C$2,"OVERVALUED",IF(F68&gt;$C$2,"UNDERVALUED","")),"")</f>
        <v>OVERVALUED</v>
      </c>
      <c r="I68" s="256" t="str">
        <f>IF(G68&lt;&gt;"",IF(G68&lt;$C$3,"OVERVALUED",IF(G68&gt;$C$3,"UNDERVALUED","")),"")</f>
        <v>UNDERVALUED</v>
      </c>
      <c r="J68" s="246"/>
      <c r="K68" s="1270" t="s">
        <v>694</v>
      </c>
      <c r="L68" s="246" t="s">
        <v>2073</v>
      </c>
      <c r="M68" s="246" t="s">
        <v>2070</v>
      </c>
      <c r="N68" s="256" t="s">
        <v>2071</v>
      </c>
      <c r="O68" s="250" t="s">
        <v>2290</v>
      </c>
      <c r="P68" s="250" t="s">
        <v>2312</v>
      </c>
      <c r="Q68" s="256"/>
      <c r="T68" s="251"/>
      <c r="U68" s="266"/>
      <c r="AY68" s="249"/>
      <c r="AZ68" s="272"/>
      <c r="BA68" s="249"/>
      <c r="BB68" s="272"/>
      <c r="BD68" s="249"/>
      <c r="BE68" s="247"/>
      <c r="BF68" s="273"/>
      <c r="BG68" s="272"/>
      <c r="BH68" s="274"/>
      <c r="BI68" s="272"/>
      <c r="BJ68" s="273"/>
      <c r="BK68" s="272"/>
      <c r="BP68" s="1273"/>
    </row>
    <row r="69" spans="2:68" ht="16.5" customHeight="1">
      <c r="B69" s="295">
        <f t="shared" si="2"/>
        <v>1.0471204188481676E-2</v>
      </c>
      <c r="C69" s="277">
        <f t="shared" si="3"/>
        <v>6.6666666666666666E-2</v>
      </c>
      <c r="D69" s="301">
        <v>2</v>
      </c>
      <c r="E69" s="1123" t="s">
        <v>2056</v>
      </c>
      <c r="F69" s="248">
        <f>I44</f>
        <v>1194.8471499999998</v>
      </c>
      <c r="G69" s="248">
        <f>I43</f>
        <v>17.077769999999997</v>
      </c>
      <c r="H69" s="246" t="str">
        <f>IF(F69&lt;&gt;"",IF(F69&lt;$C$2,"OVERVALUED",IF(F69&gt;$C$2,"UNDERVALUED","")),"")</f>
        <v>OVERVALUED</v>
      </c>
      <c r="I69" s="256" t="str">
        <f>IF(G69&lt;&gt;"",IF(G69&lt;$C$3,"OVERVALUED",IF(G69&gt;$C$3,"UNDERVALUED","")),"")</f>
        <v>OVERVALUED</v>
      </c>
      <c r="J69" s="246"/>
      <c r="K69" s="257" t="s">
        <v>2060</v>
      </c>
      <c r="L69" s="252">
        <v>18802.8</v>
      </c>
      <c r="M69" s="252" t="s">
        <v>2306</v>
      </c>
      <c r="N69" s="291" t="s">
        <v>2306</v>
      </c>
      <c r="O69" s="318">
        <f>MEDIAN(6.81,4.55,3.9,3.9,3.9,3.9,3.41,3.41,3.41,3.41,3.41,3.41,1.76,1.58)</f>
        <v>3.41</v>
      </c>
      <c r="P69" s="252">
        <v>7.25</v>
      </c>
      <c r="Q69" s="256"/>
      <c r="T69" s="251"/>
      <c r="U69" s="266"/>
      <c r="AY69" s="249"/>
      <c r="AZ69" s="272"/>
      <c r="BA69" s="249"/>
      <c r="BB69" s="272"/>
      <c r="BD69" s="249"/>
      <c r="BE69" s="247"/>
      <c r="BF69" s="273"/>
      <c r="BG69" s="272"/>
      <c r="BH69" s="274"/>
      <c r="BI69" s="272"/>
      <c r="BJ69" s="273"/>
      <c r="BK69" s="272"/>
      <c r="BP69" s="1273"/>
    </row>
    <row r="70" spans="2:68" ht="16.5" customHeight="1">
      <c r="B70" s="295">
        <f t="shared" si="2"/>
        <v>0.10471204188481675</v>
      </c>
      <c r="C70" s="277">
        <f t="shared" si="3"/>
        <v>0.66666666666666663</v>
      </c>
      <c r="D70" s="301">
        <v>20</v>
      </c>
      <c r="E70" s="1124" t="s">
        <v>2075</v>
      </c>
      <c r="F70" s="248"/>
      <c r="G70" s="248">
        <f>C2/12</f>
        <v>102.46666666666665</v>
      </c>
      <c r="H70" s="246" t="str">
        <f>IF(F70&lt;&gt;"",IF(F70&lt;$C$2,"OVERVALUED",IF(F70&gt;$C$2,"UNDERVALUED","")),"")</f>
        <v/>
      </c>
      <c r="I70" s="256" t="str">
        <f>IF(G70&lt;&gt;"",IF(G70&lt;$C$3,"OVERVALUED",IF(G70&gt;$C$3,"UNDERVALUED","")),"")</f>
        <v>UNDERVALUED</v>
      </c>
      <c r="J70" s="246"/>
      <c r="K70" s="257" t="s">
        <v>2061</v>
      </c>
      <c r="L70" s="252">
        <v>21078</v>
      </c>
      <c r="M70" s="252">
        <v>21078</v>
      </c>
      <c r="N70" s="291">
        <v>21078</v>
      </c>
      <c r="O70" s="1262">
        <f>AVERAGE(6.81,4.55,3.9,3.9,3.9,3.9,3.41,3.41,3.41,3.41,3.41,3.41,1.76,1.58)</f>
        <v>3.6257142857142846</v>
      </c>
      <c r="P70" s="246"/>
      <c r="Q70" s="256"/>
      <c r="T70" s="251"/>
      <c r="U70" s="266"/>
      <c r="AY70" s="249"/>
      <c r="BA70" s="247"/>
      <c r="BB70" s="273"/>
      <c r="BC70" s="272"/>
      <c r="BD70" s="274"/>
      <c r="BE70" s="272"/>
      <c r="BF70" s="273"/>
      <c r="BG70" s="272"/>
      <c r="BH70" s="1273"/>
      <c r="BI70" s="1273"/>
      <c r="BJ70" s="1273"/>
      <c r="BM70" s="247"/>
      <c r="BN70" s="247"/>
      <c r="BO70" s="247"/>
    </row>
    <row r="71" spans="2:68" ht="16.5" customHeight="1">
      <c r="B71" s="295">
        <f t="shared" si="2"/>
        <v>5.235602094240838E-3</v>
      </c>
      <c r="C71" s="277">
        <f t="shared" si="3"/>
        <v>3.3333333333333333E-2</v>
      </c>
      <c r="D71" s="301">
        <v>1</v>
      </c>
      <c r="E71" s="1124" t="s">
        <v>2074</v>
      </c>
      <c r="F71" s="248">
        <f>C3*12</f>
        <v>211.68</v>
      </c>
      <c r="G71" s="248"/>
      <c r="H71" s="246" t="str">
        <f>IF(F71&lt;&gt;"",IF(F71&lt;$C$2,"OVERVALUED",IF(F71&gt;$C$2,"UNDERVALUED","")),"")</f>
        <v>OVERVALUED</v>
      </c>
      <c r="I71" s="256" t="str">
        <f>IF(G71&lt;&gt;"",IF(G71&lt;$C$3,"OVERVALUED",IF(G71&gt;$C$3,"UNDERVALUED","")),"")</f>
        <v/>
      </c>
      <c r="J71" s="246"/>
      <c r="K71" s="257" t="s">
        <v>2062</v>
      </c>
      <c r="L71" s="252">
        <v>22165.200000000001</v>
      </c>
      <c r="M71" s="252">
        <v>24984</v>
      </c>
      <c r="N71" s="291">
        <v>24984</v>
      </c>
      <c r="O71" s="246" t="s">
        <v>220</v>
      </c>
      <c r="P71" s="246" t="s">
        <v>2291</v>
      </c>
      <c r="Q71" s="319"/>
      <c r="T71" s="251"/>
      <c r="U71" s="251"/>
      <c r="AY71" s="249"/>
      <c r="BA71" s="247"/>
      <c r="BB71" s="273"/>
      <c r="BC71" s="272"/>
      <c r="BD71" s="274"/>
      <c r="BE71" s="272"/>
      <c r="BF71" s="273"/>
      <c r="BG71" s="272"/>
      <c r="BH71" s="1273"/>
      <c r="BI71" s="1273"/>
      <c r="BJ71" s="1273"/>
      <c r="BM71" s="247"/>
      <c r="BN71" s="247"/>
      <c r="BO71" s="247"/>
    </row>
    <row r="72" spans="2:68" ht="16.5" customHeight="1">
      <c r="B72" s="295">
        <f t="shared" si="2"/>
        <v>2.6178010471204188E-2</v>
      </c>
      <c r="C72" s="277">
        <f t="shared" si="3"/>
        <v>0.16666666666666666</v>
      </c>
      <c r="D72" s="301">
        <v>5</v>
      </c>
      <c r="E72" s="1124" t="s">
        <v>2077</v>
      </c>
      <c r="F72" s="248"/>
      <c r="G72" s="248">
        <f>C2/16</f>
        <v>76.849999999999994</v>
      </c>
      <c r="H72" s="246" t="str">
        <f>IF(F72&lt;&gt;"",IF(F72&lt;$C$2,"OVERVALUED",IF(F72&gt;$C$2,"UNDERVALUED","")),"")</f>
        <v/>
      </c>
      <c r="I72" s="256" t="str">
        <f>IF(G72&lt;&gt;"",IF(G72&lt;$C$3,"OVERVALUED",IF(G72&gt;$C$3,"UNDERVALUED","")),"")</f>
        <v>UNDERVALUED</v>
      </c>
      <c r="J72" s="246"/>
      <c r="K72" s="257" t="s">
        <v>2064</v>
      </c>
      <c r="L72" s="252">
        <v>24552</v>
      </c>
      <c r="M72" s="252">
        <v>27936</v>
      </c>
      <c r="N72" s="291">
        <v>29800.799999999999</v>
      </c>
      <c r="O72" s="815">
        <f>MEDIAN(96.5,96.5,96.5,96.5,97.88,93.5,93.5,83.5,83.5,48,5,95.5,99,92.5)/100</f>
        <v>0.94499999999999995</v>
      </c>
      <c r="P72" s="289">
        <v>9</v>
      </c>
      <c r="Q72" s="319"/>
      <c r="T72" s="251"/>
      <c r="U72" s="251"/>
      <c r="AY72" s="249"/>
      <c r="BA72" s="247"/>
      <c r="BB72" s="273"/>
      <c r="BC72" s="272"/>
      <c r="BD72" s="274"/>
      <c r="BE72" s="272"/>
      <c r="BF72" s="273"/>
      <c r="BG72" s="272"/>
      <c r="BH72" s="1273"/>
      <c r="BI72" s="1273"/>
      <c r="BJ72" s="1273"/>
      <c r="BM72" s="247"/>
      <c r="BN72" s="247"/>
      <c r="BO72" s="247"/>
    </row>
    <row r="73" spans="2:68" ht="16.5" customHeight="1">
      <c r="B73" s="295">
        <f t="shared" si="2"/>
        <v>5.235602094240838E-3</v>
      </c>
      <c r="C73" s="277">
        <f t="shared" si="3"/>
        <v>3.3333333333333333E-2</v>
      </c>
      <c r="D73" s="301">
        <v>1</v>
      </c>
      <c r="E73" s="1124" t="s">
        <v>2076</v>
      </c>
      <c r="F73" s="248">
        <f>C3*16</f>
        <v>282.24</v>
      </c>
      <c r="G73" s="248"/>
      <c r="H73" s="246" t="str">
        <f>IF(F73&lt;&gt;"",IF(F73&lt;$C$2,"OVERVALUED",IF(F73&gt;$C$2,"UNDERVALUED","")),"")</f>
        <v>OVERVALUED</v>
      </c>
      <c r="I73" s="256" t="str">
        <f>IF(G73&lt;&gt;"",IF(G73&lt;$C$3,"OVERVALUED",IF(G73&gt;$C$3,"UNDERVALUED","")),"")</f>
        <v/>
      </c>
      <c r="J73" s="246"/>
      <c r="K73" s="257" t="s">
        <v>2063</v>
      </c>
      <c r="L73" s="252">
        <v>26776.799999999999</v>
      </c>
      <c r="M73" s="252">
        <v>31370.400000000001</v>
      </c>
      <c r="N73" s="291">
        <v>33573.599999999999</v>
      </c>
      <c r="O73" s="1262">
        <f>AVERAGE(96.5,96.5,96.5,96.5,97.88,93.5,93.5,83.5,83.5,48,5,95.5,99,92.5)/100</f>
        <v>0.84134285714285728</v>
      </c>
      <c r="P73" s="251"/>
      <c r="Q73" s="319"/>
      <c r="T73" s="251"/>
      <c r="U73" s="251"/>
      <c r="AY73" s="249"/>
      <c r="BA73" s="247"/>
      <c r="BB73" s="273"/>
      <c r="BC73" s="272"/>
      <c r="BD73" s="274"/>
      <c r="BE73" s="272"/>
      <c r="BF73" s="273"/>
      <c r="BG73" s="272"/>
      <c r="BH73" s="1273"/>
      <c r="BI73" s="1273"/>
      <c r="BJ73" s="1273"/>
      <c r="BM73" s="247"/>
      <c r="BN73" s="247"/>
      <c r="BO73" s="247"/>
    </row>
    <row r="74" spans="2:68" ht="16.5" customHeight="1">
      <c r="B74" s="295">
        <f t="shared" si="2"/>
        <v>2.6178010471204188E-2</v>
      </c>
      <c r="C74" s="277">
        <f t="shared" si="3"/>
        <v>0.16666666666666666</v>
      </c>
      <c r="D74" s="301">
        <v>5</v>
      </c>
      <c r="E74" s="1124" t="s">
        <v>2078</v>
      </c>
      <c r="F74" s="248"/>
      <c r="G74" s="248">
        <f>J8</f>
        <v>147.27574138329774</v>
      </c>
      <c r="H74" s="246" t="str">
        <f>IF(F74&lt;&gt;"",IF(F74&lt;$C$2,"OVERVALUED",IF(F74&gt;$C$2,"UNDERVALUED","")),"")</f>
        <v/>
      </c>
      <c r="I74" s="256" t="str">
        <f>IF(G74&lt;&gt;"",IF(G74&lt;$C$3,"OVERVALUED",IF(G74&gt;$C$3,"UNDERVALUED","")),"")</f>
        <v>UNDERVALUED</v>
      </c>
      <c r="J74" s="246"/>
      <c r="K74" s="257" t="s">
        <v>2065</v>
      </c>
      <c r="L74" s="252">
        <v>29228.400000000001</v>
      </c>
      <c r="M74" s="252">
        <v>34963.199999999997</v>
      </c>
      <c r="N74" s="291">
        <v>36403.199999999997</v>
      </c>
      <c r="O74" s="250" t="s">
        <v>2293</v>
      </c>
      <c r="P74" s="250" t="s">
        <v>2294</v>
      </c>
      <c r="Q74" s="327" t="s">
        <v>1415</v>
      </c>
      <c r="T74" s="251"/>
      <c r="U74" s="251"/>
      <c r="AY74" s="249"/>
      <c r="BA74" s="247"/>
      <c r="BB74" s="273"/>
      <c r="BC74" s="272"/>
      <c r="BD74" s="274"/>
      <c r="BE74" s="272"/>
      <c r="BF74" s="273"/>
      <c r="BG74" s="272"/>
      <c r="BH74" s="1273"/>
      <c r="BI74" s="1273"/>
      <c r="BJ74" s="1273"/>
      <c r="BM74" s="247"/>
      <c r="BN74" s="247"/>
      <c r="BO74" s="247"/>
    </row>
    <row r="75" spans="2:68" ht="16.5" customHeight="1">
      <c r="B75" s="295">
        <f t="shared" si="2"/>
        <v>5.235602094240838E-3</v>
      </c>
      <c r="C75" s="277">
        <f t="shared" si="3"/>
        <v>3.3333333333333333E-2</v>
      </c>
      <c r="D75" s="301">
        <v>1</v>
      </c>
      <c r="E75" s="1124" t="s">
        <v>2079</v>
      </c>
      <c r="F75" s="248">
        <f>G74</f>
        <v>147.27574138329774</v>
      </c>
      <c r="G75" s="248"/>
      <c r="H75" s="246" t="str">
        <f>IF(F75&lt;&gt;"",IF(F75&lt;$C$2,"OVERVALUED",IF(F75&gt;$C$2,"UNDERVALUED","")),"")</f>
        <v>OVERVALUED</v>
      </c>
      <c r="I75" s="256" t="str">
        <f>IF(G75&lt;&gt;"",IF(G75&lt;$C$3,"OVERVALUED",IF(G75&gt;$C$3,"UNDERVALUED","")),"")</f>
        <v/>
      </c>
      <c r="J75" s="246"/>
      <c r="K75" s="257" t="s">
        <v>2066</v>
      </c>
      <c r="L75" s="252">
        <v>35668.800000000003</v>
      </c>
      <c r="M75" s="252">
        <v>44881.2</v>
      </c>
      <c r="N75" s="291">
        <v>44881.2</v>
      </c>
      <c r="O75" s="251">
        <f>O69*O72*C3*G3</f>
        <v>1.8275749695125998</v>
      </c>
      <c r="P75" s="251">
        <f>P69*P72</f>
        <v>65.25</v>
      </c>
      <c r="Q75" s="1187">
        <f>P75/O75-1</f>
        <v>34.703049718065287</v>
      </c>
      <c r="T75" s="251"/>
      <c r="U75" s="251"/>
      <c r="V75" s="294"/>
      <c r="AY75" s="249"/>
      <c r="BA75" s="247"/>
      <c r="BB75" s="273"/>
      <c r="BC75" s="272"/>
      <c r="BD75" s="274"/>
      <c r="BE75" s="272"/>
      <c r="BF75" s="273"/>
      <c r="BG75" s="272"/>
      <c r="BH75" s="1273"/>
      <c r="BI75" s="1273"/>
      <c r="BJ75" s="1273"/>
      <c r="BM75" s="247"/>
      <c r="BN75" s="247"/>
      <c r="BO75" s="247"/>
    </row>
    <row r="76" spans="2:68" ht="16.5" customHeight="1">
      <c r="B76" s="295">
        <f t="shared" si="2"/>
        <v>1.5706806282722512E-2</v>
      </c>
      <c r="C76" s="277">
        <f t="shared" si="3"/>
        <v>0.1</v>
      </c>
      <c r="D76" s="301">
        <v>3</v>
      </c>
      <c r="E76" s="1125" t="s">
        <v>2080</v>
      </c>
      <c r="F76" s="248"/>
      <c r="G76" s="248">
        <f>L52</f>
        <v>149.27744861800142</v>
      </c>
      <c r="H76" s="246" t="str">
        <f>IF(F76&lt;&gt;"",IF(F76&lt;$C$2,"OVERVALUED",IF(F76&gt;$C$2,"UNDERVALUED","")),"")</f>
        <v/>
      </c>
      <c r="I76" s="256" t="str">
        <f>IF(G76&lt;&gt;"",IF(G76&lt;$C$3,"OVERVALUED",IF(G76&gt;$C$3,"UNDERVALUED","")),"")</f>
        <v>UNDERVALUED</v>
      </c>
      <c r="J76" s="246"/>
      <c r="K76" s="257" t="s">
        <v>2067</v>
      </c>
      <c r="L76" s="252">
        <v>41094</v>
      </c>
      <c r="M76" s="252">
        <v>55724.4</v>
      </c>
      <c r="N76" s="291">
        <v>56872.800000000003</v>
      </c>
      <c r="O76" s="246"/>
      <c r="P76" s="251"/>
      <c r="Q76" s="319"/>
      <c r="T76" s="251"/>
      <c r="U76" s="251"/>
      <c r="V76" s="294"/>
      <c r="AY76" s="249"/>
      <c r="BA76" s="247"/>
      <c r="BB76" s="273"/>
      <c r="BC76" s="272"/>
      <c r="BD76" s="274"/>
      <c r="BE76" s="272"/>
      <c r="BF76" s="273"/>
      <c r="BG76" s="272"/>
      <c r="BH76" s="1273"/>
      <c r="BI76" s="1273"/>
      <c r="BJ76" s="1273"/>
      <c r="BM76" s="247"/>
      <c r="BN76" s="247"/>
      <c r="BO76" s="247"/>
    </row>
    <row r="77" spans="2:68" ht="16.5" customHeight="1">
      <c r="B77" s="295">
        <f t="shared" si="2"/>
        <v>5.235602094240838E-3</v>
      </c>
      <c r="C77" s="277">
        <f t="shared" si="3"/>
        <v>3.3333333333333333E-2</v>
      </c>
      <c r="D77" s="301">
        <v>1</v>
      </c>
      <c r="E77" s="1125" t="s">
        <v>2081</v>
      </c>
      <c r="F77" s="248">
        <f>L51</f>
        <v>145.30087565674253</v>
      </c>
      <c r="G77" s="248"/>
      <c r="H77" s="246" t="str">
        <f>IF(F77&lt;&gt;"",IF(F77&lt;$C$2,"OVERVALUED",IF(F77&gt;$C$2,"UNDERVALUED","")),"")</f>
        <v>OVERVALUED</v>
      </c>
      <c r="I77" s="256" t="str">
        <f>IF(G77&lt;&gt;"",IF(G77&lt;$C$3,"OVERVALUED",IF(G77&gt;$C$3,"UNDERVALUED","")),"")</f>
        <v/>
      </c>
      <c r="J77" s="246"/>
      <c r="K77" s="257" t="s">
        <v>2068</v>
      </c>
      <c r="L77" s="252">
        <v>47563.199999999997</v>
      </c>
      <c r="M77" s="252">
        <v>63446.400000000001</v>
      </c>
      <c r="N77" s="291">
        <v>66488.399999999994</v>
      </c>
      <c r="O77" s="1265" t="s">
        <v>2082</v>
      </c>
      <c r="P77" s="250" t="s">
        <v>2292</v>
      </c>
      <c r="Q77" s="319" t="s">
        <v>1930</v>
      </c>
      <c r="T77" s="250"/>
      <c r="U77" s="251"/>
      <c r="V77" s="294"/>
      <c r="AY77" s="249"/>
      <c r="BA77" s="247"/>
      <c r="BB77" s="273"/>
      <c r="BC77" s="272"/>
      <c r="BD77" s="274"/>
      <c r="BE77" s="272"/>
      <c r="BF77" s="273"/>
      <c r="BG77" s="272"/>
      <c r="BH77" s="1273"/>
      <c r="BI77" s="1273"/>
      <c r="BJ77" s="1273"/>
      <c r="BM77" s="247"/>
      <c r="BN77" s="247"/>
      <c r="BO77" s="247"/>
    </row>
    <row r="78" spans="2:68" ht="16.5" customHeight="1" thickBot="1">
      <c r="B78" s="295">
        <f t="shared" si="2"/>
        <v>1.5706806282722512E-2</v>
      </c>
      <c r="C78" s="277">
        <f t="shared" si="3"/>
        <v>0.1</v>
      </c>
      <c r="D78" s="301">
        <v>3</v>
      </c>
      <c r="E78" s="1126" t="s">
        <v>2052</v>
      </c>
      <c r="F78" s="248">
        <f>P38</f>
        <v>3399.4830508474574</v>
      </c>
      <c r="G78" s="248">
        <f>P42</f>
        <v>50.142375000000001</v>
      </c>
      <c r="H78" s="246" t="str">
        <f>IF(F78&lt;&gt;"",IF(F78&lt;$C$2,"OVERVALUED",IF(F78&gt;$C$2,"UNDERVALUED","")),"")</f>
        <v>UNDERVALUED</v>
      </c>
      <c r="I78" s="256" t="str">
        <f>IF(G78&lt;&gt;"",IF(G78&lt;$C$3,"OVERVALUED",IF(G78&gt;$C$3,"UNDERVALUED","")),"")</f>
        <v>UNDERVALUED</v>
      </c>
      <c r="J78" s="246"/>
      <c r="K78" s="257" t="s">
        <v>2069</v>
      </c>
      <c r="L78" s="252">
        <v>54093.599999999999</v>
      </c>
      <c r="M78" s="252">
        <v>67726.8</v>
      </c>
      <c r="N78" s="291">
        <v>71604</v>
      </c>
      <c r="O78" s="326">
        <f>C2*(1+Q75)</f>
        <v>43900.469933333072</v>
      </c>
      <c r="P78" s="326">
        <f>C3*(1+Q75)</f>
        <v>629.80179702667169</v>
      </c>
      <c r="Q78" s="1103">
        <f>O78/P78</f>
        <v>69.705215419501116</v>
      </c>
      <c r="T78" s="251"/>
      <c r="U78" s="251"/>
      <c r="V78" s="294"/>
      <c r="AY78" s="249"/>
      <c r="BA78" s="247"/>
      <c r="BB78" s="273"/>
      <c r="BC78" s="272"/>
      <c r="BD78" s="274"/>
      <c r="BE78" s="272"/>
      <c r="BF78" s="273"/>
      <c r="BG78" s="272"/>
      <c r="BH78" s="1273"/>
      <c r="BI78" s="1273"/>
      <c r="BJ78" s="1273"/>
      <c r="BM78" s="247"/>
      <c r="BN78" s="247"/>
      <c r="BO78" s="247"/>
    </row>
    <row r="79" spans="2:68" ht="16.5" customHeight="1" thickBot="1">
      <c r="B79" s="295">
        <f t="shared" si="2"/>
        <v>1.5706806282722512E-2</v>
      </c>
      <c r="C79" s="277">
        <f t="shared" si="3"/>
        <v>0.1</v>
      </c>
      <c r="D79" s="301">
        <v>3</v>
      </c>
      <c r="E79" s="1126" t="s">
        <v>2096</v>
      </c>
      <c r="F79" s="248">
        <f>O60</f>
        <v>915.18119999999999</v>
      </c>
      <c r="G79" s="248">
        <f>P60</f>
        <v>13.962240000000001</v>
      </c>
      <c r="H79" s="246" t="str">
        <f>IF(F79&lt;&gt;"",IF(F79&lt;$C$2,"OVERVALUED",IF(F79&gt;$C$2,"UNDERVALUED","")),"")</f>
        <v>OVERVALUED</v>
      </c>
      <c r="I79" s="256" t="str">
        <f>IF(G79&lt;&gt;"",IF(G79&lt;$C$3,"OVERVALUED",IF(G79&gt;$C$3,"UNDERVALUED","")),"")</f>
        <v>OVERVALUED</v>
      </c>
      <c r="J79" s="246"/>
      <c r="K79" s="257"/>
      <c r="L79" s="246"/>
      <c r="M79" s="246"/>
      <c r="N79" s="256"/>
      <c r="P79" s="247"/>
      <c r="S79" s="250"/>
      <c r="T79" s="251"/>
      <c r="U79" s="251"/>
      <c r="V79" s="1188"/>
      <c r="AY79" s="249"/>
      <c r="BA79" s="247"/>
      <c r="BB79" s="273"/>
      <c r="BC79" s="272"/>
      <c r="BD79" s="274"/>
      <c r="BE79" s="272"/>
      <c r="BF79" s="273"/>
      <c r="BG79" s="272"/>
      <c r="BH79" s="1273"/>
      <c r="BI79" s="1273"/>
      <c r="BJ79" s="1273"/>
      <c r="BM79" s="247"/>
      <c r="BN79" s="247"/>
      <c r="BO79" s="247"/>
    </row>
    <row r="80" spans="2:68" ht="16.5" customHeight="1">
      <c r="B80" s="295">
        <f t="shared" si="2"/>
        <v>1.0471204188481676E-2</v>
      </c>
      <c r="C80" s="277">
        <f t="shared" si="3"/>
        <v>6.6666666666666666E-2</v>
      </c>
      <c r="D80" s="301">
        <v>2</v>
      </c>
      <c r="E80" s="1127" t="s">
        <v>2095</v>
      </c>
      <c r="F80" s="248">
        <f>M101</f>
        <v>1276.5</v>
      </c>
      <c r="G80" s="248">
        <f>N101</f>
        <v>18.236999999999998</v>
      </c>
      <c r="H80" s="246" t="str">
        <f>IF(F80&lt;&gt;"",IF(F80&lt;$C$2,"OVERVALUED",IF(F80&gt;$C$2,"UNDERVALUED","")),"")</f>
        <v>UNDERVALUED</v>
      </c>
      <c r="I80" s="256" t="str">
        <f>IF(G80&lt;&gt;"",IF(G80&lt;$C$3,"OVERVALUED",IF(G80&gt;$C$3,"UNDERVALUED","")),"")</f>
        <v>UNDERVALUED</v>
      </c>
      <c r="J80" s="246"/>
      <c r="K80" s="332" t="s">
        <v>2072</v>
      </c>
      <c r="L80" s="246"/>
      <c r="M80" s="246"/>
      <c r="N80" s="344"/>
      <c r="P80" s="247"/>
      <c r="Q80" s="1201" t="s">
        <v>2313</v>
      </c>
      <c r="R80" s="254"/>
      <c r="S80" s="1185"/>
      <c r="U80" s="251"/>
      <c r="V80" s="1188"/>
      <c r="AY80" s="249"/>
      <c r="BA80" s="247"/>
      <c r="BB80" s="273"/>
      <c r="BC80" s="272"/>
      <c r="BD80" s="274"/>
      <c r="BE80" s="272"/>
      <c r="BF80" s="273"/>
      <c r="BG80" s="272"/>
      <c r="BH80" s="1273"/>
      <c r="BI80" s="1273"/>
      <c r="BJ80" s="1273"/>
      <c r="BM80" s="247"/>
      <c r="BN80" s="247"/>
      <c r="BO80" s="247"/>
    </row>
    <row r="81" spans="2:67" ht="16.5" customHeight="1">
      <c r="B81" s="295">
        <f t="shared" si="2"/>
        <v>5.235602094240838E-3</v>
      </c>
      <c r="C81" s="277">
        <f t="shared" si="3"/>
        <v>3.3333333333333333E-2</v>
      </c>
      <c r="D81" s="301">
        <v>1</v>
      </c>
      <c r="E81" s="1127" t="s">
        <v>2394</v>
      </c>
      <c r="F81" s="248">
        <f>L113</f>
        <v>40271.821079923495</v>
      </c>
      <c r="G81" s="248">
        <f>M113</f>
        <v>522.48368263070574</v>
      </c>
      <c r="H81" s="246" t="str">
        <f>IF(F81&lt;&gt;"",IF(F81&lt;$C$2,"OVERVALUED",IF(F81&gt;$C$2,"UNDERVALUED","")),"")</f>
        <v>UNDERVALUED</v>
      </c>
      <c r="I81" s="256" t="str">
        <f>IF(G81&lt;&gt;"",IF(G81&lt;$C$3,"OVERVALUED",IF(G81&gt;$C$3,"UNDERVALUED","")),"")</f>
        <v>UNDERVALUED</v>
      </c>
      <c r="J81" s="246"/>
      <c r="K81" s="257" t="s">
        <v>2060</v>
      </c>
      <c r="L81" s="248">
        <f>10*L69/365.25</f>
        <v>514.79260780287473</v>
      </c>
      <c r="M81" s="246"/>
      <c r="N81" s="256"/>
      <c r="P81" s="247"/>
      <c r="Q81" s="331" t="s">
        <v>1673</v>
      </c>
      <c r="R81" s="250" t="s">
        <v>1674</v>
      </c>
      <c r="S81" s="319"/>
      <c r="U81" s="251"/>
      <c r="AY81" s="249"/>
      <c r="BA81" s="247"/>
      <c r="BB81" s="273"/>
      <c r="BC81" s="272"/>
      <c r="BD81" s="274"/>
      <c r="BE81" s="272"/>
      <c r="BF81" s="273"/>
      <c r="BG81" s="272"/>
      <c r="BH81" s="1273"/>
      <c r="BI81" s="1273"/>
      <c r="BJ81" s="1273"/>
      <c r="BM81" s="247"/>
      <c r="BN81" s="247"/>
      <c r="BO81" s="247"/>
    </row>
    <row r="82" spans="2:67" ht="16.5" customHeight="1">
      <c r="B82" s="295">
        <f t="shared" si="2"/>
        <v>1.5706806282722512E-2</v>
      </c>
      <c r="C82" s="277">
        <f t="shared" si="3"/>
        <v>0.1</v>
      </c>
      <c r="D82" s="301">
        <v>3</v>
      </c>
      <c r="E82" s="1127" t="s">
        <v>2393</v>
      </c>
      <c r="F82" s="248">
        <f>L114</f>
        <v>6397.1240232662567</v>
      </c>
      <c r="G82" s="248">
        <f>M114</f>
        <v>84.489536436239831</v>
      </c>
      <c r="H82" s="246" t="str">
        <f>IF(F82&lt;&gt;"",IF(F82&lt;$C$2,"OVERVALUED",IF(F82&gt;$C$2,"UNDERVALUED","")),"")</f>
        <v>UNDERVALUED</v>
      </c>
      <c r="I82" s="256" t="str">
        <f>IF(G82&lt;&gt;"",IF(G82&lt;$C$3,"OVERVALUED",IF(G82&gt;$C$3,"UNDERVALUED","")),"")</f>
        <v>UNDERVALUED</v>
      </c>
      <c r="J82" s="246"/>
      <c r="K82" s="257" t="s">
        <v>2061</v>
      </c>
      <c r="L82" s="248">
        <f t="shared" ref="L82:N90" si="4">10*L70/365.25</f>
        <v>577.08418891170436</v>
      </c>
      <c r="M82" s="248">
        <f t="shared" si="4"/>
        <v>577.08418891170436</v>
      </c>
      <c r="N82" s="287">
        <f t="shared" si="4"/>
        <v>577.08418891170436</v>
      </c>
      <c r="Q82" s="346">
        <f>M94-$C$2</f>
        <v>-11.099999999999909</v>
      </c>
      <c r="R82" s="251">
        <f>N94-$C$3</f>
        <v>-3.9999999999999147E-2</v>
      </c>
      <c r="S82" s="347">
        <v>1</v>
      </c>
      <c r="U82" s="251"/>
      <c r="AY82" s="249"/>
      <c r="BA82" s="247"/>
      <c r="BB82" s="273"/>
      <c r="BC82" s="272"/>
      <c r="BD82" s="274"/>
      <c r="BE82" s="272"/>
      <c r="BF82" s="273"/>
      <c r="BG82" s="272"/>
      <c r="BH82" s="1273"/>
      <c r="BI82" s="1273"/>
      <c r="BJ82" s="1273"/>
      <c r="BM82" s="247"/>
      <c r="BN82" s="247"/>
      <c r="BO82" s="247"/>
    </row>
    <row r="83" spans="2:67" ht="16.5" customHeight="1">
      <c r="B83" s="295">
        <f t="shared" si="2"/>
        <v>5.235602094240838E-3</v>
      </c>
      <c r="C83" s="277">
        <f t="shared" si="3"/>
        <v>3.3333333333333333E-2</v>
      </c>
      <c r="D83" s="301">
        <v>1</v>
      </c>
      <c r="E83" s="1127" t="s">
        <v>2317</v>
      </c>
      <c r="F83" s="248">
        <f>R90</f>
        <v>1875.4133333333343</v>
      </c>
      <c r="G83" s="248">
        <f>S90</f>
        <v>26.502699999999987</v>
      </c>
      <c r="H83" s="246" t="str">
        <f>IF(F83&lt;&gt;"",IF(F83&lt;$C$2,"OVERVALUED",IF(F83&gt;$C$2,"UNDERVALUED","")),"")</f>
        <v>UNDERVALUED</v>
      </c>
      <c r="I83" s="256" t="str">
        <f>IF(G83&lt;&gt;"",IF(G83&lt;$C$3,"OVERVALUED",IF(G83&gt;$C$3,"UNDERVALUED","")),"")</f>
        <v>UNDERVALUED</v>
      </c>
      <c r="J83" s="246"/>
      <c r="K83" s="257" t="s">
        <v>2062</v>
      </c>
      <c r="L83" s="248">
        <f t="shared" si="4"/>
        <v>606.85010266940446</v>
      </c>
      <c r="M83" s="248">
        <f t="shared" si="4"/>
        <v>684.02464065708421</v>
      </c>
      <c r="N83" s="287">
        <f t="shared" si="4"/>
        <v>684.02464065708421</v>
      </c>
      <c r="Q83" s="346">
        <f>M95-$C$2</f>
        <v>12</v>
      </c>
      <c r="R83" s="251">
        <f>N95-$C$3</f>
        <v>0.23399999999999821</v>
      </c>
      <c r="S83" s="1263">
        <v>2</v>
      </c>
      <c r="U83" s="251"/>
      <c r="AY83" s="249"/>
      <c r="BA83" s="247"/>
      <c r="BB83" s="273"/>
      <c r="BC83" s="272"/>
      <c r="BD83" s="274"/>
      <c r="BE83" s="272"/>
      <c r="BF83" s="273"/>
      <c r="BG83" s="272"/>
      <c r="BH83" s="1273"/>
      <c r="BI83" s="1273"/>
      <c r="BJ83" s="1273"/>
      <c r="BM83" s="247"/>
      <c r="BN83" s="247"/>
      <c r="BO83" s="247"/>
    </row>
    <row r="84" spans="2:67" ht="16.5" customHeight="1">
      <c r="B84" s="295">
        <f t="shared" si="2"/>
        <v>5.235602094240838E-3</v>
      </c>
      <c r="C84" s="277">
        <f t="shared" si="3"/>
        <v>3.3333333333333333E-2</v>
      </c>
      <c r="D84" s="301">
        <v>1</v>
      </c>
      <c r="E84" s="1128" t="s">
        <v>2099</v>
      </c>
      <c r="F84" s="248">
        <f>E55</f>
        <v>130790.30938673185</v>
      </c>
      <c r="G84" s="248">
        <f>F55</f>
        <v>22357.317843885787</v>
      </c>
      <c r="H84" s="246" t="str">
        <f>IF(F84&lt;&gt;"",IF(F84&lt;$C$2,"OVERVALUED",IF(F84&gt;$C$2,"UNDERVALUED","")),"")</f>
        <v>UNDERVALUED</v>
      </c>
      <c r="I84" s="256" t="str">
        <f>IF(G84&lt;&gt;"",IF(G84&lt;$C$3,"OVERVALUED",IF(G84&gt;$C$3,"UNDERVALUED","")),"")</f>
        <v>UNDERVALUED</v>
      </c>
      <c r="J84" s="246"/>
      <c r="K84" s="257" t="s">
        <v>2064</v>
      </c>
      <c r="L84" s="248">
        <f t="shared" si="4"/>
        <v>672.19712525667353</v>
      </c>
      <c r="M84" s="248">
        <f t="shared" si="4"/>
        <v>764.84599589322386</v>
      </c>
      <c r="N84" s="287">
        <f t="shared" si="4"/>
        <v>815.90143737166329</v>
      </c>
      <c r="Q84" s="346">
        <f>M96-$C$2</f>
        <v>35</v>
      </c>
      <c r="R84" s="251">
        <f>N96-$C$3</f>
        <v>0.59699999999999775</v>
      </c>
      <c r="S84" s="347">
        <v>3</v>
      </c>
      <c r="U84" s="250"/>
      <c r="AY84" s="249"/>
      <c r="BA84" s="247"/>
      <c r="BB84" s="273"/>
      <c r="BC84" s="272"/>
      <c r="BD84" s="274"/>
      <c r="BE84" s="272"/>
      <c r="BF84" s="273"/>
      <c r="BG84" s="272"/>
      <c r="BH84" s="1273"/>
      <c r="BI84" s="1273"/>
      <c r="BJ84" s="1273"/>
      <c r="BM84" s="247"/>
      <c r="BN84" s="247"/>
      <c r="BO84" s="247"/>
    </row>
    <row r="85" spans="2:67" ht="16.5" customHeight="1">
      <c r="B85" s="295">
        <f t="shared" si="2"/>
        <v>5.235602094240838E-3</v>
      </c>
      <c r="C85" s="277">
        <f t="shared" si="3"/>
        <v>3.3333333333333333E-2</v>
      </c>
      <c r="D85" s="301">
        <v>1</v>
      </c>
      <c r="E85" s="1128" t="s">
        <v>2671</v>
      </c>
      <c r="F85" s="248"/>
      <c r="G85" s="248"/>
      <c r="H85" s="246" t="str">
        <f>IF(F85&lt;&gt;"",IF(F85&lt;$C$2,"OVERVALUED",IF(F85&gt;$C$2,"UNDERVALUED","")),"")</f>
        <v/>
      </c>
      <c r="I85" s="256" t="str">
        <f>IF(G85&lt;&gt;"",IF(G85&lt;$C$3,"OVERVALUED",IF(G85&gt;$C$3,"UNDERVALUED","")),"")</f>
        <v/>
      </c>
      <c r="J85" s="246"/>
      <c r="K85" s="257" t="s">
        <v>2063</v>
      </c>
      <c r="L85" s="248">
        <f t="shared" si="4"/>
        <v>733.10882956878845</v>
      </c>
      <c r="M85" s="248">
        <f t="shared" si="4"/>
        <v>858.87474332648867</v>
      </c>
      <c r="N85" s="287">
        <f t="shared" si="4"/>
        <v>919.19507186858311</v>
      </c>
      <c r="Q85" s="346">
        <f>M97-$C$2</f>
        <v>58.800000000000182</v>
      </c>
      <c r="R85" s="251">
        <f>N97-$C$3</f>
        <v>0.95899999999999963</v>
      </c>
      <c r="S85" s="347">
        <v>4</v>
      </c>
      <c r="U85" s="251"/>
      <c r="AY85" s="249"/>
      <c r="BA85" s="247"/>
      <c r="BB85" s="273"/>
      <c r="BC85" s="272"/>
      <c r="BD85" s="274"/>
      <c r="BE85" s="272"/>
      <c r="BF85" s="273"/>
      <c r="BG85" s="272"/>
      <c r="BH85" s="1273"/>
      <c r="BI85" s="1273"/>
      <c r="BJ85" s="1273"/>
      <c r="BM85" s="247"/>
      <c r="BN85" s="247"/>
      <c r="BO85" s="247"/>
    </row>
    <row r="86" spans="2:67" ht="16.5" customHeight="1">
      <c r="B86" s="295">
        <f t="shared" si="2"/>
        <v>5.235602094240838E-3</v>
      </c>
      <c r="C86" s="277">
        <f t="shared" si="3"/>
        <v>3.3333333333333333E-2</v>
      </c>
      <c r="D86" s="301">
        <v>1</v>
      </c>
      <c r="E86" s="1128" t="s">
        <v>2678</v>
      </c>
      <c r="F86" s="248">
        <f>E54</f>
        <v>49299.082135070152</v>
      </c>
      <c r="G86" s="248">
        <f>F54</f>
        <v>8427.1935273624204</v>
      </c>
      <c r="H86" s="246" t="str">
        <f>IF(F86&lt;&gt;"",IF(F86&lt;$C$2,"OVERVALUED",IF(F86&gt;$C$2,"UNDERVALUED","")),"")</f>
        <v>UNDERVALUED</v>
      </c>
      <c r="I86" s="256" t="str">
        <f>IF(G86&lt;&gt;"",IF(G86&lt;$C$3,"OVERVALUED",IF(G86&gt;$C$3,"UNDERVALUED","")),"")</f>
        <v>UNDERVALUED</v>
      </c>
      <c r="J86" s="246"/>
      <c r="K86" s="257" t="s">
        <v>2065</v>
      </c>
      <c r="L86" s="248">
        <f t="shared" si="4"/>
        <v>800.22997946611906</v>
      </c>
      <c r="M86" s="248">
        <f t="shared" si="4"/>
        <v>957.2402464065708</v>
      </c>
      <c r="N86" s="287">
        <f t="shared" si="4"/>
        <v>996.66529774127309</v>
      </c>
      <c r="Q86" s="346">
        <f>M98-$C$2</f>
        <v>84.800000000000182</v>
      </c>
      <c r="R86" s="251">
        <f>N98-$C$3</f>
        <v>1.1319999999999979</v>
      </c>
      <c r="S86" s="347">
        <v>5</v>
      </c>
      <c r="U86" s="251"/>
      <c r="V86" s="1188"/>
      <c r="AY86" s="249"/>
      <c r="BA86" s="247"/>
      <c r="BB86" s="273"/>
      <c r="BC86" s="272"/>
      <c r="BD86" s="274"/>
      <c r="BE86" s="272"/>
      <c r="BF86" s="273"/>
      <c r="BG86" s="272"/>
      <c r="BH86" s="1273"/>
      <c r="BI86" s="1273"/>
      <c r="BJ86" s="1273"/>
      <c r="BM86" s="247"/>
      <c r="BN86" s="247"/>
      <c r="BO86" s="247"/>
    </row>
    <row r="87" spans="2:67" ht="16.5" customHeight="1">
      <c r="B87" s="295">
        <f t="shared" si="2"/>
        <v>5.235602094240838E-3</v>
      </c>
      <c r="C87" s="277">
        <f t="shared" si="3"/>
        <v>3.3333333333333333E-2</v>
      </c>
      <c r="D87" s="301">
        <v>1</v>
      </c>
      <c r="E87" s="1128" t="s">
        <v>2670</v>
      </c>
      <c r="F87" s="248">
        <f>E57</f>
        <v>13569.533478275745</v>
      </c>
      <c r="G87" s="248">
        <f>F57</f>
        <v>2319.5783723548284</v>
      </c>
      <c r="H87" s="246" t="str">
        <f>IF(F87&lt;&gt;"",IF(F87&lt;$C$2,"OVERVALUED",IF(F87&gt;$C$2,"UNDERVALUED","")),"")</f>
        <v>UNDERVALUED</v>
      </c>
      <c r="I87" s="256" t="str">
        <f>IF(G87&lt;&gt;"",IF(G87&lt;$C$3,"OVERVALUED",IF(G87&gt;$C$3,"UNDERVALUED","")),"")</f>
        <v>UNDERVALUED</v>
      </c>
      <c r="J87" s="246"/>
      <c r="K87" s="257" t="s">
        <v>2066</v>
      </c>
      <c r="L87" s="248">
        <f t="shared" si="4"/>
        <v>976.55852156057495</v>
      </c>
      <c r="M87" s="248">
        <f t="shared" si="4"/>
        <v>1228.7802874743327</v>
      </c>
      <c r="N87" s="287">
        <f t="shared" si="4"/>
        <v>1228.7802874743327</v>
      </c>
      <c r="Q87" s="346">
        <f>M99-$C$2</f>
        <v>98.800000000000182</v>
      </c>
      <c r="R87" s="251"/>
      <c r="S87" s="347">
        <v>6</v>
      </c>
      <c r="U87" s="1071"/>
      <c r="V87" s="294"/>
      <c r="AY87" s="249"/>
      <c r="BA87" s="247"/>
      <c r="BB87" s="273"/>
      <c r="BC87" s="272"/>
      <c r="BD87" s="274"/>
      <c r="BE87" s="272"/>
      <c r="BF87" s="273"/>
      <c r="BG87" s="272"/>
      <c r="BH87" s="1273"/>
      <c r="BI87" s="1273"/>
      <c r="BJ87" s="1273"/>
      <c r="BM87" s="247"/>
      <c r="BN87" s="247"/>
      <c r="BO87" s="247"/>
    </row>
    <row r="88" spans="2:67" ht="16.5" customHeight="1">
      <c r="B88" s="295">
        <f t="shared" si="2"/>
        <v>5.235602094240838E-3</v>
      </c>
      <c r="C88" s="277">
        <f t="shared" si="3"/>
        <v>3.3333333333333333E-2</v>
      </c>
      <c r="D88" s="301">
        <v>1</v>
      </c>
      <c r="E88" s="1128" t="s">
        <v>2153</v>
      </c>
      <c r="F88" s="248">
        <f>L59</f>
        <v>8961</v>
      </c>
      <c r="G88" s="248">
        <f>L58</f>
        <v>983</v>
      </c>
      <c r="H88" s="246" t="str">
        <f>IF(F88&lt;&gt;"",IF(F88&lt;$C$2,"OVERVALUED",IF(F88&gt;$C$2,"UNDERVALUED","")),"")</f>
        <v>UNDERVALUED</v>
      </c>
      <c r="I88" s="256" t="str">
        <f>IF(G88&lt;&gt;"",IF(G88&lt;$C$3,"OVERVALUED",IF(G88&gt;$C$3,"UNDERVALUED","")),"")</f>
        <v>UNDERVALUED</v>
      </c>
      <c r="J88" s="246"/>
      <c r="K88" s="257" t="s">
        <v>2067</v>
      </c>
      <c r="L88" s="248">
        <f t="shared" si="4"/>
        <v>1125.0924024640658</v>
      </c>
      <c r="M88" s="248">
        <f t="shared" si="4"/>
        <v>1525.6509240246407</v>
      </c>
      <c r="N88" s="287">
        <f t="shared" si="4"/>
        <v>1557.0924024640658</v>
      </c>
      <c r="Q88" s="346"/>
      <c r="R88" s="251"/>
      <c r="S88" s="327"/>
      <c r="U88" s="251"/>
      <c r="AY88" s="249"/>
      <c r="BA88" s="247"/>
      <c r="BB88" s="273"/>
      <c r="BC88" s="272"/>
      <c r="BD88" s="274"/>
      <c r="BE88" s="272"/>
      <c r="BF88" s="273"/>
      <c r="BG88" s="272"/>
      <c r="BH88" s="1273"/>
      <c r="BI88" s="1273"/>
      <c r="BJ88" s="1273"/>
      <c r="BM88" s="247"/>
      <c r="BN88" s="247"/>
      <c r="BO88" s="247"/>
    </row>
    <row r="89" spans="2:67" ht="16.5" customHeight="1">
      <c r="B89" s="295">
        <f t="shared" si="2"/>
        <v>1.5706806282722512E-2</v>
      </c>
      <c r="C89" s="277">
        <f t="shared" si="3"/>
        <v>0.1</v>
      </c>
      <c r="D89" s="301">
        <v>3</v>
      </c>
      <c r="E89" s="1128" t="s">
        <v>1954</v>
      </c>
      <c r="F89" s="248">
        <f>D43</f>
        <v>5737.4499453217122</v>
      </c>
      <c r="G89" s="248"/>
      <c r="H89" s="246" t="str">
        <f>IF(F89&lt;&gt;"",IF(F89&lt;$C$2,"OVERVALUED",IF(F89&gt;$C$2,"UNDERVALUED","")),"")</f>
        <v>UNDERVALUED</v>
      </c>
      <c r="I89" s="256" t="str">
        <f>IF(G89&lt;&gt;"",IF(G89&lt;$C$3,"OVERVALUED",IF(G89&gt;$C$3,"UNDERVALUED","")),"")</f>
        <v/>
      </c>
      <c r="J89" s="246"/>
      <c r="K89" s="257" t="s">
        <v>2068</v>
      </c>
      <c r="L89" s="248">
        <f t="shared" si="4"/>
        <v>1302.2094455852157</v>
      </c>
      <c r="M89" s="248">
        <f t="shared" si="4"/>
        <v>1737.0677618069815</v>
      </c>
      <c r="N89" s="287">
        <f t="shared" si="4"/>
        <v>1820.3531827515401</v>
      </c>
      <c r="Q89" s="1199" t="s">
        <v>2314</v>
      </c>
      <c r="R89" s="251" t="s">
        <v>140</v>
      </c>
      <c r="S89" s="327" t="s">
        <v>139</v>
      </c>
    </row>
    <row r="90" spans="2:67" ht="16.5" customHeight="1" thickBot="1">
      <c r="B90" s="295">
        <f t="shared" si="2"/>
        <v>2.0942408376963352E-2</v>
      </c>
      <c r="C90" s="277">
        <f t="shared" si="3"/>
        <v>0.13333333333333333</v>
      </c>
      <c r="D90" s="301">
        <v>4</v>
      </c>
      <c r="E90" s="1128" t="s">
        <v>2676</v>
      </c>
      <c r="F90" s="248">
        <f>G58</f>
        <v>13042.883384538784</v>
      </c>
      <c r="G90" s="248"/>
      <c r="H90" s="246" t="str">
        <f>IF(F90&lt;&gt;"",IF(F90&lt;$C$2,"OVERVALUED",IF(F90&gt;$C$2,"UNDERVALUED","")),"")</f>
        <v>UNDERVALUED</v>
      </c>
      <c r="I90" s="256" t="str">
        <f>IF(G90&lt;&gt;"",IF(G90&lt;$C$3,"OVERVALUED",IF(G90&gt;$C$3,"UNDERVALUED","")),"")</f>
        <v/>
      </c>
      <c r="J90" s="246"/>
      <c r="K90" s="292" t="s">
        <v>2069</v>
      </c>
      <c r="L90" s="268">
        <f t="shared" si="4"/>
        <v>1481.0020533880904</v>
      </c>
      <c r="M90" s="268">
        <f t="shared" si="4"/>
        <v>1854.2587268993839</v>
      </c>
      <c r="N90" s="293">
        <f t="shared" si="4"/>
        <v>1960.4106776180697</v>
      </c>
      <c r="Q90" s="300">
        <v>30</v>
      </c>
      <c r="R90" s="251">
        <f>C2+(Q93*Q90+R93)</f>
        <v>1875.4133333333343</v>
      </c>
      <c r="S90" s="319">
        <f>C3+(Q94*Q90+R94)</f>
        <v>26.502699999999987</v>
      </c>
    </row>
    <row r="91" spans="2:67" ht="16.5" customHeight="1" thickBot="1">
      <c r="B91" s="295">
        <f t="shared" si="2"/>
        <v>1.5706806282722512E-2</v>
      </c>
      <c r="C91" s="277">
        <f t="shared" si="3"/>
        <v>0.1</v>
      </c>
      <c r="D91" s="301">
        <v>3</v>
      </c>
      <c r="E91" s="1128" t="s">
        <v>2404</v>
      </c>
      <c r="F91" s="248">
        <f>B35</f>
        <v>14055.354081137866</v>
      </c>
      <c r="G91" s="248"/>
      <c r="H91" s="246" t="str">
        <f>IF(F91&lt;&gt;"",IF(F91&lt;$C$2,"OVERVALUED",IF(F91&gt;$C$2,"UNDERVALUED","")),"")</f>
        <v>UNDERVALUED</v>
      </c>
      <c r="I91" s="256" t="str">
        <f>IF(G91&lt;&gt;"",IF(G91&lt;$C$3,"OVERVALUED",IF(G91&gt;$C$3,"UNDERVALUED","")),"")</f>
        <v/>
      </c>
      <c r="J91" s="246"/>
      <c r="L91" s="247"/>
      <c r="O91" s="270"/>
      <c r="Q91" s="718"/>
      <c r="R91" s="251"/>
      <c r="S91" s="319"/>
    </row>
    <row r="92" spans="2:67" ht="16.5" customHeight="1">
      <c r="B92" s="295">
        <f t="shared" si="2"/>
        <v>2.0942408376963352E-2</v>
      </c>
      <c r="C92" s="277">
        <f t="shared" si="3"/>
        <v>0.13333333333333333</v>
      </c>
      <c r="D92" s="301">
        <v>4</v>
      </c>
      <c r="E92" s="1128" t="s">
        <v>2405</v>
      </c>
      <c r="F92" s="248">
        <f>B58</f>
        <v>50781.852879656471</v>
      </c>
      <c r="G92" s="248"/>
      <c r="H92" s="246" t="str">
        <f>IF(F92&lt;&gt;"",IF(F92&lt;$C$2,"OVERVALUED",IF(F92&gt;$C$2,"UNDERVALUED","")),"")</f>
        <v>UNDERVALUED</v>
      </c>
      <c r="I92" s="256" t="str">
        <f>IF(G92&lt;&gt;"",IF(G92&lt;$C$3,"OVERVALUED",IF(G92&gt;$C$3,"UNDERVALUED","")),"")</f>
        <v/>
      </c>
      <c r="J92" s="246"/>
      <c r="K92" s="296"/>
      <c r="L92" s="1183" t="s">
        <v>2760</v>
      </c>
      <c r="M92" s="1306" t="s">
        <v>2088</v>
      </c>
      <c r="N92" s="255" t="s">
        <v>2224</v>
      </c>
      <c r="O92" s="270"/>
      <c r="Q92" s="257" t="s">
        <v>2315</v>
      </c>
      <c r="R92" s="246" t="s">
        <v>2316</v>
      </c>
      <c r="S92" s="327"/>
    </row>
    <row r="93" spans="2:67" ht="16.5" customHeight="1">
      <c r="B93" s="295">
        <f t="shared" si="2"/>
        <v>0.15706806282722513</v>
      </c>
      <c r="C93" s="277">
        <f t="shared" si="3"/>
        <v>1</v>
      </c>
      <c r="D93" s="301">
        <v>30</v>
      </c>
      <c r="E93" s="1128" t="s">
        <v>2035</v>
      </c>
      <c r="F93" s="248">
        <f>D48</f>
        <v>13416.820996332015</v>
      </c>
      <c r="G93" s="248">
        <f>D51</f>
        <v>1628.8458091223772</v>
      </c>
      <c r="H93" s="246" t="str">
        <f>IF(F93&lt;&gt;"",IF(F93&lt;$C$2,"OVERVALUED",IF(F93&gt;$C$2,"UNDERVALUED","")),"")</f>
        <v>UNDERVALUED</v>
      </c>
      <c r="I93" s="256" t="str">
        <f>IF(G93&lt;&gt;"",IF(G93&lt;$C$3,"OVERVALUED",IF(G93&gt;$C$3,"UNDERVALUED","")),"")</f>
        <v>UNDERVALUED</v>
      </c>
      <c r="J93" s="246"/>
      <c r="K93" s="257"/>
      <c r="L93" s="309" t="s">
        <v>2089</v>
      </c>
      <c r="M93" s="246" t="s">
        <v>140</v>
      </c>
      <c r="N93" s="256" t="s">
        <v>139</v>
      </c>
      <c r="O93" s="1202" t="s">
        <v>2266</v>
      </c>
      <c r="P93" s="270" t="s">
        <v>1930</v>
      </c>
      <c r="Q93" s="718">
        <f t="array" ref="Q93:R93">LINEST(Q82:Q87,,TRUE,TRUE)</f>
        <v>22.620000000000033</v>
      </c>
      <c r="R93" s="251">
        <v>-32.786666666666676</v>
      </c>
      <c r="S93" s="256" t="s">
        <v>2318</v>
      </c>
      <c r="T93" s="288" t="s">
        <v>1673</v>
      </c>
      <c r="U93" s="266"/>
    </row>
    <row r="94" spans="2:67" ht="16.5" customHeight="1">
      <c r="B94" s="295">
        <f t="shared" si="2"/>
        <v>7.8534031413612565E-2</v>
      </c>
      <c r="C94" s="277">
        <f t="shared" si="3"/>
        <v>0.5</v>
      </c>
      <c r="D94" s="301">
        <v>15</v>
      </c>
      <c r="E94" s="1128" t="s">
        <v>2211</v>
      </c>
      <c r="F94" s="248">
        <f>B51</f>
        <v>13886.377200948276</v>
      </c>
      <c r="G94" s="248"/>
      <c r="H94" s="246" t="str">
        <f>IF(F94&lt;&gt;"",IF(F94&lt;$C$2,"OVERVALUED",IF(F94&gt;$C$2,"UNDERVALUED","")),"")</f>
        <v>UNDERVALUED</v>
      </c>
      <c r="I94" s="256" t="str">
        <f>IF(G94&lt;&gt;"",IF(G94&lt;$C$3,"OVERVALUED",IF(G94&gt;$C$3,"UNDERVALUED","")),"")</f>
        <v/>
      </c>
      <c r="J94" s="246"/>
      <c r="K94" s="257">
        <f ca="1">YEAR(TODAY())+1</f>
        <v>2018</v>
      </c>
      <c r="L94" s="309" t="s">
        <v>2090</v>
      </c>
      <c r="M94" s="252">
        <v>1218.5</v>
      </c>
      <c r="N94" s="291">
        <v>17.600000000000001</v>
      </c>
      <c r="O94" s="1203" t="s">
        <v>2267</v>
      </c>
      <c r="P94" s="311">
        <f>M94/N94</f>
        <v>69.232954545454547</v>
      </c>
      <c r="Q94" s="718">
        <f t="array" ref="Q94:R94">LINEST(R82:R86,,TRUE,TRUE)</f>
        <v>0.30689999999999951</v>
      </c>
      <c r="R94" s="248">
        <v>-0.34429999999999961</v>
      </c>
      <c r="S94" s="256"/>
      <c r="T94" s="288" t="s">
        <v>1674</v>
      </c>
      <c r="U94" s="266"/>
    </row>
    <row r="95" spans="2:67" ht="16.5" customHeight="1">
      <c r="B95" s="295">
        <f t="shared" si="2"/>
        <v>1.5706806282722512E-2</v>
      </c>
      <c r="C95" s="277">
        <f t="shared" si="3"/>
        <v>0.1</v>
      </c>
      <c r="D95" s="301">
        <v>3</v>
      </c>
      <c r="E95" s="1123" t="s">
        <v>2603</v>
      </c>
      <c r="F95" s="248">
        <f>E28</f>
        <v>43197.553390453097</v>
      </c>
      <c r="G95" s="248">
        <f>F28</f>
        <v>619.71766575113259</v>
      </c>
      <c r="H95" s="246" t="str">
        <f>IF(F95&lt;&gt;"",IF(F95&lt;$C$2,"OVERVALUED",IF(F95&gt;$C$2,"UNDERVALUED","")),"")</f>
        <v>UNDERVALUED</v>
      </c>
      <c r="I95" s="256" t="str">
        <f>IF(G95&lt;&gt;"",IF(G95&lt;$C$3,"OVERVALUED",IF(G95&gt;$C$3,"UNDERVALUED","")),"")</f>
        <v>UNDERVALUED</v>
      </c>
      <c r="J95" s="246"/>
      <c r="K95" s="257">
        <f ca="1">K94+1</f>
        <v>2019</v>
      </c>
      <c r="L95" s="309" t="s">
        <v>2091</v>
      </c>
      <c r="M95" s="252">
        <v>1241.5999999999999</v>
      </c>
      <c r="N95" s="291">
        <v>17.873999999999999</v>
      </c>
      <c r="O95" s="311"/>
      <c r="P95" s="311">
        <f t="shared" ref="P95:P98" si="5">M95/N95</f>
        <v>69.464025959494236</v>
      </c>
      <c r="Q95" s="259"/>
      <c r="R95" s="246"/>
      <c r="S95" s="256"/>
      <c r="U95" s="266"/>
    </row>
    <row r="96" spans="2:67" ht="16.5" customHeight="1">
      <c r="B96" s="295">
        <f t="shared" si="2"/>
        <v>5.235602094240838E-3</v>
      </c>
      <c r="C96" s="277">
        <f t="shared" si="3"/>
        <v>3.3333333333333333E-2</v>
      </c>
      <c r="D96" s="301">
        <v>1</v>
      </c>
      <c r="E96" s="1123" t="s">
        <v>2604</v>
      </c>
      <c r="F96" s="248">
        <f>H28</f>
        <v>1672.4896239999998</v>
      </c>
      <c r="G96" s="248">
        <f>I28</f>
        <v>23.9937516</v>
      </c>
      <c r="H96" s="246" t="str">
        <f>IF(F96&lt;&gt;"",IF(F96&lt;$C$2,"OVERVALUED",IF(F96&gt;$C$2,"UNDERVALUED","")),"")</f>
        <v>UNDERVALUED</v>
      </c>
      <c r="I96" s="256" t="str">
        <f>IF(G96&lt;&gt;"",IF(G96&lt;$C$3,"OVERVALUED",IF(G96&gt;$C$3,"UNDERVALUED","")),"")</f>
        <v>UNDERVALUED</v>
      </c>
      <c r="J96" s="246"/>
      <c r="K96" s="257">
        <f t="shared" ref="K96:K99" ca="1" si="6">K95+1</f>
        <v>2020</v>
      </c>
      <c r="L96" s="309" t="s">
        <v>2092</v>
      </c>
      <c r="M96" s="252">
        <v>1264.5999999999999</v>
      </c>
      <c r="N96" s="291">
        <v>18.236999999999998</v>
      </c>
      <c r="O96" s="311"/>
      <c r="P96" s="311">
        <f t="shared" si="5"/>
        <v>69.34254537478752</v>
      </c>
      <c r="Q96" s="257"/>
      <c r="R96" s="246"/>
      <c r="S96" s="256"/>
      <c r="U96" s="266"/>
    </row>
    <row r="97" spans="2:67" ht="16.5" customHeight="1">
      <c r="B97" s="295">
        <f t="shared" ref="B97:B113" si="7">D97/$D$119</f>
        <v>1.5706806282722512E-2</v>
      </c>
      <c r="C97" s="277">
        <f t="shared" ref="C97:C113" si="8">D97/$D$116</f>
        <v>0.1</v>
      </c>
      <c r="D97" s="301">
        <v>3</v>
      </c>
      <c r="E97" s="1123" t="s">
        <v>2605</v>
      </c>
      <c r="F97" s="248">
        <f>L24</f>
        <v>79230.011888980443</v>
      </c>
      <c r="G97" s="248"/>
      <c r="H97" s="246" t="str">
        <f>IF(F97&lt;&gt;"",IF(F97&lt;$C$2,"OVERVALUED",IF(F97&gt;$C$2,"UNDERVALUED","")),"")</f>
        <v>UNDERVALUED</v>
      </c>
      <c r="I97" s="256" t="str">
        <f>IF(G97&lt;&gt;"",IF(G97&lt;$C$3,"OVERVALUED",IF(G97&gt;$C$3,"UNDERVALUED","")),"")</f>
        <v/>
      </c>
      <c r="J97" s="246"/>
      <c r="K97" s="257">
        <f t="shared" ca="1" si="6"/>
        <v>2021</v>
      </c>
      <c r="L97" s="309" t="s">
        <v>2093</v>
      </c>
      <c r="M97" s="252">
        <v>1288.4000000000001</v>
      </c>
      <c r="N97" s="291">
        <v>18.599</v>
      </c>
      <c r="O97" s="311"/>
      <c r="P97" s="311">
        <f t="shared" si="5"/>
        <v>69.272541534491111</v>
      </c>
      <c r="Q97" s="257"/>
      <c r="R97" s="246"/>
      <c r="S97" s="256"/>
      <c r="U97" s="266"/>
    </row>
    <row r="98" spans="2:67" ht="16.5" customHeight="1">
      <c r="B98" s="295">
        <f t="shared" si="7"/>
        <v>5.235602094240838E-3</v>
      </c>
      <c r="C98" s="277">
        <f t="shared" si="8"/>
        <v>3.3333333333333333E-2</v>
      </c>
      <c r="D98" s="301">
        <v>1</v>
      </c>
      <c r="E98" s="1123" t="s">
        <v>2606</v>
      </c>
      <c r="F98" s="248">
        <f>O24</f>
        <v>3067.5666187845304</v>
      </c>
      <c r="G98" s="248"/>
      <c r="H98" s="246" t="str">
        <f>IF(F98&lt;&gt;"",IF(F98&lt;$C$2,"OVERVALUED",IF(F98&gt;$C$2,"UNDERVALUED","")),"")</f>
        <v>UNDERVALUED</v>
      </c>
      <c r="I98" s="256" t="str">
        <f>IF(G98&lt;&gt;"",IF(G98&lt;$C$3,"OVERVALUED",IF(G98&gt;$C$3,"UNDERVALUED","")),"")</f>
        <v/>
      </c>
      <c r="J98" s="246"/>
      <c r="K98" s="257">
        <f t="shared" ca="1" si="6"/>
        <v>2022</v>
      </c>
      <c r="L98" s="309" t="s">
        <v>2162</v>
      </c>
      <c r="M98" s="252">
        <v>1314.4</v>
      </c>
      <c r="N98" s="291">
        <v>18.771999999999998</v>
      </c>
      <c r="O98" s="311"/>
      <c r="P98" s="311">
        <f t="shared" si="5"/>
        <v>70.019177498401888</v>
      </c>
      <c r="Q98" s="257"/>
      <c r="R98" s="246"/>
      <c r="S98" s="256"/>
      <c r="U98" s="266"/>
    </row>
    <row r="99" spans="2:67" ht="17.25" customHeight="1">
      <c r="B99" s="295">
        <f t="shared" si="7"/>
        <v>2.6178010471204188E-2</v>
      </c>
      <c r="C99" s="277">
        <f t="shared" si="8"/>
        <v>0.16666666666666666</v>
      </c>
      <c r="D99" s="301">
        <v>5</v>
      </c>
      <c r="E99" s="1127" t="s">
        <v>2627</v>
      </c>
      <c r="F99" s="248">
        <f>C21</f>
        <v>832.97872340425533</v>
      </c>
      <c r="G99" s="248"/>
      <c r="H99" s="246" t="str">
        <f>IF(F99&lt;&gt;"",IF(F99&lt;$C$2,"OVERVALUED",IF(F99&gt;$C$2,"UNDERVALUED","")),"")</f>
        <v>OVERVALUED</v>
      </c>
      <c r="I99" s="256" t="str">
        <f>IF(G99&lt;&gt;"",IF(G99&lt;$C$3,"OVERVALUED",IF(G99&gt;$C$3,"UNDERVALUED","")),"")</f>
        <v/>
      </c>
      <c r="J99" s="246"/>
      <c r="K99" s="257">
        <f t="shared" ca="1" si="6"/>
        <v>2023</v>
      </c>
      <c r="L99" s="309" t="s">
        <v>2190</v>
      </c>
      <c r="M99" s="252">
        <v>1328.4</v>
      </c>
      <c r="N99" s="291"/>
      <c r="O99" s="311"/>
      <c r="Q99" s="257"/>
      <c r="R99" s="246"/>
      <c r="S99" s="256"/>
      <c r="U99" s="266"/>
    </row>
    <row r="100" spans="2:67" ht="16.5" customHeight="1">
      <c r="B100" s="295">
        <f t="shared" si="7"/>
        <v>5.235602094240838E-3</v>
      </c>
      <c r="C100" s="277">
        <f t="shared" si="8"/>
        <v>3.3333333333333333E-2</v>
      </c>
      <c r="D100" s="301">
        <v>1</v>
      </c>
      <c r="E100" s="1127" t="s">
        <v>2647</v>
      </c>
      <c r="F100" s="248">
        <f>C11</f>
        <v>1645.6689296358097</v>
      </c>
      <c r="G100" s="248">
        <f>D11</f>
        <v>2.8662069530867216</v>
      </c>
      <c r="H100" s="246" t="str">
        <f>IF(F100&lt;&gt;"",IF(F100&lt;$C$2,"OVERVALUED",IF(F100&gt;$C$2,"UNDERVALUED","")),"")</f>
        <v>UNDERVALUED</v>
      </c>
      <c r="I100" s="256" t="str">
        <f>IF(G100&lt;&gt;"",IF(G100&lt;$C$3,"OVERVALUED",IF(G100&gt;$C$3,"UNDERVALUED","")),"")</f>
        <v>OVERVALUED</v>
      </c>
      <c r="J100" s="261"/>
      <c r="K100" s="290"/>
      <c r="L100" s="251" t="s">
        <v>2094</v>
      </c>
      <c r="M100" s="251">
        <f>AVERAGE(M94:M99)</f>
        <v>1275.9833333333333</v>
      </c>
      <c r="N100" s="319">
        <f>AVERAGE(N94:N99)</f>
        <v>18.2164</v>
      </c>
      <c r="O100" s="342"/>
      <c r="Q100" s="257"/>
      <c r="R100" s="246"/>
      <c r="S100" s="256"/>
      <c r="U100" s="266"/>
    </row>
    <row r="101" spans="2:67" ht="16.5" customHeight="1" thickBot="1">
      <c r="B101" s="295">
        <f t="shared" si="7"/>
        <v>2.6178010471204188E-2</v>
      </c>
      <c r="C101" s="277">
        <f t="shared" si="8"/>
        <v>0.16666666666666666</v>
      </c>
      <c r="D101" s="301">
        <v>5</v>
      </c>
      <c r="E101" s="1127" t="s">
        <v>2646</v>
      </c>
      <c r="F101" s="248">
        <f>E11</f>
        <v>2420.1013671114847</v>
      </c>
      <c r="G101" s="248">
        <f>F11</f>
        <v>19.108046353911472</v>
      </c>
      <c r="H101" s="246" t="str">
        <f>IF(F101&lt;&gt;"",IF(F101&lt;$C$2,"OVERVALUED",IF(F101&gt;$C$2,"UNDERVALUED","")),"")</f>
        <v>UNDERVALUED</v>
      </c>
      <c r="I101" s="256" t="str">
        <f>IF(G101&lt;&gt;"",IF(G101&lt;$C$3,"OVERVALUED",IF(G101&gt;$C$3,"UNDERVALUED","")),"")</f>
        <v>UNDERVALUED</v>
      </c>
      <c r="J101" s="246"/>
      <c r="K101" s="320"/>
      <c r="L101" s="264" t="s">
        <v>474</v>
      </c>
      <c r="M101" s="268">
        <f>MEDIAN(M94:M99)</f>
        <v>1276.5</v>
      </c>
      <c r="N101" s="293">
        <f>MEDIAN(N94:N99)</f>
        <v>18.236999999999998</v>
      </c>
      <c r="O101" s="270"/>
      <c r="Q101" s="257"/>
      <c r="R101" s="246"/>
      <c r="S101" s="256"/>
      <c r="U101" s="266"/>
    </row>
    <row r="102" spans="2:67" ht="16.5" customHeight="1" thickBot="1">
      <c r="B102" s="295">
        <f t="shared" si="7"/>
        <v>1.0471204188481676E-2</v>
      </c>
      <c r="C102" s="277">
        <f t="shared" si="8"/>
        <v>6.6666666666666666E-2</v>
      </c>
      <c r="D102" s="301">
        <v>2</v>
      </c>
      <c r="E102" s="1127" t="s">
        <v>2618</v>
      </c>
      <c r="F102" s="248">
        <f>H12</f>
        <v>2965.428571428572</v>
      </c>
      <c r="G102" s="248"/>
      <c r="H102" s="246" t="str">
        <f>IF(F102&lt;&gt;"",IF(F102&lt;$C$2,"OVERVALUED",IF(F102&gt;$C$2,"UNDERVALUED","")),"")</f>
        <v>UNDERVALUED</v>
      </c>
      <c r="I102" s="256" t="str">
        <f>IF(G102&lt;&gt;"",IF(G102&lt;$C$3,"OVERVALUED",IF(G102&gt;$C$3,"UNDERVALUED","")),"")</f>
        <v/>
      </c>
      <c r="J102" s="1079"/>
      <c r="K102" s="248"/>
      <c r="Q102" s="257"/>
      <c r="R102" s="246"/>
      <c r="S102" s="256"/>
      <c r="U102" s="266"/>
    </row>
    <row r="103" spans="2:67" ht="16.5" customHeight="1" thickBot="1">
      <c r="B103" s="295">
        <f t="shared" si="7"/>
        <v>5.235602094240838E-3</v>
      </c>
      <c r="C103" s="277">
        <f t="shared" si="8"/>
        <v>3.3333333333333333E-2</v>
      </c>
      <c r="D103" s="301">
        <v>1</v>
      </c>
      <c r="E103" s="1129" t="s">
        <v>2107</v>
      </c>
      <c r="F103" s="248">
        <f>D32</f>
        <v>228.23</v>
      </c>
      <c r="G103" s="248"/>
      <c r="H103" s="246" t="str">
        <f>IF(F103&lt;&gt;"",IF(F103&lt;$C$2,"OVERVALUED",IF(F103&gt;$C$2,"UNDERVALUED","")),"")</f>
        <v>OVERVALUED</v>
      </c>
      <c r="I103" s="256" t="str">
        <f>IF(G103&lt;&gt;"",IF(G103&lt;$C$3,"OVERVALUED",IF(G103&gt;$C$3,"UNDERVALUED","")),"")</f>
        <v/>
      </c>
      <c r="J103" s="246"/>
      <c r="K103" s="1087" t="s">
        <v>2121</v>
      </c>
      <c r="L103" s="298"/>
      <c r="M103" s="383"/>
      <c r="N103" s="270"/>
      <c r="O103" s="1135"/>
      <c r="P103" s="247"/>
      <c r="Q103" s="257"/>
      <c r="R103" s="246"/>
      <c r="S103" s="256"/>
      <c r="U103" s="266"/>
    </row>
    <row r="104" spans="2:67" ht="16.5" customHeight="1">
      <c r="B104" s="295">
        <f t="shared" si="7"/>
        <v>1.0471204188481676E-2</v>
      </c>
      <c r="C104" s="277">
        <f t="shared" si="8"/>
        <v>6.6666666666666666E-2</v>
      </c>
      <c r="D104" s="301">
        <v>2</v>
      </c>
      <c r="E104" s="1129" t="s">
        <v>2109</v>
      </c>
      <c r="F104" s="248">
        <f>D36</f>
        <v>501.11</v>
      </c>
      <c r="G104" s="248"/>
      <c r="H104" s="246" t="str">
        <f>IF(F104&lt;&gt;"",IF(F104&lt;$C$2,"OVERVALUED",IF(F104&gt;$C$2,"UNDERVALUED","")),"")</f>
        <v>OVERVALUED</v>
      </c>
      <c r="I104" s="256" t="str">
        <f>IF(G104&lt;&gt;"",IF(G104&lt;$C$3,"OVERVALUED",IF(G104&gt;$C$3,"UNDERVALUED","")),"")</f>
        <v/>
      </c>
      <c r="J104" s="246"/>
      <c r="K104" s="1183" t="s">
        <v>2760</v>
      </c>
      <c r="L104" s="299" t="s">
        <v>140</v>
      </c>
      <c r="M104" s="500" t="s">
        <v>139</v>
      </c>
      <c r="N104" s="270"/>
      <c r="O104" s="370"/>
      <c r="P104" s="247"/>
      <c r="Q104" s="257"/>
      <c r="R104" s="246"/>
      <c r="S104" s="256"/>
      <c r="U104" s="266"/>
    </row>
    <row r="105" spans="2:67" ht="16.5" customHeight="1">
      <c r="B105" s="295">
        <f t="shared" si="7"/>
        <v>1.5706806282722512E-2</v>
      </c>
      <c r="C105" s="277">
        <f t="shared" si="8"/>
        <v>0.1</v>
      </c>
      <c r="D105" s="301">
        <v>3</v>
      </c>
      <c r="E105" s="1129" t="s">
        <v>2110</v>
      </c>
      <c r="F105" s="248">
        <f>D34</f>
        <v>646.16999999999996</v>
      </c>
      <c r="G105" s="248"/>
      <c r="H105" s="246" t="str">
        <f>IF(F105&lt;&gt;"",IF(F105&lt;$C$2,"OVERVALUED",IF(F105&gt;$C$2,"UNDERVALUED","")),"")</f>
        <v>OVERVALUED</v>
      </c>
      <c r="I105" s="256" t="str">
        <f>IF(G105&lt;&gt;"",IF(G105&lt;$C$3,"OVERVALUED",IF(G105&gt;$C$3,"UNDERVALUED","")),"")</f>
        <v/>
      </c>
      <c r="J105" s="1136" t="s">
        <v>2706</v>
      </c>
      <c r="K105" s="1085" t="s">
        <v>2120</v>
      </c>
      <c r="L105" s="318">
        <f>467937*100</f>
        <v>46793700</v>
      </c>
      <c r="M105" s="301">
        <f>172056*5000</f>
        <v>860280000</v>
      </c>
      <c r="N105" s="1156" t="s">
        <v>2227</v>
      </c>
      <c r="O105" s="370"/>
      <c r="P105" s="247"/>
      <c r="Q105" s="257"/>
      <c r="R105" s="246"/>
      <c r="S105" s="256"/>
      <c r="U105" s="266"/>
    </row>
    <row r="106" spans="2:67" ht="16.5" customHeight="1">
      <c r="B106" s="295">
        <f t="shared" si="7"/>
        <v>1.5706806282722512E-2</v>
      </c>
      <c r="C106" s="277">
        <f t="shared" si="8"/>
        <v>0.1</v>
      </c>
      <c r="D106" s="301">
        <v>3</v>
      </c>
      <c r="E106" s="1129" t="s">
        <v>2108</v>
      </c>
      <c r="F106" s="248"/>
      <c r="G106" s="248">
        <f>F32</f>
        <v>31.35</v>
      </c>
      <c r="H106" s="246" t="str">
        <f>IF(F106&lt;&gt;"",IF(F106&lt;$C$2,"OVERVALUED",IF(F106&gt;$C$2,"UNDERVALUED","")),"")</f>
        <v/>
      </c>
      <c r="I106" s="256" t="str">
        <f>IF(G106&lt;&gt;"",IF(G106&lt;$C$3,"OVERVALUED",IF(G106&gt;$C$3,"UNDERVALUED","")),"")</f>
        <v>UNDERVALUED</v>
      </c>
      <c r="J106" s="1136" t="s">
        <v>2183</v>
      </c>
      <c r="K106" s="1085" t="s">
        <v>2252</v>
      </c>
      <c r="L106" s="318">
        <v>1428729.3690000002</v>
      </c>
      <c r="M106" s="301">
        <v>29044618.434</v>
      </c>
      <c r="N106" s="1156" t="s">
        <v>2228</v>
      </c>
      <c r="O106" s="310"/>
      <c r="P106" s="247"/>
      <c r="Q106" s="257"/>
      <c r="R106" s="246"/>
      <c r="S106" s="256"/>
      <c r="U106" s="266"/>
    </row>
    <row r="107" spans="2:67" ht="16.5" customHeight="1">
      <c r="B107" s="295">
        <f t="shared" si="7"/>
        <v>1.5706806282722512E-2</v>
      </c>
      <c r="C107" s="277">
        <f t="shared" si="8"/>
        <v>0.1</v>
      </c>
      <c r="D107" s="301">
        <v>3</v>
      </c>
      <c r="E107" s="1130" t="s">
        <v>2024</v>
      </c>
      <c r="F107" s="248">
        <f>H59</f>
        <v>14755.199999999999</v>
      </c>
      <c r="G107" s="248">
        <f>I59</f>
        <v>211.68</v>
      </c>
      <c r="H107" s="246" t="str">
        <f>IF(F107&lt;&gt;"",IF(F107&lt;$C$2,"OVERVALUED",IF(F107&gt;$C$2,"UNDERVALUED","")),"")</f>
        <v>UNDERVALUED</v>
      </c>
      <c r="I107" s="256" t="str">
        <f>IF(G107&lt;&gt;"",IF(G107&lt;$C$3,"OVERVALUED",IF(G107&gt;$C$3,"UNDERVALUED","")),"")</f>
        <v>UNDERVALUED</v>
      </c>
      <c r="J107" s="1136" t="s">
        <v>2183</v>
      </c>
      <c r="K107" s="1085" t="s">
        <v>2253</v>
      </c>
      <c r="L107" s="318">
        <v>7565552.0159999998</v>
      </c>
      <c r="M107" s="301">
        <v>150567435.79299998</v>
      </c>
      <c r="N107" s="1154" t="s">
        <v>2225</v>
      </c>
      <c r="O107" s="310"/>
      <c r="P107" s="247"/>
      <c r="Q107" s="257"/>
      <c r="R107" s="246"/>
      <c r="S107" s="256"/>
      <c r="U107" s="266"/>
    </row>
    <row r="108" spans="2:67" ht="16.5" customHeight="1">
      <c r="B108" s="295">
        <f t="shared" si="7"/>
        <v>1.5706806282722512E-2</v>
      </c>
      <c r="C108" s="277">
        <f t="shared" si="8"/>
        <v>0.1</v>
      </c>
      <c r="D108" s="301">
        <v>3</v>
      </c>
      <c r="E108" s="1130" t="s">
        <v>2284</v>
      </c>
      <c r="F108" s="248">
        <f>K141</f>
        <v>3873.24</v>
      </c>
      <c r="G108" s="248">
        <f>L141</f>
        <v>55.566000000000003</v>
      </c>
      <c r="H108" s="246" t="str">
        <f>IF(F108&lt;&gt;"",IF(F108&lt;$C$2,"OVERVALUED",IF(F108&gt;$C$2,"UNDERVALUED","")),"")</f>
        <v>UNDERVALUED</v>
      </c>
      <c r="I108" s="256" t="str">
        <f>IF(G108&lt;&gt;"",IF(G108&lt;$C$3,"OVERVALUED",IF(G108&gt;$C$3,"UNDERVALUED","")),"")</f>
        <v>UNDERVALUED</v>
      </c>
      <c r="K108" s="295"/>
      <c r="L108" s="299"/>
      <c r="M108" s="500"/>
      <c r="N108" s="1155" t="s">
        <v>2226</v>
      </c>
      <c r="O108" s="310"/>
      <c r="P108" s="247"/>
      <c r="Q108" s="257"/>
      <c r="R108" s="246"/>
      <c r="S108" s="256"/>
      <c r="U108" s="266"/>
    </row>
    <row r="109" spans="2:67" ht="16.5" customHeight="1">
      <c r="B109" s="295">
        <f t="shared" si="7"/>
        <v>2.0942408376963352E-2</v>
      </c>
      <c r="C109" s="277">
        <f t="shared" si="8"/>
        <v>0.13333333333333333</v>
      </c>
      <c r="D109" s="301">
        <v>4</v>
      </c>
      <c r="E109" s="1130" t="s">
        <v>1958</v>
      </c>
      <c r="F109" s="248">
        <f>C39</f>
        <v>2103.7399999999998</v>
      </c>
      <c r="G109" s="248">
        <f>E39</f>
        <v>109.47</v>
      </c>
      <c r="H109" s="246" t="str">
        <f>IF(F109&lt;&gt;"",IF(F109&lt;$C$2,"OVERVALUED",IF(F109&gt;$C$2,"UNDERVALUED","")),"")</f>
        <v>UNDERVALUED</v>
      </c>
      <c r="I109" s="256" t="str">
        <f>IF(G109&lt;&gt;"",IF(G109&lt;$C$3,"OVERVALUED",IF(G109&gt;$C$3,"UNDERVALUED","")),"")</f>
        <v>UNDERVALUED</v>
      </c>
      <c r="J109" s="246"/>
      <c r="K109" s="295"/>
      <c r="L109" s="277" t="s">
        <v>2119</v>
      </c>
      <c r="M109" s="313" t="s">
        <v>2119</v>
      </c>
      <c r="N109" s="288"/>
      <c r="O109" s="310"/>
      <c r="P109" s="247"/>
      <c r="Q109" s="257"/>
      <c r="R109" s="246"/>
      <c r="S109" s="256"/>
      <c r="U109" s="266"/>
    </row>
    <row r="110" spans="2:67" ht="16.5" customHeight="1">
      <c r="B110" s="295">
        <f t="shared" si="7"/>
        <v>1.5706806282722512E-2</v>
      </c>
      <c r="C110" s="277">
        <f t="shared" si="8"/>
        <v>0.1</v>
      </c>
      <c r="D110" s="301">
        <v>3</v>
      </c>
      <c r="E110" s="1130" t="s">
        <v>2197</v>
      </c>
      <c r="F110" s="248">
        <f>K121</f>
        <v>11066.4</v>
      </c>
      <c r="G110" s="248">
        <f>K124</f>
        <v>352.8</v>
      </c>
      <c r="H110" s="246" t="str">
        <f>IF(F110&lt;&gt;"",IF(F110&lt;$C$2,"OVERVALUED",IF(F110&gt;$C$2,"UNDERVALUED","")),"")</f>
        <v>UNDERVALUED</v>
      </c>
      <c r="I110" s="256" t="str">
        <f>IF(G110&lt;&gt;"",IF(G110&lt;$C$3,"OVERVALUED",IF(G110&gt;$C$3,"UNDERVALUED","")),"")</f>
        <v>UNDERVALUED</v>
      </c>
      <c r="J110" s="246"/>
      <c r="K110" s="1085" t="s">
        <v>2254</v>
      </c>
      <c r="L110" s="299">
        <f>L105/L106</f>
        <v>32.751968997985927</v>
      </c>
      <c r="M110" s="500">
        <f>M105/M106</f>
        <v>29.619256384960639</v>
      </c>
      <c r="N110" s="311"/>
      <c r="O110" s="310"/>
      <c r="P110" s="247"/>
      <c r="Q110" s="257"/>
      <c r="R110" s="246"/>
      <c r="S110" s="256"/>
      <c r="U110" s="266"/>
    </row>
    <row r="111" spans="2:67" ht="16.5" customHeight="1">
      <c r="B111" s="295">
        <f t="shared" si="7"/>
        <v>1.5706806282722512E-2</v>
      </c>
      <c r="C111" s="277">
        <f t="shared" si="8"/>
        <v>0.1</v>
      </c>
      <c r="D111" s="301">
        <v>3</v>
      </c>
      <c r="E111" s="1131" t="s">
        <v>2648</v>
      </c>
      <c r="F111" s="248"/>
      <c r="G111" s="248">
        <f>S58</f>
        <v>797.63879882719777</v>
      </c>
      <c r="H111" s="246" t="str">
        <f>IF(F111&lt;&gt;"",IF(F111&lt;$C$2,"OVERVALUED",IF(F111&gt;$C$2,"UNDERVALUED","")),"")</f>
        <v/>
      </c>
      <c r="I111" s="256" t="str">
        <f>IF(G111&lt;&gt;"",IF(G111&lt;$C$3,"OVERVALUED",IF(G111&gt;$C$3,"UNDERVALUED","")),"")</f>
        <v>UNDERVALUED</v>
      </c>
      <c r="J111" s="246"/>
      <c r="K111" s="1085" t="s">
        <v>2118</v>
      </c>
      <c r="L111" s="299">
        <f>L105/(L106+L107)</f>
        <v>5.2026057443609766</v>
      </c>
      <c r="M111" s="500">
        <f>M105/(M106+M107)</f>
        <v>4.7896562605578135</v>
      </c>
      <c r="N111" s="311"/>
      <c r="O111" s="310"/>
      <c r="P111" s="247"/>
      <c r="Q111" s="257"/>
      <c r="R111" s="246"/>
      <c r="S111" s="256"/>
      <c r="U111" s="266"/>
    </row>
    <row r="112" spans="2:67" ht="16.5" customHeight="1">
      <c r="B112" s="295">
        <f t="shared" si="7"/>
        <v>1.5706806282722512E-2</v>
      </c>
      <c r="C112" s="277">
        <f t="shared" si="8"/>
        <v>0.1</v>
      </c>
      <c r="D112" s="301">
        <v>3</v>
      </c>
      <c r="E112" s="1131" t="s">
        <v>2295</v>
      </c>
      <c r="F112" s="248">
        <f>O78</f>
        <v>43900.469933333072</v>
      </c>
      <c r="G112" s="248">
        <f>P78</f>
        <v>629.80179702667169</v>
      </c>
      <c r="H112" s="246" t="str">
        <f>IF(F112&lt;&gt;"",IF(F112&lt;$C$2,"OVERVALUED",IF(F112&gt;$C$2,"UNDERVALUED","")),"")</f>
        <v>UNDERVALUED</v>
      </c>
      <c r="I112" s="256" t="str">
        <f>IF(G112&lt;&gt;"",IF(G112&lt;$C$3,"OVERVALUED",IF(G112&gt;$C$3,"UNDERVALUED","")),"")</f>
        <v>UNDERVALUED</v>
      </c>
      <c r="J112" s="246"/>
      <c r="K112" s="1085"/>
      <c r="L112" s="299"/>
      <c r="M112" s="500"/>
      <c r="O112" s="370"/>
      <c r="P112" s="247"/>
      <c r="Q112" s="257"/>
      <c r="R112" s="246"/>
      <c r="S112" s="256"/>
      <c r="U112" s="266"/>
      <c r="BA112" s="249"/>
      <c r="BB112" s="247"/>
      <c r="BC112" s="273"/>
      <c r="BD112" s="272"/>
      <c r="BE112" s="274"/>
      <c r="BG112" s="273"/>
      <c r="BI112" s="1273"/>
      <c r="BJ112" s="1273"/>
      <c r="BN112" s="247"/>
      <c r="BO112" s="247"/>
    </row>
    <row r="113" spans="2:67" ht="16.5" customHeight="1" thickBot="1">
      <c r="B113" s="295">
        <f t="shared" si="7"/>
        <v>1.5706806282722512E-2</v>
      </c>
      <c r="C113" s="277">
        <f t="shared" si="8"/>
        <v>0.1</v>
      </c>
      <c r="D113" s="301">
        <v>3</v>
      </c>
      <c r="E113" s="1476" t="s">
        <v>2298</v>
      </c>
      <c r="F113" s="268"/>
      <c r="G113" s="268">
        <f>K66</f>
        <v>639.523613963039</v>
      </c>
      <c r="H113" s="264" t="str">
        <f>IF(F113&lt;&gt;"",IF(F113&lt;$C$2,"OVERVALUED",IF(F113&gt;$C$2,"UNDERVALUED","")),"")</f>
        <v/>
      </c>
      <c r="I113" s="265" t="str">
        <f>IF(G113&lt;&gt;"",IF(G113&lt;$C$3,"OVERVALUED",IF(G113&gt;$C$3,"UNDERVALUED","")),"")</f>
        <v>UNDERVALUED</v>
      </c>
      <c r="J113" s="246"/>
      <c r="K113" s="1085" t="s">
        <v>2255</v>
      </c>
      <c r="L113" s="251">
        <f>C2*L110</f>
        <v>40271.821079923495</v>
      </c>
      <c r="M113" s="319">
        <f>C3*M110</f>
        <v>522.48368263070574</v>
      </c>
      <c r="N113" s="249">
        <f>L113/M113</f>
        <v>77.0776627456667</v>
      </c>
      <c r="O113" s="1134"/>
      <c r="P113" s="247"/>
      <c r="Q113" s="257"/>
      <c r="R113" s="246"/>
      <c r="S113" s="256"/>
      <c r="U113" s="266"/>
      <c r="BA113" s="249"/>
      <c r="BB113" s="247"/>
      <c r="BC113" s="273"/>
      <c r="BD113" s="272"/>
      <c r="BE113" s="274"/>
      <c r="BG113" s="273"/>
      <c r="BI113" s="1273"/>
      <c r="BJ113" s="1273"/>
      <c r="BN113" s="247"/>
      <c r="BO113" s="247"/>
    </row>
    <row r="114" spans="2:67" ht="16.5" customHeight="1" thickBot="1">
      <c r="B114" s="295"/>
      <c r="C114" s="299"/>
      <c r="D114" s="299"/>
      <c r="E114" s="296" t="s">
        <v>472</v>
      </c>
      <c r="F114" s="278">
        <f>AVERAGE(F65:F113)</f>
        <v>14603.653224738868</v>
      </c>
      <c r="G114" s="278">
        <f>AVERAGE(G65:G113)</f>
        <v>1344.9211804495278</v>
      </c>
      <c r="H114" s="296" t="s">
        <v>1342</v>
      </c>
      <c r="I114" s="255" t="s">
        <v>1342</v>
      </c>
      <c r="K114" s="1178" t="s">
        <v>2255</v>
      </c>
      <c r="L114" s="326">
        <f>C2*L111</f>
        <v>6397.1240232662567</v>
      </c>
      <c r="M114" s="717">
        <f>C3*M111</f>
        <v>84.489536436239831</v>
      </c>
      <c r="N114" s="249">
        <f>L114/M114</f>
        <v>75.714985465612742</v>
      </c>
      <c r="O114" s="270"/>
      <c r="P114" s="247"/>
      <c r="Q114" s="257"/>
      <c r="R114" s="246"/>
      <c r="S114" s="256"/>
      <c r="U114" s="266"/>
      <c r="BA114" s="249"/>
      <c r="BB114" s="247"/>
      <c r="BC114" s="273"/>
      <c r="BD114" s="272"/>
      <c r="BE114" s="274"/>
      <c r="BG114" s="273"/>
      <c r="BI114" s="1273"/>
      <c r="BJ114" s="1273"/>
      <c r="BN114" s="247"/>
      <c r="BO114" s="247"/>
    </row>
    <row r="115" spans="2:67" ht="16.5" customHeight="1">
      <c r="B115" s="295" t="s">
        <v>2137</v>
      </c>
      <c r="D115" s="299" t="s">
        <v>2123</v>
      </c>
      <c r="E115" s="257"/>
      <c r="F115" s="246"/>
      <c r="G115" s="246"/>
      <c r="H115" s="1074">
        <f>COUNTIF(H65:H113,"UNDERVALUED")/(COUNTA(H65:H113)-COUNTBLANK(H65:H113))</f>
        <v>0.69230769230769229</v>
      </c>
      <c r="I115" s="263">
        <f>COUNTIF(I65:I113,"UNDERVALUED")/(COUNTA(I65:I113)-COUNTBLANK(I65:I113))</f>
        <v>0.9</v>
      </c>
      <c r="K115" s="333" t="s">
        <v>2127</v>
      </c>
      <c r="L115" s="270"/>
      <c r="O115" s="270"/>
      <c r="P115" s="247"/>
      <c r="Q115" s="257"/>
      <c r="R115" s="246"/>
      <c r="S115" s="256"/>
      <c r="U115" s="266"/>
      <c r="BA115" s="249"/>
      <c r="BB115" s="247"/>
      <c r="BC115" s="273"/>
      <c r="BD115" s="272"/>
      <c r="BE115" s="274"/>
      <c r="BG115" s="273"/>
      <c r="BI115" s="1273"/>
      <c r="BJ115" s="1273"/>
      <c r="BN115" s="247"/>
      <c r="BO115" s="247"/>
    </row>
    <row r="116" spans="2:67" ht="16.5" customHeight="1">
      <c r="B116" s="295">
        <f>SUM(B65:B113)</f>
        <v>0.99999999999999967</v>
      </c>
      <c r="C116" s="299"/>
      <c r="D116" s="299">
        <f>MAX(D65:D113)</f>
        <v>30</v>
      </c>
      <c r="E116" s="257" t="s">
        <v>2125</v>
      </c>
      <c r="F116" s="248">
        <f>(D65*F65+D66*F66+D68*F68+D69*F69+D71*F71+D73*F73+D75*F75+D77*F77+D78*F78+D79*F79+D80*F80+D81*F81+D82*F82+D84*F84+D88*F88+D89*F89+D93*F93+D103*F103+D104*F104+D105*F105+D107*F107+D109*F109+D110*F110+D94*F94+D108*F108+D92*F92+D112*F112+D83*F83+D91*F91+F95*D95+F96*D96+F98*D98+F97*D97+F99*D99+F100*D100+F102*D102+F101*D101+F85*D85+F87*D87+F86*D86+F90*D90)/SUM(D65,D66,D68,D69,D71,D73,D75,D77,D78,D79,D80,D81,D82,D84,D88,D89,D93,D103,D104,D105,D107,D109,D110,D94,D108,D92,D112,D83,D91,D95,D96,D98,D97,D99,D100,D102,D101,D85,D87,D86,D90)</f>
        <v>12653.112439450446</v>
      </c>
      <c r="G116" s="248">
        <f>(D65*G65+D67*G67+D68*G68+D69*G69+D70*G70+D72*G72+D74*G74+D76*G76+D78*G78+D79*G79+D80*G82+D84*G84+D88*G88+D93*G93+D106*G106+D107*G107+D109*G109+D113*G113+D110*G110+D108*G108+D112*G112+D83*G83+G95*D95+G96*D96+G99*D99+G100*D100+G102*D102+G101*D101+G111*D111+G87*D87+G85*D85+G86*D86)/SUM(D65,D67,D68,D69,D70,D72,D74,D76,D78,D79,D80,D84,D88,D93,D106,D107,D109,D113,D110,D108,D112,D83,D95,D96,D99,D100,D102,D101,D111,D87,D85,D86)</f>
        <v>702.61065299494703</v>
      </c>
      <c r="H116" s="257"/>
      <c r="I116" s="256"/>
      <c r="K116" s="310"/>
      <c r="L116" s="250"/>
      <c r="M116" s="270"/>
      <c r="P116" s="247"/>
      <c r="Q116" s="257"/>
      <c r="R116" s="246"/>
      <c r="S116" s="256"/>
      <c r="U116" s="266"/>
      <c r="BA116" s="249"/>
      <c r="BB116" s="247"/>
      <c r="BC116" s="273"/>
      <c r="BD116" s="272"/>
      <c r="BE116" s="274"/>
      <c r="BG116" s="273"/>
      <c r="BI116" s="1273"/>
      <c r="BJ116" s="1273"/>
      <c r="BN116" s="247"/>
      <c r="BO116" s="247"/>
    </row>
    <row r="117" spans="2:67" ht="16.5" customHeight="1" thickBot="1">
      <c r="B117" s="295"/>
      <c r="E117" s="257"/>
      <c r="F117" s="246"/>
      <c r="G117" s="246"/>
      <c r="H117" s="257" t="s">
        <v>1343</v>
      </c>
      <c r="I117" s="256" t="s">
        <v>1343</v>
      </c>
      <c r="J117" s="246"/>
      <c r="K117" s="310"/>
      <c r="L117" s="250"/>
      <c r="O117" s="270"/>
      <c r="P117" s="247"/>
      <c r="Q117" s="257"/>
      <c r="R117" s="246"/>
      <c r="S117" s="256"/>
      <c r="U117" s="266"/>
      <c r="BA117" s="249"/>
      <c r="BB117" s="247"/>
      <c r="BC117" s="273"/>
      <c r="BD117" s="272"/>
      <c r="BE117" s="274"/>
      <c r="BG117" s="273"/>
      <c r="BI117" s="1273"/>
      <c r="BJ117" s="1273"/>
      <c r="BN117" s="247"/>
      <c r="BO117" s="247"/>
    </row>
    <row r="118" spans="2:67" ht="16.5" customHeight="1">
      <c r="B118" s="295"/>
      <c r="C118" s="299"/>
      <c r="D118" s="299" t="s">
        <v>2136</v>
      </c>
      <c r="E118" s="257" t="s">
        <v>2112</v>
      </c>
      <c r="F118" s="248">
        <f>MIN(F65:F113)</f>
        <v>17.64</v>
      </c>
      <c r="G118" s="248">
        <f>MIN(G65:G113)</f>
        <v>2.8662069530867216</v>
      </c>
      <c r="H118" s="1074">
        <f>1-H115</f>
        <v>0.30769230769230771</v>
      </c>
      <c r="I118" s="263">
        <f>1-I115</f>
        <v>9.9999999999999978E-2</v>
      </c>
      <c r="J118" s="246"/>
      <c r="K118" s="1144" t="s">
        <v>2195</v>
      </c>
      <c r="L118" s="254"/>
      <c r="M118" s="254"/>
      <c r="N118" s="254"/>
      <c r="O118" s="343"/>
      <c r="P118" s="247"/>
      <c r="Q118" s="257"/>
      <c r="R118" s="246"/>
      <c r="S118" s="256"/>
      <c r="U118" s="266"/>
      <c r="BA118" s="249"/>
      <c r="BB118" s="247"/>
      <c r="BC118" s="273"/>
      <c r="BD118" s="272"/>
      <c r="BE118" s="274"/>
      <c r="BG118" s="273"/>
      <c r="BI118" s="1273"/>
      <c r="BJ118" s="1273"/>
      <c r="BN118" s="247"/>
      <c r="BO118" s="247"/>
    </row>
    <row r="119" spans="2:67" ht="16.5" customHeight="1" thickBot="1">
      <c r="B119" s="1086"/>
      <c r="C119" s="1102"/>
      <c r="D119" s="1102">
        <f>SUM(D65:D113)</f>
        <v>191</v>
      </c>
      <c r="E119" s="257" t="s">
        <v>2114</v>
      </c>
      <c r="F119" s="248">
        <f>QUARTILE(F65:F113,1)</f>
        <v>1080.0453</v>
      </c>
      <c r="G119" s="248">
        <f>QUARTILE(G65:G113,1)</f>
        <v>26.801349999999992</v>
      </c>
      <c r="H119" s="257"/>
      <c r="I119" s="256"/>
      <c r="J119" s="246"/>
      <c r="K119" s="302" t="s">
        <v>2196</v>
      </c>
      <c r="L119" s="246"/>
      <c r="M119" s="246"/>
      <c r="N119" s="246"/>
      <c r="O119" s="344"/>
      <c r="P119" s="247"/>
      <c r="Q119" s="257"/>
      <c r="R119" s="246"/>
      <c r="S119" s="256"/>
      <c r="U119" s="266"/>
      <c r="BA119" s="249"/>
      <c r="BB119" s="247"/>
      <c r="BC119" s="273"/>
      <c r="BD119" s="272"/>
      <c r="BE119" s="274"/>
      <c r="BG119" s="273"/>
      <c r="BI119" s="1273"/>
      <c r="BJ119" s="1273"/>
      <c r="BN119" s="247"/>
      <c r="BO119" s="247"/>
    </row>
    <row r="120" spans="2:67" ht="16.5" customHeight="1">
      <c r="E120" s="1454" t="s">
        <v>2111</v>
      </c>
      <c r="F120" s="340">
        <f>MEDIAN(F65:F113)</f>
        <v>3016.4975951065512</v>
      </c>
      <c r="G120" s="340">
        <f>MEDIAN(G65:G113)</f>
        <v>109.47</v>
      </c>
      <c r="H120" s="1075" t="str">
        <f>IF(H115&gt;H118,"UNDERVALUED",IF(H115&lt;H118,"OVERVALUED","50-50"))</f>
        <v>UNDERVALUED</v>
      </c>
      <c r="I120" s="1475" t="str">
        <f>IF(I115&gt;I118,"UNDERVALUED",IF(I115&lt;I118,"OVERVALUED","50-50"))</f>
        <v>UNDERVALUED</v>
      </c>
      <c r="J120" s="246"/>
      <c r="K120" s="302" t="s">
        <v>1673</v>
      </c>
      <c r="L120" s="246"/>
      <c r="M120" s="246"/>
      <c r="N120" s="246"/>
      <c r="O120" s="344"/>
      <c r="P120" s="247"/>
      <c r="Q120" s="257"/>
      <c r="R120" s="246"/>
      <c r="S120" s="256"/>
      <c r="U120" s="266"/>
      <c r="BA120" s="249"/>
      <c r="BB120" s="247"/>
      <c r="BC120" s="273"/>
      <c r="BD120" s="272"/>
      <c r="BE120" s="274"/>
      <c r="BG120" s="273"/>
      <c r="BI120" s="1273"/>
      <c r="BJ120" s="1273"/>
      <c r="BN120" s="247"/>
      <c r="BO120" s="247"/>
    </row>
    <row r="121" spans="2:67" ht="16.5" customHeight="1">
      <c r="E121" s="257" t="s">
        <v>2115</v>
      </c>
      <c r="F121" s="248">
        <f>QUARTILE(F65:F113,3)</f>
        <v>13648.744408943878</v>
      </c>
      <c r="G121" s="248">
        <f>QUARTILE(G65:G113,3)</f>
        <v>634.66270549485535</v>
      </c>
      <c r="H121" s="257" t="str">
        <f>IF(H120="OVERVALUED","Sell/Hold",IF(H120="UNDERVALUED","Buy/Hold","Hold"))</f>
        <v>Buy/Hold</v>
      </c>
      <c r="I121" s="256" t="str">
        <f>IF(I120="OVERVALUED","Sell/Hold",IF(I120="UNDERVALUED","Buy/Hold","Hold"))</f>
        <v>Buy/Hold</v>
      </c>
      <c r="J121" s="246"/>
      <c r="K121" s="302">
        <f>9*F65</f>
        <v>11066.4</v>
      </c>
      <c r="L121" s="246"/>
      <c r="M121" s="246"/>
      <c r="N121" s="246"/>
      <c r="O121" s="344"/>
      <c r="P121" s="247"/>
      <c r="Q121" s="257"/>
      <c r="R121" s="246"/>
      <c r="S121" s="256"/>
      <c r="U121" s="266"/>
      <c r="BA121" s="249"/>
      <c r="BB121" s="247"/>
      <c r="BC121" s="273"/>
      <c r="BD121" s="272"/>
      <c r="BE121" s="274"/>
      <c r="BG121" s="273"/>
      <c r="BI121" s="1273"/>
      <c r="BJ121" s="1273"/>
      <c r="BN121" s="247"/>
      <c r="BO121" s="247"/>
    </row>
    <row r="122" spans="2:67" ht="16.5" customHeight="1">
      <c r="B122" s="1098"/>
      <c r="E122" s="257" t="s">
        <v>2113</v>
      </c>
      <c r="F122" s="248">
        <f>MAX(F65:F113)</f>
        <v>130790.30938673185</v>
      </c>
      <c r="G122" s="248">
        <f>MAX(G65:G113)</f>
        <v>22357.317843885787</v>
      </c>
      <c r="H122" s="257"/>
      <c r="I122" s="256"/>
      <c r="J122" s="246"/>
      <c r="K122" s="302"/>
      <c r="L122" s="246"/>
      <c r="M122" s="246"/>
      <c r="N122" s="246"/>
      <c r="O122" s="344"/>
      <c r="P122" s="247"/>
      <c r="Q122" s="257"/>
      <c r="R122" s="246"/>
      <c r="S122" s="256"/>
      <c r="U122" s="266"/>
      <c r="BA122" s="249"/>
      <c r="BB122" s="247"/>
      <c r="BC122" s="273"/>
      <c r="BD122" s="272"/>
      <c r="BE122" s="274"/>
      <c r="BG122" s="273"/>
      <c r="BI122" s="1273"/>
      <c r="BJ122" s="1273"/>
      <c r="BN122" s="247"/>
      <c r="BO122" s="247"/>
    </row>
    <row r="123" spans="2:67" ht="16.5" customHeight="1" thickBot="1">
      <c r="E123" s="257" t="s">
        <v>2126</v>
      </c>
      <c r="F123" s="248">
        <f>F121-F119</f>
        <v>12568.699108943878</v>
      </c>
      <c r="G123" s="248">
        <f>G121-G119</f>
        <v>607.86135549485539</v>
      </c>
      <c r="H123" s="1089">
        <f>F120/F65-1</f>
        <v>1.4532348691497652</v>
      </c>
      <c r="I123" s="1477">
        <f>G120/G65-1</f>
        <v>5.2057823129251695</v>
      </c>
      <c r="J123" s="246"/>
      <c r="K123" s="302" t="s">
        <v>1674</v>
      </c>
      <c r="L123" s="246"/>
      <c r="M123" s="246"/>
      <c r="N123" s="246"/>
      <c r="O123" s="344"/>
      <c r="P123" s="247"/>
      <c r="Q123" s="257"/>
      <c r="R123" s="246"/>
      <c r="S123" s="256"/>
      <c r="U123" s="266"/>
      <c r="BA123" s="249"/>
      <c r="BB123" s="247"/>
      <c r="BC123" s="273"/>
      <c r="BD123" s="272"/>
      <c r="BE123" s="274"/>
      <c r="BG123" s="273"/>
      <c r="BI123" s="1273"/>
      <c r="BJ123" s="1273"/>
      <c r="BN123" s="247"/>
      <c r="BO123" s="247"/>
    </row>
    <row r="124" spans="2:67" ht="16.5" customHeight="1">
      <c r="D124" s="277" t="s">
        <v>2129</v>
      </c>
      <c r="E124" s="257"/>
      <c r="F124" s="246"/>
      <c r="G124" s="246"/>
      <c r="H124" s="246"/>
      <c r="I124" s="256"/>
      <c r="J124" s="246"/>
      <c r="K124" s="302">
        <f>20*G65</f>
        <v>352.8</v>
      </c>
      <c r="L124" s="246"/>
      <c r="M124" s="246"/>
      <c r="N124" s="246"/>
      <c r="O124" s="344"/>
      <c r="P124" s="247"/>
      <c r="Q124" s="257"/>
      <c r="R124" s="246"/>
      <c r="S124" s="256"/>
      <c r="U124" s="266"/>
      <c r="BA124" s="249"/>
      <c r="BB124" s="247"/>
      <c r="BC124" s="273"/>
      <c r="BD124" s="272"/>
      <c r="BE124" s="274"/>
      <c r="BG124" s="273"/>
      <c r="BI124" s="1273"/>
      <c r="BJ124" s="1273"/>
      <c r="BN124" s="247"/>
      <c r="BO124" s="247"/>
    </row>
    <row r="125" spans="2:67" ht="16.5" customHeight="1">
      <c r="D125" s="318">
        <v>60</v>
      </c>
      <c r="E125" s="257" t="str">
        <f>CONCATENATE(100*(((100-D125)/2)/100),"% percentile")</f>
        <v>20% percentile</v>
      </c>
      <c r="F125" s="248">
        <f>PERCENTILE(F65:F113,((100-$D$125)/2)/100)</f>
        <v>795.61697872340437</v>
      </c>
      <c r="G125" s="248">
        <f>PERCENTILE(G65:G113,((100-$D$125)/2)/100)</f>
        <v>23.9937516</v>
      </c>
      <c r="H125" s="253"/>
      <c r="I125" s="287"/>
      <c r="J125" s="246"/>
      <c r="K125" s="302"/>
      <c r="L125" s="246"/>
      <c r="M125" s="246"/>
      <c r="N125" s="246"/>
      <c r="O125" s="344"/>
      <c r="P125" s="247"/>
      <c r="Q125" s="257"/>
      <c r="R125" s="246"/>
      <c r="S125" s="256"/>
      <c r="U125" s="266"/>
      <c r="BA125" s="249"/>
      <c r="BB125" s="247"/>
      <c r="BC125" s="273"/>
      <c r="BD125" s="272"/>
      <c r="BE125" s="274"/>
      <c r="BG125" s="273"/>
      <c r="BI125" s="1273"/>
      <c r="BJ125" s="1273"/>
      <c r="BN125" s="247"/>
      <c r="BO125" s="247"/>
    </row>
    <row r="126" spans="2:67" ht="16.5" customHeight="1">
      <c r="D126" s="823"/>
      <c r="E126" s="257" t="str">
        <f>CONCATENATE(100*(1-(((100-D125)/2)/100)),"% percentile")</f>
        <v>80% percentile</v>
      </c>
      <c r="F126" s="248">
        <f>PERCENTILE(F65:F113,1-(((100-$D$125)/2)/100))</f>
        <v>14195.323264910294</v>
      </c>
      <c r="G126" s="248">
        <f>PERCENTILE(G65:G113,1-(((100-$D$125)/2)/100))</f>
        <v>797.63879882719777</v>
      </c>
      <c r="H126" s="253"/>
      <c r="I126" s="260"/>
      <c r="J126" s="246"/>
      <c r="K126" s="302" t="s">
        <v>1930</v>
      </c>
      <c r="L126" s="246"/>
      <c r="M126" s="246"/>
      <c r="N126" s="246"/>
      <c r="O126" s="344"/>
      <c r="P126" s="247"/>
      <c r="Q126" s="257"/>
      <c r="R126" s="246"/>
      <c r="S126" s="256"/>
      <c r="U126" s="266"/>
      <c r="BA126" s="249"/>
      <c r="BB126" s="247"/>
      <c r="BC126" s="273"/>
      <c r="BD126" s="272"/>
      <c r="BE126" s="274"/>
      <c r="BG126" s="273"/>
      <c r="BI126" s="1273"/>
      <c r="BJ126" s="1273"/>
      <c r="BN126" s="247"/>
      <c r="BO126" s="247"/>
    </row>
    <row r="127" spans="2:67" ht="16.5" customHeight="1" thickBot="1">
      <c r="D127" s="823"/>
      <c r="E127" s="292"/>
      <c r="F127" s="268"/>
      <c r="G127" s="268"/>
      <c r="H127" s="264"/>
      <c r="I127" s="265"/>
      <c r="J127" s="246"/>
      <c r="K127" s="1145">
        <f>K121/K124</f>
        <v>31.367346938775508</v>
      </c>
      <c r="L127" s="264"/>
      <c r="M127" s="264"/>
      <c r="N127" s="264"/>
      <c r="O127" s="1146"/>
      <c r="P127" s="247"/>
      <c r="Q127" s="292"/>
      <c r="R127" s="264"/>
      <c r="S127" s="265"/>
      <c r="U127" s="266"/>
      <c r="BA127" s="249"/>
      <c r="BB127" s="247"/>
      <c r="BC127" s="273"/>
      <c r="BD127" s="272"/>
      <c r="BE127" s="274"/>
      <c r="BG127" s="273"/>
      <c r="BI127" s="1273"/>
      <c r="BJ127" s="1273"/>
      <c r="BN127" s="247"/>
      <c r="BO127" s="247"/>
    </row>
    <row r="128" spans="2:67" ht="16.5" customHeight="1">
      <c r="J128" s="246"/>
      <c r="K128" s="269"/>
      <c r="L128" s="247"/>
      <c r="O128" s="270"/>
      <c r="P128" s="247"/>
      <c r="U128" s="266"/>
      <c r="BA128" s="249"/>
      <c r="BB128" s="247"/>
      <c r="BC128" s="273"/>
      <c r="BD128" s="272"/>
      <c r="BE128" s="274"/>
      <c r="BG128" s="273"/>
      <c r="BI128" s="1273"/>
      <c r="BJ128" s="1273"/>
      <c r="BN128" s="247"/>
      <c r="BO128" s="247"/>
    </row>
    <row r="129" spans="2:67" ht="16.5" customHeight="1" thickBot="1">
      <c r="D129" s="247"/>
      <c r="F129" s="1046" t="s">
        <v>2100</v>
      </c>
      <c r="G129" s="1079"/>
      <c r="H129" s="306" t="s">
        <v>2098</v>
      </c>
      <c r="I129" s="262"/>
      <c r="J129" s="246"/>
      <c r="K129" s="269" t="s">
        <v>2277</v>
      </c>
      <c r="L129" s="247"/>
      <c r="O129" s="270"/>
      <c r="P129" s="247"/>
      <c r="U129" s="266"/>
      <c r="BA129" s="249"/>
      <c r="BB129" s="247"/>
      <c r="BC129" s="273"/>
      <c r="BD129" s="272"/>
      <c r="BE129" s="274"/>
      <c r="BG129" s="273"/>
      <c r="BI129" s="1273"/>
      <c r="BJ129" s="1273"/>
      <c r="BN129" s="247"/>
      <c r="BO129" s="247"/>
    </row>
    <row r="130" spans="2:67" ht="16.5" customHeight="1">
      <c r="B130" s="1087" t="s">
        <v>2039</v>
      </c>
      <c r="C130" s="1272" t="s">
        <v>10</v>
      </c>
      <c r="D130" s="1090" t="s">
        <v>2036</v>
      </c>
      <c r="E130" s="1094" t="s">
        <v>2037</v>
      </c>
      <c r="F130" s="1090" t="s">
        <v>2040</v>
      </c>
      <c r="G130" s="1094" t="s">
        <v>2041</v>
      </c>
      <c r="H130" s="1090" t="s">
        <v>140</v>
      </c>
      <c r="I130" s="1091" t="s">
        <v>139</v>
      </c>
      <c r="J130" s="246"/>
      <c r="K130" s="1179" t="s">
        <v>2272</v>
      </c>
      <c r="L130" s="254" t="s">
        <v>2273</v>
      </c>
      <c r="M130" s="255"/>
      <c r="O130" s="270"/>
      <c r="P130" s="247"/>
      <c r="U130" s="266"/>
      <c r="BA130" s="249"/>
      <c r="BB130" s="247"/>
      <c r="BC130" s="273"/>
      <c r="BD130" s="272"/>
      <c r="BE130" s="274"/>
      <c r="BG130" s="273"/>
      <c r="BI130" s="1273"/>
      <c r="BJ130" s="1273"/>
      <c r="BN130" s="247"/>
      <c r="BO130" s="247"/>
    </row>
    <row r="131" spans="2:67" ht="16.5" customHeight="1">
      <c r="B131" s="1141">
        <v>1</v>
      </c>
      <c r="C131" s="1092">
        <f ca="1">TODAY()</f>
        <v>42772</v>
      </c>
      <c r="D131" s="248">
        <f>F65</f>
        <v>1229.5999999999999</v>
      </c>
      <c r="E131" s="276">
        <f>G65</f>
        <v>17.64</v>
      </c>
      <c r="F131" s="248">
        <f>F120</f>
        <v>3016.4975951065512</v>
      </c>
      <c r="G131" s="276">
        <f>G120</f>
        <v>109.47</v>
      </c>
      <c r="H131" s="284">
        <f>(F131/D131-1)</f>
        <v>1.4532348691497652</v>
      </c>
      <c r="I131" s="335">
        <f>(G131/E131-1)</f>
        <v>5.2057823129251695</v>
      </c>
      <c r="J131" s="246"/>
      <c r="K131" s="718">
        <v>1.6</v>
      </c>
      <c r="L131" s="246" t="s">
        <v>2274</v>
      </c>
      <c r="M131" s="256"/>
      <c r="O131" s="270"/>
      <c r="P131" s="247"/>
      <c r="U131" s="266"/>
      <c r="BA131" s="249"/>
      <c r="BB131" s="247"/>
      <c r="BC131" s="273"/>
      <c r="BD131" s="272"/>
      <c r="BE131" s="274"/>
      <c r="BG131" s="273"/>
      <c r="BI131" s="1273"/>
      <c r="BJ131" s="1273"/>
      <c r="BN131" s="247"/>
      <c r="BO131" s="247"/>
    </row>
    <row r="132" spans="2:67" ht="16.5" customHeight="1" thickBot="1">
      <c r="B132" s="617"/>
      <c r="C132" s="1092"/>
      <c r="D132" s="248"/>
      <c r="E132" s="276"/>
      <c r="G132" s="334"/>
      <c r="H132" s="284"/>
      <c r="I132" s="335"/>
      <c r="J132" s="246"/>
      <c r="K132" s="322" t="s">
        <v>473</v>
      </c>
      <c r="L132" s="1173">
        <f>391*0.13*G3</f>
        <v>1.6342200809999998</v>
      </c>
      <c r="M132" s="256" t="s">
        <v>2279</v>
      </c>
      <c r="O132" s="270"/>
      <c r="P132" s="247"/>
      <c r="U132" s="266"/>
      <c r="BA132" s="249"/>
      <c r="BB132" s="247"/>
      <c r="BC132" s="273"/>
      <c r="BD132" s="272"/>
      <c r="BE132" s="274"/>
      <c r="BG132" s="273"/>
      <c r="BI132" s="1273"/>
      <c r="BJ132" s="1273"/>
      <c r="BN132" s="247"/>
      <c r="BO132" s="247"/>
    </row>
    <row r="133" spans="2:67" ht="16.5" customHeight="1">
      <c r="B133" s="1189" t="s">
        <v>2610</v>
      </c>
      <c r="C133" s="1190"/>
      <c r="D133" s="337"/>
      <c r="E133" s="1245"/>
      <c r="F133" s="248"/>
      <c r="G133" s="276"/>
      <c r="H133" s="284" t="s">
        <v>1930</v>
      </c>
      <c r="I133" s="335"/>
      <c r="J133" s="246"/>
      <c r="K133" s="322"/>
      <c r="L133" s="1173"/>
      <c r="M133" s="256"/>
      <c r="O133" s="270"/>
      <c r="P133" s="247"/>
      <c r="U133" s="266"/>
      <c r="BA133" s="249"/>
      <c r="BB133" s="247"/>
      <c r="BC133" s="273"/>
      <c r="BD133" s="272"/>
      <c r="BE133" s="274"/>
      <c r="BG133" s="273"/>
      <c r="BI133" s="1273"/>
      <c r="BJ133" s="1273"/>
      <c r="BN133" s="247"/>
      <c r="BO133" s="247"/>
    </row>
    <row r="134" spans="2:67" ht="16.5" customHeight="1">
      <c r="B134" s="1192" t="s">
        <v>2302</v>
      </c>
      <c r="C134" s="1092" t="s">
        <v>2300</v>
      </c>
      <c r="D134" s="287" t="s">
        <v>2301</v>
      </c>
      <c r="E134" s="1245" t="s">
        <v>2307</v>
      </c>
      <c r="F134" s="248" t="s">
        <v>2141</v>
      </c>
      <c r="G134" s="276"/>
      <c r="H134" s="277">
        <f>F131/G131</f>
        <v>27.555472687554136</v>
      </c>
      <c r="I134" s="335"/>
      <c r="J134" s="246"/>
      <c r="K134" s="718" t="s">
        <v>2276</v>
      </c>
      <c r="L134" s="1088" t="s">
        <v>2275</v>
      </c>
      <c r="M134" s="256"/>
      <c r="O134" s="270"/>
      <c r="P134" s="247"/>
      <c r="U134" s="266"/>
      <c r="BA134" s="249"/>
      <c r="BB134" s="247"/>
      <c r="BC134" s="273"/>
      <c r="BD134" s="272"/>
      <c r="BE134" s="274"/>
      <c r="BG134" s="273"/>
      <c r="BI134" s="1273"/>
      <c r="BJ134" s="1273"/>
      <c r="BN134" s="247"/>
      <c r="BO134" s="247"/>
    </row>
    <row r="135" spans="2:67" ht="16.5" customHeight="1">
      <c r="B135" s="617" t="s">
        <v>1673</v>
      </c>
      <c r="C135" s="252">
        <v>2066.4499999999998</v>
      </c>
      <c r="D135" s="291">
        <v>3016.4975951065512</v>
      </c>
      <c r="E135" s="1246">
        <f>D135-C135</f>
        <v>950.0475951065514</v>
      </c>
      <c r="F135" s="251">
        <f>AVERAGE(C135:D135)</f>
        <v>2541.4737975532753</v>
      </c>
      <c r="G135" s="518"/>
      <c r="H135" s="246"/>
      <c r="I135" s="256"/>
      <c r="J135" s="246"/>
      <c r="K135" s="258">
        <v>5.04</v>
      </c>
      <c r="L135" s="303"/>
      <c r="M135" s="256"/>
      <c r="O135" s="270"/>
      <c r="P135" s="247"/>
      <c r="U135" s="266"/>
      <c r="BA135" s="249"/>
      <c r="BB135" s="247"/>
      <c r="BC135" s="273"/>
      <c r="BD135" s="272"/>
      <c r="BE135" s="274"/>
      <c r="BG135" s="273"/>
      <c r="BI135" s="1273"/>
      <c r="BJ135" s="1273"/>
      <c r="BN135" s="247"/>
      <c r="BO135" s="247"/>
    </row>
    <row r="136" spans="2:67" ht="16.5" customHeight="1">
      <c r="B136" s="617" t="s">
        <v>1674</v>
      </c>
      <c r="C136" s="252">
        <v>98.683333333333294</v>
      </c>
      <c r="D136" s="291">
        <v>109.47</v>
      </c>
      <c r="E136" s="1246">
        <f>D136-C136</f>
        <v>10.786666666666704</v>
      </c>
      <c r="F136" s="251">
        <f>AVERAGE(C136:D136)</f>
        <v>104.07666666666665</v>
      </c>
      <c r="G136" s="518"/>
      <c r="H136" s="246"/>
      <c r="I136" s="256"/>
      <c r="J136" s="246"/>
      <c r="K136" s="718" t="s">
        <v>2278</v>
      </c>
      <c r="L136" s="248">
        <f>0.13*C2*G3</f>
        <v>5.1392250935999995</v>
      </c>
      <c r="M136" s="256" t="s">
        <v>2283</v>
      </c>
      <c r="O136" s="270"/>
      <c r="P136" s="247"/>
      <c r="U136" s="266"/>
      <c r="BA136" s="249"/>
      <c r="BB136" s="247"/>
      <c r="BC136" s="273"/>
      <c r="BD136" s="272"/>
      <c r="BE136" s="274"/>
      <c r="BG136" s="273"/>
      <c r="BI136" s="1273"/>
      <c r="BJ136" s="1273"/>
      <c r="BN136" s="247"/>
      <c r="BO136" s="247"/>
    </row>
    <row r="137" spans="2:67" ht="16.5" customHeight="1">
      <c r="B137" s="617" t="s">
        <v>1930</v>
      </c>
      <c r="C137" s="318">
        <v>19.359356702318678</v>
      </c>
      <c r="D137" s="301">
        <v>27.555472687554101</v>
      </c>
      <c r="E137" s="1247">
        <f>D137-C137</f>
        <v>8.1961159852354228</v>
      </c>
      <c r="F137" s="299">
        <f>AVERAGE(C137:D137)</f>
        <v>23.457414694936389</v>
      </c>
      <c r="G137" s="1078"/>
      <c r="H137" s="246"/>
      <c r="I137" s="256"/>
      <c r="J137" s="246"/>
      <c r="K137" s="257"/>
      <c r="L137" s="248"/>
      <c r="M137" s="263">
        <f>L136/K135-1</f>
        <v>1.9687518571428475E-2</v>
      </c>
      <c r="O137" s="270"/>
      <c r="P137" s="247"/>
      <c r="U137" s="266"/>
      <c r="BA137" s="249"/>
      <c r="BB137" s="247"/>
      <c r="BC137" s="273"/>
      <c r="BD137" s="272"/>
      <c r="BE137" s="274"/>
      <c r="BG137" s="273"/>
      <c r="BI137" s="1273"/>
      <c r="BJ137" s="1273"/>
      <c r="BN137" s="247"/>
      <c r="BO137" s="247"/>
    </row>
    <row r="138" spans="2:67" ht="16.5" customHeight="1">
      <c r="B138" s="617"/>
      <c r="D138" s="287"/>
      <c r="E138" s="1246"/>
      <c r="F138" s="250"/>
      <c r="G138" s="518"/>
      <c r="H138" s="246"/>
      <c r="I138" s="256"/>
      <c r="J138" s="246"/>
      <c r="K138" s="460" t="s">
        <v>2280</v>
      </c>
      <c r="L138" s="246" t="str">
        <f>IF(L136&gt;K135,"Yes","No")</f>
        <v>Yes</v>
      </c>
      <c r="M138" s="256"/>
      <c r="O138" s="270"/>
      <c r="P138" s="247"/>
      <c r="U138" s="266"/>
      <c r="BA138" s="249"/>
      <c r="BB138" s="247"/>
      <c r="BC138" s="273"/>
      <c r="BD138" s="272"/>
      <c r="BE138" s="274"/>
      <c r="BG138" s="273"/>
      <c r="BI138" s="1273"/>
      <c r="BJ138" s="1273"/>
      <c r="BN138" s="247"/>
      <c r="BO138" s="247"/>
    </row>
    <row r="139" spans="2:67" ht="16.5" customHeight="1">
      <c r="B139" s="1192" t="s">
        <v>2303</v>
      </c>
      <c r="C139" s="277" t="s">
        <v>2300</v>
      </c>
      <c r="D139" s="313" t="s">
        <v>2301</v>
      </c>
      <c r="E139" s="1248"/>
      <c r="F139" s="250"/>
      <c r="G139" s="518"/>
      <c r="H139" s="246"/>
      <c r="I139" s="256"/>
      <c r="J139" s="246"/>
      <c r="K139" s="257"/>
      <c r="L139" s="246"/>
      <c r="M139" s="256"/>
      <c r="O139" s="270"/>
      <c r="P139" s="247"/>
      <c r="U139" s="266"/>
      <c r="BA139" s="249"/>
      <c r="BB139" s="247"/>
      <c r="BC139" s="273"/>
      <c r="BD139" s="272"/>
      <c r="BE139" s="274"/>
      <c r="BG139" s="273"/>
      <c r="BI139" s="1273"/>
      <c r="BJ139" s="1273"/>
      <c r="BN139" s="247"/>
      <c r="BO139" s="247"/>
    </row>
    <row r="140" spans="2:67" ht="16.5" customHeight="1">
      <c r="B140" s="617" t="s">
        <v>1673</v>
      </c>
      <c r="C140" s="1193" t="str">
        <f>IF(F131&lt;C135,"Y","")</f>
        <v/>
      </c>
      <c r="D140" s="1194" t="str">
        <f>IF(F131&gt;D135,"Y","")</f>
        <v/>
      </c>
      <c r="E140" s="1248"/>
      <c r="F140" s="250"/>
      <c r="G140" s="518"/>
      <c r="H140" s="246"/>
      <c r="I140" s="256"/>
      <c r="J140" s="246"/>
      <c r="K140" s="1099" t="s">
        <v>2281</v>
      </c>
      <c r="L140" s="309" t="s">
        <v>2282</v>
      </c>
      <c r="M140" s="256" t="s">
        <v>1930</v>
      </c>
      <c r="O140" s="270"/>
      <c r="P140" s="247"/>
      <c r="U140" s="266"/>
    </row>
    <row r="141" spans="2:67" ht="16.5" customHeight="1" thickBot="1">
      <c r="B141" s="617" t="s">
        <v>1674</v>
      </c>
      <c r="C141" s="1193" t="str">
        <f>IF(G131&lt;C136,"Y","")</f>
        <v/>
      </c>
      <c r="D141" s="1194" t="str">
        <f>IF(G131&gt;D136,"Y","")</f>
        <v/>
      </c>
      <c r="E141" s="1248"/>
      <c r="F141" s="250"/>
      <c r="G141" s="518"/>
      <c r="H141" s="246"/>
      <c r="I141" s="256"/>
      <c r="J141" s="246"/>
      <c r="K141" s="320">
        <f>C2*(1+((K135/K131)-1))</f>
        <v>3873.24</v>
      </c>
      <c r="L141" s="268">
        <f>C3*(1+((K135/K131)-1))</f>
        <v>55.566000000000003</v>
      </c>
      <c r="M141" s="505">
        <f>K141/L141</f>
        <v>69.70521541950113</v>
      </c>
      <c r="O141" s="270"/>
      <c r="P141" s="247"/>
    </row>
    <row r="142" spans="2:67" ht="16.5" customHeight="1" thickBot="1">
      <c r="B142" s="1191" t="s">
        <v>1930</v>
      </c>
      <c r="C142" s="1195" t="str">
        <f>IF(H134&lt;C137,"Y","")</f>
        <v/>
      </c>
      <c r="D142" s="1196" t="str">
        <f>IF(H134&gt;D137,"Y","")</f>
        <v/>
      </c>
      <c r="E142" s="1248"/>
      <c r="F142" s="246"/>
      <c r="G142" s="334"/>
      <c r="H142" s="246"/>
      <c r="I142" s="256"/>
      <c r="J142" s="246"/>
      <c r="K142" s="246"/>
    </row>
    <row r="143" spans="2:67" ht="16.5" customHeight="1">
      <c r="B143" s="295"/>
      <c r="E143" s="334"/>
      <c r="F143" s="246"/>
      <c r="G143" s="334"/>
      <c r="H143" s="246"/>
      <c r="I143" s="256"/>
      <c r="L143" s="270"/>
      <c r="P143" s="247"/>
    </row>
    <row r="144" spans="2:67" ht="16.5" customHeight="1">
      <c r="B144" s="295"/>
      <c r="E144" s="334"/>
      <c r="F144" s="246"/>
      <c r="G144" s="334"/>
      <c r="H144" s="246"/>
      <c r="I144" s="256"/>
      <c r="L144" s="270"/>
      <c r="P144" s="247"/>
    </row>
    <row r="145" spans="2:16" ht="16.5" customHeight="1">
      <c r="B145" s="295"/>
      <c r="E145" s="334"/>
      <c r="F145" s="246"/>
      <c r="G145" s="334"/>
      <c r="H145" s="246"/>
      <c r="I145" s="256"/>
      <c r="L145" s="270"/>
      <c r="P145" s="247"/>
    </row>
    <row r="146" spans="2:16" ht="16.5" customHeight="1">
      <c r="B146" s="617"/>
      <c r="E146" s="334"/>
      <c r="F146" s="246"/>
      <c r="G146" s="334"/>
      <c r="H146" s="246"/>
      <c r="I146" s="256"/>
      <c r="L146" s="270"/>
      <c r="P146" s="247"/>
    </row>
    <row r="147" spans="2:16" ht="16.5" customHeight="1">
      <c r="B147" s="617"/>
      <c r="E147" s="1095"/>
      <c r="F147" s="248"/>
      <c r="G147" s="276"/>
      <c r="H147" s="246"/>
      <c r="I147" s="256"/>
      <c r="L147" s="270"/>
      <c r="P147" s="247"/>
    </row>
    <row r="148" spans="2:16" ht="16.5" customHeight="1">
      <c r="B148" s="295"/>
      <c r="E148" s="1095"/>
      <c r="F148" s="248"/>
      <c r="G148" s="276"/>
      <c r="H148" s="246"/>
      <c r="I148" s="256"/>
      <c r="L148" s="270"/>
      <c r="P148" s="247"/>
    </row>
    <row r="149" spans="2:16" ht="16.5" customHeight="1">
      <c r="B149" s="295"/>
      <c r="D149" s="282"/>
      <c r="E149" s="1095"/>
      <c r="F149" s="248"/>
      <c r="G149" s="276"/>
      <c r="H149" s="246"/>
      <c r="I149" s="256"/>
      <c r="L149" s="270"/>
      <c r="P149" s="247"/>
    </row>
    <row r="150" spans="2:16" ht="16.5" customHeight="1">
      <c r="B150" s="295"/>
      <c r="D150" s="282"/>
      <c r="E150" s="1095"/>
      <c r="F150" s="248"/>
      <c r="G150" s="276"/>
      <c r="H150" s="246"/>
      <c r="I150" s="256"/>
      <c r="J150" s="246"/>
      <c r="K150" s="246"/>
      <c r="L150" s="1174"/>
    </row>
    <row r="151" spans="2:16" ht="16.5" customHeight="1">
      <c r="B151" s="295"/>
      <c r="D151" s="282"/>
      <c r="E151" s="1095"/>
      <c r="F151" s="248"/>
      <c r="G151" s="276"/>
      <c r="H151" s="248"/>
      <c r="I151" s="287"/>
      <c r="J151" s="246"/>
      <c r="K151" s="246"/>
      <c r="L151" s="1174"/>
    </row>
    <row r="152" spans="2:16" ht="16.5" customHeight="1" thickBot="1">
      <c r="B152" s="1086"/>
      <c r="C152" s="321"/>
      <c r="D152" s="324"/>
      <c r="E152" s="1096"/>
      <c r="F152" s="268"/>
      <c r="G152" s="1097"/>
      <c r="H152" s="264"/>
      <c r="I152" s="265"/>
      <c r="J152" s="246"/>
      <c r="K152" s="246"/>
    </row>
    <row r="153" spans="2:16" ht="16.5" customHeight="1">
      <c r="D153" s="282"/>
      <c r="E153" s="349"/>
      <c r="F153" s="248"/>
      <c r="G153" s="248"/>
      <c r="H153" s="246"/>
      <c r="I153" s="246"/>
      <c r="J153" s="246"/>
      <c r="K153" s="246"/>
    </row>
    <row r="154" spans="2:16" ht="16.5" customHeight="1">
      <c r="J154" s="246"/>
      <c r="K154" s="246"/>
    </row>
    <row r="155" spans="2:16" ht="16.5" customHeight="1">
      <c r="J155" s="246"/>
      <c r="K155" s="246"/>
      <c r="L155" s="310"/>
      <c r="M155" s="250"/>
      <c r="N155" s="250"/>
    </row>
    <row r="156" spans="2:16" ht="16.5" customHeight="1">
      <c r="J156" s="246"/>
      <c r="K156" s="246"/>
      <c r="L156" s="251"/>
      <c r="M156" s="250"/>
      <c r="N156" s="250"/>
    </row>
    <row r="157" spans="2:16" ht="16.5" customHeight="1">
      <c r="J157" s="246"/>
      <c r="K157" s="246"/>
      <c r="L157" s="251"/>
      <c r="M157" s="250"/>
      <c r="N157" s="250"/>
    </row>
    <row r="158" spans="2:16" ht="16.5" customHeight="1">
      <c r="K158" s="246"/>
      <c r="L158" s="299"/>
      <c r="M158" s="1175"/>
      <c r="N158" s="250"/>
    </row>
    <row r="159" spans="2:16" ht="16.5" customHeight="1">
      <c r="K159" s="246"/>
      <c r="L159" s="299"/>
      <c r="M159" s="1175"/>
      <c r="N159" s="250"/>
    </row>
    <row r="160" spans="2:16" ht="16.5" customHeight="1">
      <c r="K160" s="246"/>
      <c r="L160" s="251"/>
      <c r="M160" s="250"/>
      <c r="N160" s="250"/>
    </row>
    <row r="161" spans="11:67" ht="16.5" customHeight="1">
      <c r="K161" s="246"/>
      <c r="L161" s="251"/>
      <c r="M161" s="305"/>
      <c r="N161" s="250"/>
    </row>
    <row r="162" spans="11:67" ht="16.5" customHeight="1">
      <c r="K162" s="246"/>
      <c r="L162" s="251"/>
      <c r="M162" s="251"/>
      <c r="N162" s="250"/>
    </row>
    <row r="163" spans="11:67" ht="16.5" customHeight="1">
      <c r="K163" s="246"/>
      <c r="L163" s="250"/>
      <c r="M163" s="251"/>
      <c r="N163" s="338"/>
    </row>
    <row r="164" spans="11:67" ht="16.5" customHeight="1">
      <c r="K164" s="246"/>
      <c r="L164" s="250"/>
      <c r="M164" s="250"/>
      <c r="N164" s="250"/>
    </row>
    <row r="165" spans="11:67" ht="16.5" customHeight="1">
      <c r="K165" s="246"/>
      <c r="L165" s="250"/>
      <c r="M165" s="250"/>
      <c r="N165" s="250"/>
    </row>
    <row r="166" spans="11:67" ht="16.5" customHeight="1">
      <c r="K166" s="246"/>
      <c r="L166" s="310"/>
      <c r="M166" s="1176"/>
      <c r="N166" s="250"/>
    </row>
    <row r="167" spans="11:67" ht="16.5" customHeight="1">
      <c r="K167" s="246"/>
      <c r="L167" s="251"/>
      <c r="M167" s="251"/>
      <c r="N167" s="262"/>
      <c r="X167" s="266"/>
      <c r="Y167" s="271"/>
      <c r="Z167" s="247"/>
      <c r="AM167" s="272"/>
      <c r="AQ167" s="247"/>
      <c r="AR167" s="272"/>
      <c r="AS167" s="266"/>
      <c r="AT167" s="272"/>
      <c r="AU167" s="247"/>
      <c r="AV167" s="272"/>
      <c r="AW167" s="249"/>
      <c r="AX167" s="272"/>
      <c r="AY167" s="249"/>
      <c r="AZ167" s="272"/>
      <c r="BA167" s="249"/>
      <c r="BC167" s="247"/>
      <c r="BD167" s="273"/>
      <c r="BE167" s="272"/>
      <c r="BF167" s="274"/>
      <c r="BG167" s="272"/>
      <c r="BH167" s="273"/>
      <c r="BI167" s="272"/>
      <c r="BJ167" s="1273"/>
      <c r="BO167" s="247"/>
    </row>
    <row r="168" spans="11:67" ht="16.5" customHeight="1">
      <c r="K168" s="246"/>
      <c r="L168" s="310"/>
      <c r="M168" s="250"/>
      <c r="N168" s="250"/>
      <c r="X168" s="266"/>
      <c r="Y168" s="271"/>
      <c r="Z168" s="247"/>
      <c r="AM168" s="272"/>
      <c r="AQ168" s="247"/>
      <c r="AR168" s="272"/>
      <c r="AS168" s="266"/>
      <c r="AT168" s="272"/>
      <c r="AU168" s="247"/>
      <c r="AV168" s="272"/>
      <c r="AW168" s="249"/>
      <c r="AX168" s="272"/>
      <c r="AY168" s="249"/>
      <c r="AZ168" s="272"/>
      <c r="BA168" s="249"/>
      <c r="BC168" s="247"/>
      <c r="BD168" s="273"/>
      <c r="BE168" s="272"/>
      <c r="BF168" s="274"/>
      <c r="BG168" s="272"/>
      <c r="BH168" s="273"/>
      <c r="BI168" s="272"/>
      <c r="BJ168" s="1273"/>
      <c r="BO168" s="247"/>
    </row>
    <row r="169" spans="11:67" ht="16.5" customHeight="1">
      <c r="K169" s="246"/>
      <c r="L169" s="1177"/>
      <c r="M169" s="250"/>
      <c r="N169" s="250"/>
      <c r="X169" s="266"/>
      <c r="Y169" s="271"/>
      <c r="Z169" s="247"/>
      <c r="AM169" s="272"/>
      <c r="AQ169" s="247"/>
      <c r="AR169" s="272"/>
      <c r="AS169" s="266"/>
      <c r="AT169" s="272"/>
      <c r="AU169" s="247"/>
      <c r="AV169" s="272"/>
      <c r="AW169" s="249"/>
      <c r="AX169" s="272"/>
      <c r="AY169" s="249"/>
      <c r="AZ169" s="272"/>
      <c r="BA169" s="249"/>
      <c r="BC169" s="247"/>
      <c r="BD169" s="273"/>
      <c r="BE169" s="272"/>
      <c r="BF169" s="274"/>
      <c r="BG169" s="272"/>
      <c r="BH169" s="273"/>
      <c r="BI169" s="272"/>
      <c r="BJ169" s="1273"/>
      <c r="BO169" s="247"/>
    </row>
    <row r="170" spans="11:67" ht="16.5" customHeight="1">
      <c r="K170" s="246"/>
      <c r="L170" s="1177"/>
      <c r="M170" s="250"/>
      <c r="N170" s="250"/>
      <c r="X170" s="266"/>
      <c r="Y170" s="271"/>
      <c r="Z170" s="247"/>
      <c r="AM170" s="272"/>
      <c r="AQ170" s="247"/>
      <c r="AR170" s="272"/>
      <c r="AS170" s="266"/>
      <c r="AT170" s="272"/>
      <c r="AU170" s="247"/>
      <c r="AV170" s="272"/>
      <c r="AW170" s="249"/>
      <c r="AX170" s="272"/>
      <c r="AY170" s="249"/>
      <c r="AZ170" s="272"/>
      <c r="BA170" s="249"/>
      <c r="BC170" s="247"/>
      <c r="BD170" s="273"/>
      <c r="BE170" s="272"/>
      <c r="BF170" s="274"/>
      <c r="BG170" s="272"/>
      <c r="BH170" s="273"/>
      <c r="BI170" s="272"/>
      <c r="BJ170" s="1273"/>
      <c r="BO170" s="247"/>
    </row>
    <row r="171" spans="11:67" ht="16.5" customHeight="1">
      <c r="K171" s="246"/>
      <c r="L171" s="310"/>
      <c r="M171" s="250"/>
      <c r="N171" s="250"/>
      <c r="X171" s="266"/>
      <c r="Y171" s="271"/>
      <c r="Z171" s="247"/>
      <c r="AM171" s="272"/>
      <c r="AQ171" s="247"/>
      <c r="AR171" s="272"/>
      <c r="AS171" s="266"/>
      <c r="AT171" s="272"/>
      <c r="AU171" s="247"/>
      <c r="AV171" s="272"/>
      <c r="AW171" s="249"/>
      <c r="AX171" s="272"/>
      <c r="AY171" s="249"/>
      <c r="AZ171" s="272"/>
      <c r="BA171" s="249"/>
      <c r="BC171" s="247"/>
      <c r="BD171" s="273"/>
      <c r="BE171" s="272"/>
      <c r="BF171" s="274"/>
      <c r="BG171" s="272"/>
      <c r="BH171" s="273"/>
      <c r="BI171" s="272"/>
      <c r="BJ171" s="1273"/>
      <c r="BO171" s="247"/>
    </row>
    <row r="172" spans="11:67" ht="16.5" customHeight="1">
      <c r="K172" s="246"/>
      <c r="L172" s="310"/>
      <c r="M172" s="250"/>
      <c r="N172" s="250"/>
      <c r="X172" s="266"/>
      <c r="Y172" s="271"/>
      <c r="Z172" s="247"/>
      <c r="AM172" s="272"/>
      <c r="AQ172" s="247"/>
      <c r="AR172" s="272"/>
      <c r="AS172" s="266"/>
      <c r="AT172" s="272"/>
      <c r="AU172" s="247"/>
      <c r="AV172" s="272"/>
      <c r="AW172" s="249"/>
      <c r="AX172" s="272"/>
      <c r="AY172" s="249"/>
      <c r="AZ172" s="272"/>
      <c r="BA172" s="249"/>
      <c r="BC172" s="247"/>
      <c r="BD172" s="273"/>
      <c r="BE172" s="272"/>
      <c r="BF172" s="274"/>
      <c r="BG172" s="272"/>
      <c r="BH172" s="273"/>
      <c r="BI172" s="272"/>
      <c r="BJ172" s="1273"/>
      <c r="BO172" s="247"/>
    </row>
    <row r="173" spans="11:67" ht="16.5" customHeight="1">
      <c r="K173" s="246"/>
      <c r="X173" s="266"/>
      <c r="Y173" s="271"/>
      <c r="Z173" s="247"/>
      <c r="AM173" s="272"/>
      <c r="AQ173" s="247"/>
      <c r="AR173" s="272"/>
      <c r="AS173" s="266"/>
      <c r="AT173" s="272"/>
      <c r="AU173" s="247"/>
      <c r="AV173" s="272"/>
      <c r="AW173" s="249"/>
      <c r="AX173" s="272"/>
      <c r="AY173" s="249"/>
      <c r="AZ173" s="272"/>
      <c r="BA173" s="249"/>
      <c r="BC173" s="247"/>
      <c r="BD173" s="273"/>
      <c r="BE173" s="272"/>
      <c r="BF173" s="274"/>
      <c r="BG173" s="272"/>
      <c r="BH173" s="273"/>
      <c r="BI173" s="272"/>
      <c r="BJ173" s="1273"/>
      <c r="BO173" s="247"/>
    </row>
    <row r="174" spans="11:67" ht="16.5" customHeight="1">
      <c r="K174" s="246"/>
      <c r="X174" s="266"/>
      <c r="Y174" s="271"/>
      <c r="Z174" s="247"/>
      <c r="AM174" s="272"/>
      <c r="AQ174" s="247"/>
      <c r="AR174" s="272"/>
      <c r="AS174" s="266"/>
      <c r="AT174" s="272"/>
      <c r="AU174" s="247"/>
      <c r="AV174" s="272"/>
      <c r="AW174" s="249"/>
      <c r="AX174" s="272"/>
      <c r="AY174" s="249"/>
      <c r="AZ174" s="272"/>
      <c r="BA174" s="249"/>
      <c r="BC174" s="247"/>
      <c r="BD174" s="273"/>
      <c r="BE174" s="272"/>
      <c r="BF174" s="274"/>
      <c r="BG174" s="272"/>
      <c r="BH174" s="273"/>
      <c r="BI174" s="272"/>
      <c r="BJ174" s="1273"/>
      <c r="BO174" s="247"/>
    </row>
    <row r="175" spans="11:67" ht="16.5" customHeight="1">
      <c r="K175" s="246"/>
      <c r="X175" s="266"/>
      <c r="Y175" s="271"/>
      <c r="Z175" s="247"/>
      <c r="AM175" s="272"/>
      <c r="AQ175" s="247"/>
      <c r="AR175" s="272"/>
      <c r="AS175" s="266"/>
      <c r="AT175" s="272"/>
      <c r="AU175" s="247"/>
      <c r="AV175" s="272"/>
      <c r="AW175" s="249"/>
      <c r="AX175" s="272"/>
      <c r="AY175" s="249"/>
      <c r="AZ175" s="272"/>
      <c r="BA175" s="249"/>
      <c r="BC175" s="247"/>
      <c r="BD175" s="273"/>
      <c r="BE175" s="272"/>
      <c r="BF175" s="274"/>
      <c r="BG175" s="272"/>
      <c r="BH175" s="273"/>
      <c r="BI175" s="272"/>
      <c r="BJ175" s="1273"/>
      <c r="BO175" s="247"/>
    </row>
    <row r="176" spans="11:67" ht="16.5" customHeight="1">
      <c r="K176" s="246"/>
      <c r="X176" s="266"/>
      <c r="Y176" s="271"/>
      <c r="Z176" s="247"/>
      <c r="AM176" s="272"/>
      <c r="AQ176" s="247"/>
      <c r="AR176" s="272"/>
      <c r="AS176" s="266"/>
      <c r="AT176" s="272"/>
      <c r="AU176" s="247"/>
      <c r="AV176" s="272"/>
      <c r="AW176" s="249"/>
      <c r="AX176" s="272"/>
      <c r="AY176" s="249"/>
      <c r="AZ176" s="272"/>
      <c r="BA176" s="249"/>
      <c r="BC176" s="247"/>
      <c r="BD176" s="273"/>
      <c r="BE176" s="272"/>
      <c r="BF176" s="274"/>
      <c r="BG176" s="272"/>
      <c r="BH176" s="273"/>
      <c r="BI176" s="272"/>
      <c r="BJ176" s="1273"/>
      <c r="BO176" s="247"/>
    </row>
    <row r="177" spans="11:67" ht="16.5" customHeight="1">
      <c r="K177" s="246"/>
      <c r="X177" s="266"/>
      <c r="Y177" s="271"/>
      <c r="Z177" s="247"/>
      <c r="AM177" s="272"/>
      <c r="AQ177" s="247"/>
      <c r="AR177" s="272"/>
      <c r="AS177" s="266"/>
      <c r="AT177" s="272"/>
      <c r="AU177" s="247"/>
      <c r="AV177" s="272"/>
      <c r="AW177" s="249"/>
      <c r="AX177" s="272"/>
      <c r="AY177" s="249"/>
      <c r="AZ177" s="272"/>
      <c r="BA177" s="249"/>
      <c r="BC177" s="247"/>
      <c r="BD177" s="273"/>
      <c r="BE177" s="272"/>
      <c r="BF177" s="274"/>
      <c r="BG177" s="272"/>
      <c r="BH177" s="273"/>
      <c r="BI177" s="272"/>
      <c r="BJ177" s="1273"/>
      <c r="BO177" s="247"/>
    </row>
    <row r="178" spans="11:67" ht="16.5" customHeight="1">
      <c r="K178" s="246"/>
      <c r="X178" s="266"/>
      <c r="Y178" s="271"/>
      <c r="Z178" s="247"/>
      <c r="AM178" s="272"/>
      <c r="AQ178" s="247"/>
      <c r="AR178" s="272"/>
      <c r="AS178" s="266"/>
      <c r="AT178" s="272"/>
      <c r="AU178" s="247"/>
      <c r="AV178" s="272"/>
      <c r="AW178" s="249"/>
      <c r="AX178" s="272"/>
      <c r="AY178" s="249"/>
      <c r="AZ178" s="272"/>
      <c r="BA178" s="249"/>
      <c r="BC178" s="247"/>
      <c r="BD178" s="273"/>
      <c r="BE178" s="272"/>
      <c r="BF178" s="274"/>
      <c r="BG178" s="272"/>
      <c r="BH178" s="273"/>
      <c r="BI178" s="272"/>
      <c r="BJ178" s="1273"/>
      <c r="BO178" s="247"/>
    </row>
    <row r="179" spans="11:67" ht="16.5" customHeight="1">
      <c r="K179" s="246"/>
      <c r="X179" s="266"/>
      <c r="Y179" s="271"/>
      <c r="Z179" s="247"/>
      <c r="AM179" s="272"/>
      <c r="AQ179" s="247"/>
      <c r="AR179" s="272"/>
      <c r="AS179" s="266"/>
      <c r="AT179" s="272"/>
      <c r="AU179" s="247"/>
      <c r="AV179" s="272"/>
      <c r="AW179" s="249"/>
      <c r="AX179" s="272"/>
      <c r="AY179" s="249"/>
      <c r="AZ179" s="272"/>
      <c r="BA179" s="249"/>
      <c r="BC179" s="247"/>
      <c r="BD179" s="273"/>
      <c r="BE179" s="272"/>
      <c r="BF179" s="274"/>
      <c r="BG179" s="272"/>
      <c r="BH179" s="273"/>
      <c r="BI179" s="272"/>
      <c r="BJ179" s="1273"/>
      <c r="BO179" s="247"/>
    </row>
    <row r="180" spans="11:67" ht="16.5" customHeight="1">
      <c r="K180" s="246"/>
      <c r="X180" s="266"/>
      <c r="Y180" s="271"/>
      <c r="Z180" s="247"/>
      <c r="AM180" s="272"/>
      <c r="AQ180" s="247"/>
      <c r="AR180" s="272"/>
      <c r="AS180" s="266"/>
      <c r="AT180" s="272"/>
      <c r="AU180" s="247"/>
      <c r="AV180" s="272"/>
      <c r="AW180" s="249"/>
      <c r="AX180" s="272"/>
      <c r="AY180" s="249"/>
      <c r="AZ180" s="272"/>
      <c r="BA180" s="249"/>
      <c r="BC180" s="247"/>
      <c r="BD180" s="273"/>
      <c r="BE180" s="272"/>
      <c r="BF180" s="274"/>
      <c r="BG180" s="272"/>
      <c r="BH180" s="273"/>
      <c r="BI180" s="272"/>
      <c r="BJ180" s="1273"/>
      <c r="BO180" s="247"/>
    </row>
    <row r="181" spans="11:67" ht="16.5" customHeight="1">
      <c r="K181" s="246"/>
      <c r="X181" s="266"/>
      <c r="Y181" s="271"/>
      <c r="Z181" s="247"/>
      <c r="AM181" s="272"/>
      <c r="AQ181" s="247"/>
      <c r="AR181" s="272"/>
      <c r="AS181" s="266"/>
      <c r="AT181" s="272"/>
      <c r="AU181" s="247"/>
      <c r="AV181" s="272"/>
      <c r="AW181" s="249"/>
      <c r="AX181" s="272"/>
      <c r="AY181" s="249"/>
      <c r="AZ181" s="272"/>
      <c r="BA181" s="249"/>
      <c r="BC181" s="247"/>
      <c r="BD181" s="273"/>
      <c r="BE181" s="272"/>
      <c r="BF181" s="274"/>
      <c r="BG181" s="272"/>
      <c r="BH181" s="273"/>
      <c r="BI181" s="272"/>
      <c r="BJ181" s="1273"/>
      <c r="BO181" s="247"/>
    </row>
    <row r="182" spans="11:67" ht="16.5" customHeight="1">
      <c r="K182" s="246"/>
      <c r="X182" s="266"/>
      <c r="Y182" s="271"/>
      <c r="Z182" s="247"/>
      <c r="AM182" s="272"/>
      <c r="AQ182" s="247"/>
      <c r="AR182" s="272"/>
      <c r="AS182" s="266"/>
      <c r="AT182" s="272"/>
      <c r="AU182" s="247"/>
      <c r="AV182" s="272"/>
      <c r="AW182" s="249"/>
      <c r="AX182" s="272"/>
      <c r="AY182" s="249"/>
      <c r="AZ182" s="272"/>
      <c r="BA182" s="249"/>
      <c r="BC182" s="247"/>
      <c r="BD182" s="273"/>
      <c r="BE182" s="272"/>
      <c r="BF182" s="274"/>
      <c r="BG182" s="272"/>
      <c r="BH182" s="273"/>
      <c r="BI182" s="272"/>
      <c r="BJ182" s="1273"/>
      <c r="BO182" s="247"/>
    </row>
    <row r="183" spans="11:67" ht="16.5" customHeight="1">
      <c r="K183" s="246"/>
      <c r="W183" s="266"/>
      <c r="X183" s="266"/>
      <c r="Y183" s="271"/>
      <c r="Z183" s="247"/>
      <c r="AM183" s="272"/>
      <c r="AQ183" s="247"/>
      <c r="AR183" s="272"/>
      <c r="AS183" s="266"/>
      <c r="AT183" s="272"/>
      <c r="AU183" s="247"/>
      <c r="AV183" s="272"/>
      <c r="AW183" s="249"/>
      <c r="AX183" s="272"/>
      <c r="AY183" s="249"/>
      <c r="AZ183" s="272"/>
      <c r="BA183" s="249"/>
      <c r="BC183" s="247"/>
      <c r="BD183" s="273"/>
      <c r="BE183" s="272"/>
      <c r="BF183" s="274"/>
      <c r="BG183" s="272"/>
      <c r="BH183" s="273"/>
      <c r="BI183" s="272"/>
      <c r="BJ183" s="1273"/>
      <c r="BO183" s="247"/>
    </row>
    <row r="184" spans="11:67" ht="16.5" customHeight="1">
      <c r="K184" s="246"/>
      <c r="W184" s="266"/>
      <c r="X184" s="266"/>
      <c r="Y184" s="271"/>
      <c r="Z184" s="247"/>
      <c r="AM184" s="272"/>
      <c r="AQ184" s="247"/>
      <c r="AR184" s="272"/>
      <c r="AS184" s="266"/>
      <c r="AT184" s="272"/>
      <c r="AU184" s="247"/>
      <c r="AV184" s="272"/>
      <c r="AW184" s="249"/>
      <c r="AX184" s="272"/>
      <c r="AY184" s="249"/>
      <c r="AZ184" s="272"/>
      <c r="BA184" s="249"/>
      <c r="BC184" s="247"/>
      <c r="BD184" s="273"/>
      <c r="BE184" s="272"/>
      <c r="BF184" s="274"/>
      <c r="BG184" s="272"/>
      <c r="BH184" s="273"/>
      <c r="BI184" s="272"/>
      <c r="BJ184" s="1273"/>
      <c r="BO184" s="247"/>
    </row>
    <row r="185" spans="11:67" ht="16.5" customHeight="1">
      <c r="K185" s="269"/>
      <c r="L185" s="247"/>
      <c r="O185" s="270"/>
      <c r="P185" s="247"/>
      <c r="W185" s="266"/>
      <c r="X185" s="271"/>
      <c r="Y185" s="247"/>
      <c r="Z185" s="247"/>
      <c r="AL185" s="272"/>
      <c r="AM185" s="272"/>
      <c r="AP185" s="247"/>
      <c r="AR185" s="266"/>
      <c r="AT185" s="247"/>
      <c r="AV185" s="249"/>
      <c r="BA185" s="249"/>
      <c r="BB185" s="247"/>
      <c r="BC185" s="273"/>
      <c r="BD185" s="272"/>
      <c r="BE185" s="274"/>
      <c r="BG185" s="273"/>
      <c r="BI185" s="1273"/>
      <c r="BJ185" s="1273"/>
      <c r="BN185" s="247"/>
      <c r="BO185" s="247"/>
    </row>
    <row r="186" spans="11:67" ht="16.5" customHeight="1">
      <c r="K186" s="269"/>
      <c r="L186" s="247"/>
      <c r="O186" s="270"/>
      <c r="P186" s="247"/>
      <c r="W186" s="266"/>
      <c r="X186" s="271"/>
      <c r="Y186" s="247"/>
      <c r="Z186" s="247"/>
      <c r="AL186" s="272"/>
      <c r="AM186" s="272"/>
      <c r="AP186" s="247"/>
      <c r="AR186" s="266"/>
      <c r="AT186" s="247"/>
      <c r="AV186" s="249"/>
      <c r="BA186" s="249"/>
      <c r="BB186" s="247"/>
      <c r="BC186" s="273"/>
      <c r="BD186" s="272"/>
      <c r="BE186" s="274"/>
      <c r="BG186" s="273"/>
      <c r="BI186" s="1273"/>
      <c r="BJ186" s="1273"/>
      <c r="BN186" s="247"/>
      <c r="BO186" s="247"/>
    </row>
    <row r="187" spans="11:67" ht="16.5" customHeight="1">
      <c r="K187" s="269"/>
      <c r="L187" s="247"/>
      <c r="O187" s="270"/>
      <c r="P187" s="247"/>
      <c r="W187" s="266"/>
      <c r="X187" s="271"/>
      <c r="Y187" s="247"/>
      <c r="Z187" s="247"/>
      <c r="AL187" s="272"/>
      <c r="AM187" s="272"/>
      <c r="AP187" s="247"/>
      <c r="AR187" s="266"/>
      <c r="AT187" s="247"/>
      <c r="AV187" s="249"/>
      <c r="BA187" s="249"/>
      <c r="BB187" s="247"/>
      <c r="BC187" s="273"/>
      <c r="BD187" s="272"/>
      <c r="BE187" s="274"/>
      <c r="BG187" s="273"/>
      <c r="BI187" s="1273"/>
      <c r="BJ187" s="1273"/>
      <c r="BN187" s="247"/>
      <c r="BO187" s="247"/>
    </row>
    <row r="188" spans="11:67" ht="16.5" customHeight="1">
      <c r="K188" s="269"/>
      <c r="L188" s="247"/>
      <c r="O188" s="270"/>
      <c r="P188" s="247"/>
      <c r="W188" s="266"/>
      <c r="X188" s="271"/>
      <c r="Y188" s="247"/>
      <c r="Z188" s="247"/>
      <c r="AL188" s="272"/>
      <c r="AM188" s="272"/>
      <c r="AP188" s="247"/>
      <c r="AR188" s="266"/>
      <c r="AT188" s="247"/>
      <c r="AV188" s="249"/>
      <c r="BA188" s="249"/>
      <c r="BB188" s="247"/>
      <c r="BC188" s="273"/>
      <c r="BD188" s="272"/>
      <c r="BE188" s="274"/>
      <c r="BG188" s="273"/>
      <c r="BI188" s="1273"/>
      <c r="BJ188" s="1273"/>
      <c r="BN188" s="247"/>
      <c r="BO188" s="247"/>
    </row>
    <row r="189" spans="11:67" ht="16.5" customHeight="1">
      <c r="K189" s="269"/>
      <c r="L189" s="247"/>
      <c r="O189" s="270"/>
      <c r="P189" s="247"/>
      <c r="W189" s="266"/>
      <c r="X189" s="271"/>
      <c r="Y189" s="247"/>
      <c r="Z189" s="247"/>
      <c r="AL189" s="272"/>
      <c r="AM189" s="272"/>
      <c r="AP189" s="247"/>
      <c r="AR189" s="266"/>
      <c r="AT189" s="247"/>
      <c r="AV189" s="249"/>
      <c r="BA189" s="249"/>
      <c r="BB189" s="247"/>
      <c r="BC189" s="273"/>
      <c r="BD189" s="272"/>
      <c r="BE189" s="274"/>
      <c r="BG189" s="273"/>
      <c r="BI189" s="1273"/>
      <c r="BJ189" s="1273"/>
      <c r="BN189" s="247"/>
      <c r="BO189" s="247"/>
    </row>
    <row r="190" spans="11:67" ht="16.5" customHeight="1">
      <c r="K190" s="269"/>
      <c r="L190" s="247"/>
      <c r="O190" s="270"/>
      <c r="P190" s="247"/>
      <c r="W190" s="266"/>
      <c r="X190" s="271"/>
      <c r="Y190" s="247"/>
      <c r="Z190" s="247"/>
      <c r="AL190" s="272"/>
      <c r="AM190" s="272"/>
      <c r="AP190" s="247"/>
      <c r="AR190" s="266"/>
      <c r="AT190" s="247"/>
      <c r="AV190" s="249"/>
      <c r="BA190" s="249"/>
      <c r="BB190" s="247"/>
      <c r="BC190" s="273"/>
      <c r="BD190" s="272"/>
      <c r="BE190" s="274"/>
      <c r="BG190" s="273"/>
      <c r="BI190" s="1273"/>
      <c r="BJ190" s="1273"/>
      <c r="BN190" s="247"/>
      <c r="BO190" s="247"/>
    </row>
    <row r="191" spans="11:67" ht="16.5" customHeight="1">
      <c r="K191" s="269"/>
      <c r="L191" s="247"/>
      <c r="O191" s="270"/>
      <c r="P191" s="247"/>
      <c r="W191" s="266"/>
      <c r="X191" s="271"/>
      <c r="Y191" s="247"/>
      <c r="Z191" s="247"/>
      <c r="AL191" s="272"/>
      <c r="AM191" s="272"/>
      <c r="AP191" s="247"/>
      <c r="AR191" s="266"/>
      <c r="AT191" s="247"/>
      <c r="AV191" s="249"/>
      <c r="BA191" s="249"/>
      <c r="BB191" s="247"/>
      <c r="BC191" s="273"/>
      <c r="BD191" s="272"/>
      <c r="BE191" s="274"/>
      <c r="BG191" s="273"/>
      <c r="BI191" s="1273"/>
      <c r="BJ191" s="1273"/>
      <c r="BN191" s="247"/>
      <c r="BO191" s="247"/>
    </row>
    <row r="192" spans="11:67" ht="16.5" customHeight="1">
      <c r="K192" s="269"/>
      <c r="L192" s="247"/>
      <c r="O192" s="270"/>
      <c r="P192" s="247"/>
      <c r="W192" s="266"/>
      <c r="X192" s="271"/>
      <c r="Y192" s="247"/>
      <c r="Z192" s="247"/>
      <c r="AL192" s="272"/>
      <c r="AM192" s="272"/>
      <c r="AP192" s="247"/>
      <c r="AR192" s="266"/>
      <c r="AT192" s="247"/>
      <c r="AV192" s="249"/>
      <c r="BA192" s="249"/>
      <c r="BB192" s="247"/>
      <c r="BC192" s="273"/>
      <c r="BD192" s="272"/>
      <c r="BE192" s="274"/>
      <c r="BG192" s="273"/>
      <c r="BI192" s="1273"/>
      <c r="BJ192" s="1273"/>
      <c r="BN192" s="247"/>
      <c r="BO192" s="247"/>
    </row>
    <row r="193" spans="10:69" ht="16.5" customHeight="1">
      <c r="J193" s="246"/>
      <c r="K193" s="269"/>
      <c r="L193" s="247"/>
      <c r="O193" s="270"/>
      <c r="P193" s="247"/>
      <c r="W193" s="266"/>
      <c r="X193" s="271"/>
      <c r="Y193" s="247"/>
      <c r="Z193" s="247"/>
      <c r="AL193" s="272"/>
      <c r="AM193" s="272"/>
      <c r="AP193" s="247"/>
      <c r="AR193" s="266"/>
      <c r="AT193" s="247"/>
      <c r="AV193" s="249"/>
      <c r="BA193" s="249"/>
      <c r="BB193" s="247"/>
      <c r="BC193" s="273"/>
      <c r="BD193" s="272"/>
      <c r="BE193" s="274"/>
      <c r="BG193" s="273"/>
      <c r="BI193" s="1273"/>
      <c r="BJ193" s="1273"/>
      <c r="BN193" s="247"/>
      <c r="BO193" s="247"/>
    </row>
    <row r="194" spans="10:69" ht="16.5" customHeight="1">
      <c r="L194" s="247"/>
      <c r="N194" s="246"/>
      <c r="O194" s="269"/>
      <c r="P194" s="247"/>
      <c r="S194" s="270"/>
      <c r="Y194" s="247"/>
      <c r="Z194" s="247"/>
      <c r="AA194" s="266"/>
      <c r="AB194" s="271"/>
      <c r="AN194" s="247"/>
      <c r="AO194" s="247"/>
      <c r="AR194" s="272"/>
      <c r="AT194" s="247"/>
      <c r="AV194" s="266"/>
      <c r="AX194" s="247"/>
      <c r="BC194" s="272"/>
      <c r="BD194" s="249"/>
      <c r="BE194" s="249"/>
      <c r="BF194" s="247"/>
      <c r="BG194" s="273"/>
      <c r="BI194" s="274"/>
      <c r="BK194" s="273"/>
      <c r="BL194" s="272"/>
      <c r="BP194" s="1273"/>
      <c r="BQ194" s="1273"/>
    </row>
    <row r="195" spans="10:69" ht="16.5" customHeight="1">
      <c r="L195" s="247"/>
      <c r="N195" s="246"/>
      <c r="O195" s="269"/>
      <c r="P195" s="247"/>
      <c r="S195" s="270"/>
      <c r="Y195" s="247"/>
      <c r="Z195" s="247"/>
      <c r="AA195" s="266"/>
      <c r="AB195" s="271"/>
      <c r="AN195" s="247"/>
      <c r="AO195" s="247"/>
      <c r="AR195" s="272"/>
      <c r="AT195" s="247"/>
      <c r="AV195" s="266"/>
      <c r="AX195" s="247"/>
      <c r="BC195" s="272"/>
      <c r="BD195" s="249"/>
      <c r="BE195" s="249"/>
      <c r="BF195" s="247"/>
      <c r="BG195" s="273"/>
      <c r="BI195" s="274"/>
      <c r="BK195" s="273"/>
      <c r="BL195" s="272"/>
      <c r="BP195" s="1273"/>
      <c r="BQ195" s="1273"/>
    </row>
    <row r="196" spans="10:69" ht="16.5" customHeight="1">
      <c r="L196" s="247"/>
      <c r="N196" s="246"/>
      <c r="O196" s="269"/>
      <c r="P196" s="247"/>
      <c r="S196" s="270"/>
      <c r="Y196" s="247"/>
      <c r="Z196" s="247"/>
      <c r="AA196" s="266"/>
      <c r="AB196" s="271"/>
      <c r="AN196" s="247"/>
      <c r="AO196" s="247"/>
      <c r="AR196" s="272"/>
      <c r="AT196" s="247"/>
      <c r="AV196" s="266"/>
      <c r="AX196" s="247"/>
      <c r="BC196" s="272"/>
      <c r="BD196" s="249"/>
      <c r="BE196" s="249"/>
      <c r="BF196" s="247"/>
      <c r="BG196" s="273"/>
      <c r="BI196" s="274"/>
      <c r="BK196" s="273"/>
      <c r="BL196" s="272"/>
      <c r="BP196" s="1273"/>
      <c r="BQ196" s="1273"/>
    </row>
    <row r="197" spans="10:69" ht="16.5" customHeight="1">
      <c r="L197" s="247"/>
      <c r="N197" s="246"/>
      <c r="O197" s="269"/>
      <c r="P197" s="247"/>
      <c r="S197" s="270"/>
      <c r="Y197" s="247"/>
      <c r="Z197" s="247"/>
      <c r="AA197" s="266"/>
      <c r="AB197" s="271"/>
      <c r="AN197" s="247"/>
      <c r="AO197" s="247"/>
      <c r="AR197" s="272"/>
      <c r="AT197" s="247"/>
      <c r="AV197" s="266"/>
      <c r="AX197" s="247"/>
      <c r="BC197" s="272"/>
      <c r="BD197" s="249"/>
      <c r="BE197" s="249"/>
      <c r="BF197" s="247"/>
      <c r="BG197" s="273"/>
      <c r="BI197" s="274"/>
      <c r="BK197" s="273"/>
      <c r="BL197" s="272"/>
      <c r="BP197" s="1273"/>
      <c r="BQ197" s="1273"/>
    </row>
    <row r="198" spans="10:69" ht="16.5" customHeight="1">
      <c r="L198" s="247"/>
      <c r="N198" s="246"/>
      <c r="O198" s="269"/>
      <c r="P198" s="247"/>
      <c r="S198" s="270"/>
      <c r="Y198" s="247"/>
      <c r="Z198" s="247"/>
      <c r="AA198" s="266"/>
      <c r="AB198" s="271"/>
      <c r="AN198" s="247"/>
      <c r="AO198" s="247"/>
      <c r="AR198" s="272"/>
      <c r="AT198" s="247"/>
      <c r="AV198" s="266"/>
      <c r="AX198" s="247"/>
      <c r="BC198" s="272"/>
      <c r="BD198" s="249"/>
      <c r="BE198" s="249"/>
      <c r="BF198" s="247"/>
      <c r="BG198" s="273"/>
      <c r="BI198" s="274"/>
      <c r="BK198" s="273"/>
      <c r="BL198" s="272"/>
      <c r="BP198" s="1273"/>
      <c r="BQ198" s="1273"/>
    </row>
    <row r="199" spans="10:69" ht="16.5" customHeight="1">
      <c r="L199" s="247"/>
      <c r="N199" s="246"/>
      <c r="O199" s="269"/>
      <c r="P199" s="247"/>
      <c r="S199" s="270"/>
      <c r="Y199" s="247"/>
      <c r="Z199" s="247"/>
      <c r="AA199" s="266"/>
      <c r="AB199" s="271"/>
      <c r="AN199" s="247"/>
      <c r="AO199" s="247"/>
      <c r="AR199" s="272"/>
      <c r="AT199" s="247"/>
      <c r="AV199" s="266"/>
      <c r="AX199" s="247"/>
      <c r="BC199" s="272"/>
      <c r="BD199" s="249"/>
      <c r="BE199" s="249"/>
      <c r="BF199" s="247"/>
      <c r="BG199" s="273"/>
      <c r="BI199" s="274"/>
      <c r="BK199" s="273"/>
      <c r="BL199" s="272"/>
      <c r="BP199" s="1273"/>
      <c r="BQ199" s="1273"/>
    </row>
    <row r="200" spans="10:69" ht="16.5" customHeight="1">
      <c r="L200" s="247"/>
      <c r="N200" s="246"/>
      <c r="O200" s="269"/>
      <c r="P200" s="247"/>
      <c r="S200" s="270"/>
      <c r="Y200" s="247"/>
      <c r="Z200" s="247"/>
      <c r="AA200" s="266"/>
      <c r="AB200" s="271"/>
      <c r="AN200" s="247"/>
      <c r="AO200" s="247"/>
      <c r="AR200" s="272"/>
      <c r="AT200" s="247"/>
      <c r="AV200" s="266"/>
      <c r="AX200" s="247"/>
      <c r="BC200" s="272"/>
      <c r="BD200" s="249"/>
      <c r="BE200" s="249"/>
      <c r="BF200" s="247"/>
      <c r="BG200" s="273"/>
      <c r="BI200" s="274"/>
      <c r="BK200" s="273"/>
      <c r="BL200" s="272"/>
      <c r="BP200" s="1273"/>
      <c r="BQ200" s="1273"/>
    </row>
    <row r="201" spans="10:69" ht="16.5" customHeight="1">
      <c r="L201" s="247"/>
      <c r="N201" s="246"/>
      <c r="O201" s="269"/>
      <c r="P201" s="247"/>
      <c r="S201" s="270"/>
      <c r="Y201" s="247"/>
      <c r="Z201" s="247"/>
      <c r="AA201" s="266"/>
      <c r="AB201" s="271"/>
      <c r="AN201" s="247"/>
      <c r="AO201" s="247"/>
      <c r="AR201" s="272"/>
      <c r="AT201" s="247"/>
      <c r="AV201" s="266"/>
      <c r="AX201" s="247"/>
      <c r="BC201" s="272"/>
      <c r="BD201" s="249"/>
      <c r="BE201" s="249"/>
      <c r="BF201" s="247"/>
      <c r="BG201" s="273"/>
      <c r="BI201" s="274"/>
      <c r="BK201" s="273"/>
      <c r="BL201" s="272"/>
      <c r="BP201" s="1273"/>
      <c r="BQ201" s="1273"/>
    </row>
    <row r="202" spans="10:69" ht="16.5" customHeight="1">
      <c r="L202" s="247"/>
      <c r="N202" s="246"/>
      <c r="O202" s="269"/>
      <c r="P202" s="247"/>
      <c r="S202" s="270"/>
      <c r="Y202" s="247"/>
      <c r="Z202" s="247"/>
      <c r="AA202" s="266"/>
      <c r="AB202" s="271"/>
      <c r="AN202" s="247"/>
      <c r="AO202" s="247"/>
      <c r="AR202" s="272"/>
      <c r="AT202" s="247"/>
      <c r="AV202" s="266"/>
      <c r="AX202" s="247"/>
      <c r="BC202" s="272"/>
      <c r="BD202" s="249"/>
      <c r="BE202" s="249"/>
      <c r="BF202" s="247"/>
      <c r="BG202" s="273"/>
      <c r="BI202" s="274"/>
      <c r="BK202" s="273"/>
      <c r="BL202" s="272"/>
      <c r="BP202" s="1273"/>
      <c r="BQ202" s="1273"/>
    </row>
    <row r="203" spans="10:69" ht="16.5" customHeight="1">
      <c r="L203" s="247"/>
      <c r="N203" s="246"/>
      <c r="P203" s="247"/>
      <c r="R203" s="270"/>
      <c r="Y203" s="247"/>
      <c r="Z203" s="247"/>
      <c r="AA203" s="266"/>
      <c r="AB203" s="271"/>
      <c r="AN203" s="247"/>
      <c r="AO203" s="247"/>
      <c r="AR203" s="272"/>
      <c r="AT203" s="247"/>
      <c r="AV203" s="266"/>
      <c r="AX203" s="247"/>
      <c r="BC203" s="272"/>
      <c r="BD203" s="249"/>
      <c r="BE203" s="249"/>
      <c r="BF203" s="247"/>
      <c r="BG203" s="273"/>
      <c r="BI203" s="274"/>
      <c r="BK203" s="273"/>
      <c r="BL203" s="272"/>
      <c r="BP203" s="1273"/>
      <c r="BQ203" s="1273"/>
    </row>
    <row r="204" spans="10:69" ht="16.5" customHeight="1">
      <c r="L204" s="247"/>
      <c r="N204" s="269"/>
      <c r="P204" s="247"/>
      <c r="R204" s="270"/>
      <c r="Y204" s="247"/>
      <c r="Z204" s="247"/>
      <c r="AA204" s="266"/>
      <c r="AB204" s="271"/>
      <c r="AN204" s="247"/>
      <c r="AO204" s="247"/>
      <c r="AR204" s="272"/>
      <c r="AT204" s="247"/>
      <c r="AV204" s="266"/>
      <c r="AX204" s="247"/>
      <c r="BC204" s="272"/>
      <c r="BD204" s="249"/>
      <c r="BE204" s="249"/>
      <c r="BF204" s="247"/>
      <c r="BG204" s="273"/>
      <c r="BI204" s="274"/>
      <c r="BK204" s="273"/>
      <c r="BL204" s="272"/>
      <c r="BP204" s="1273"/>
      <c r="BQ204" s="1273"/>
    </row>
    <row r="205" spans="10:69" ht="16.5" customHeight="1">
      <c r="L205" s="247"/>
      <c r="N205" s="269"/>
      <c r="P205" s="247"/>
      <c r="R205" s="270"/>
      <c r="Y205" s="247"/>
      <c r="Z205" s="247"/>
      <c r="AA205" s="266"/>
      <c r="AB205" s="271"/>
      <c r="AN205" s="247"/>
      <c r="AO205" s="247"/>
      <c r="AR205" s="272"/>
      <c r="AT205" s="247"/>
      <c r="AV205" s="266"/>
      <c r="AX205" s="247"/>
      <c r="BC205" s="272"/>
      <c r="BD205" s="249"/>
      <c r="BE205" s="249"/>
      <c r="BF205" s="247"/>
      <c r="BG205" s="273"/>
      <c r="BI205" s="274"/>
      <c r="BK205" s="273"/>
      <c r="BL205" s="272"/>
      <c r="BP205" s="1273"/>
      <c r="BQ205" s="1273"/>
    </row>
    <row r="206" spans="10:69" ht="16.5" customHeight="1">
      <c r="J206" s="246"/>
      <c r="K206" s="246"/>
      <c r="L206" s="246"/>
      <c r="M206" s="246"/>
      <c r="N206" s="269"/>
      <c r="P206" s="247"/>
      <c r="R206" s="270"/>
      <c r="Y206" s="247"/>
      <c r="Z206" s="247"/>
      <c r="AA206" s="266"/>
      <c r="AB206" s="271"/>
      <c r="AN206" s="247"/>
      <c r="AO206" s="247"/>
      <c r="AR206" s="272"/>
      <c r="AT206" s="247"/>
      <c r="AV206" s="266"/>
      <c r="AX206" s="247"/>
      <c r="BC206" s="272"/>
      <c r="BD206" s="249"/>
      <c r="BE206" s="249"/>
      <c r="BF206" s="247"/>
      <c r="BG206" s="273"/>
      <c r="BI206" s="274"/>
      <c r="BK206" s="273"/>
      <c r="BL206" s="272"/>
      <c r="BP206" s="1273"/>
      <c r="BQ206" s="1273"/>
    </row>
    <row r="207" spans="10:69" ht="16.5" customHeight="1">
      <c r="J207" s="246"/>
      <c r="K207" s="246"/>
      <c r="L207" s="246"/>
      <c r="M207" s="246"/>
      <c r="N207" s="269"/>
      <c r="P207" s="247"/>
      <c r="R207" s="270"/>
      <c r="Y207" s="247"/>
      <c r="Z207" s="247"/>
      <c r="AA207" s="266"/>
      <c r="AB207" s="271"/>
      <c r="AN207" s="247"/>
      <c r="AO207" s="247"/>
      <c r="AR207" s="272"/>
      <c r="AT207" s="247"/>
      <c r="AV207" s="266"/>
      <c r="AX207" s="247"/>
      <c r="BC207" s="272"/>
      <c r="BD207" s="249"/>
      <c r="BE207" s="249"/>
      <c r="BF207" s="247"/>
      <c r="BG207" s="273"/>
      <c r="BI207" s="274"/>
      <c r="BK207" s="273"/>
      <c r="BL207" s="272"/>
      <c r="BP207" s="1273"/>
      <c r="BQ207" s="1273"/>
    </row>
    <row r="208" spans="10:69" ht="16.5" customHeight="1">
      <c r="J208" s="246"/>
      <c r="K208" s="246"/>
      <c r="L208" s="246"/>
      <c r="M208" s="246"/>
      <c r="N208" s="269"/>
      <c r="P208" s="247"/>
      <c r="R208" s="270"/>
      <c r="Y208" s="247"/>
      <c r="Z208" s="247"/>
      <c r="AA208" s="266"/>
      <c r="AB208" s="271"/>
      <c r="AN208" s="247"/>
      <c r="AO208" s="247"/>
      <c r="AR208" s="272"/>
      <c r="AT208" s="247"/>
      <c r="AV208" s="266"/>
      <c r="AX208" s="247"/>
      <c r="BC208" s="272"/>
      <c r="BD208" s="249"/>
      <c r="BE208" s="249"/>
      <c r="BF208" s="247"/>
      <c r="BG208" s="273"/>
      <c r="BI208" s="274"/>
      <c r="BK208" s="273"/>
      <c r="BL208" s="272"/>
      <c r="BP208" s="1273"/>
      <c r="BQ208" s="1273"/>
    </row>
    <row r="209" spans="10:69" ht="16.5" customHeight="1">
      <c r="J209" s="246"/>
      <c r="K209" s="246"/>
      <c r="L209" s="246"/>
      <c r="M209" s="246"/>
      <c r="N209" s="269"/>
      <c r="P209" s="247"/>
      <c r="R209" s="270"/>
      <c r="Y209" s="247"/>
      <c r="Z209" s="247"/>
      <c r="AA209" s="266"/>
      <c r="AB209" s="271"/>
      <c r="AN209" s="247"/>
      <c r="AO209" s="247"/>
      <c r="AR209" s="272"/>
      <c r="AT209" s="247"/>
      <c r="AV209" s="266"/>
      <c r="AX209" s="247"/>
      <c r="BC209" s="272"/>
      <c r="BD209" s="249"/>
      <c r="BE209" s="249"/>
      <c r="BF209" s="247"/>
      <c r="BG209" s="273"/>
      <c r="BI209" s="274"/>
      <c r="BK209" s="273"/>
      <c r="BL209" s="272"/>
      <c r="BP209" s="1273"/>
      <c r="BQ209" s="1273"/>
    </row>
    <row r="210" spans="10:69" ht="16.5" customHeight="1">
      <c r="J210" s="246"/>
      <c r="K210" s="246"/>
      <c r="L210" s="246"/>
      <c r="M210" s="246"/>
      <c r="N210" s="269"/>
      <c r="P210" s="247"/>
      <c r="R210" s="270"/>
      <c r="Y210" s="247"/>
      <c r="Z210" s="247"/>
      <c r="AA210" s="266"/>
      <c r="AB210" s="271"/>
      <c r="AN210" s="247"/>
      <c r="AO210" s="247"/>
      <c r="AR210" s="272"/>
      <c r="AT210" s="247"/>
      <c r="AV210" s="266"/>
      <c r="AX210" s="247"/>
      <c r="BC210" s="272"/>
      <c r="BD210" s="249"/>
      <c r="BE210" s="249"/>
      <c r="BF210" s="247"/>
      <c r="BG210" s="273"/>
      <c r="BI210" s="274"/>
      <c r="BK210" s="273"/>
      <c r="BL210" s="272"/>
      <c r="BP210" s="1273"/>
      <c r="BQ210" s="1273"/>
    </row>
    <row r="211" spans="10:69" ht="16.5" customHeight="1">
      <c r="J211" s="246"/>
      <c r="K211" s="246"/>
      <c r="L211" s="246"/>
      <c r="M211" s="246"/>
      <c r="N211" s="269"/>
      <c r="P211" s="247"/>
      <c r="R211" s="270"/>
      <c r="Y211" s="247"/>
      <c r="Z211" s="247"/>
      <c r="AA211" s="266"/>
      <c r="AB211" s="271"/>
      <c r="AN211" s="247"/>
      <c r="AO211" s="247"/>
      <c r="AR211" s="272"/>
      <c r="AT211" s="247"/>
      <c r="AV211" s="266"/>
      <c r="AX211" s="247"/>
      <c r="BC211" s="272"/>
      <c r="BD211" s="249"/>
      <c r="BE211" s="249"/>
      <c r="BF211" s="247"/>
      <c r="BG211" s="273"/>
      <c r="BI211" s="274"/>
      <c r="BK211" s="273"/>
      <c r="BL211" s="272"/>
      <c r="BP211" s="1273"/>
      <c r="BQ211" s="1273"/>
    </row>
    <row r="212" spans="10:69" ht="16.5" customHeight="1">
      <c r="J212" s="246"/>
      <c r="K212" s="246"/>
      <c r="L212" s="246"/>
      <c r="M212" s="246"/>
      <c r="N212" s="269"/>
      <c r="P212" s="247"/>
      <c r="R212" s="270"/>
      <c r="Y212" s="247"/>
      <c r="Z212" s="247"/>
      <c r="AA212" s="266"/>
      <c r="AB212" s="271"/>
      <c r="AN212" s="247"/>
      <c r="AO212" s="247"/>
      <c r="AR212" s="272"/>
      <c r="AT212" s="247"/>
      <c r="AV212" s="266"/>
      <c r="AX212" s="247"/>
      <c r="BC212" s="272"/>
      <c r="BD212" s="249"/>
      <c r="BE212" s="249"/>
      <c r="BF212" s="247"/>
      <c r="BG212" s="273"/>
      <c r="BI212" s="274"/>
      <c r="BK212" s="273"/>
      <c r="BL212" s="272"/>
      <c r="BP212" s="1273"/>
      <c r="BQ212" s="1273"/>
    </row>
    <row r="213" spans="10:69" ht="16.5" customHeight="1">
      <c r="J213" s="246"/>
      <c r="K213" s="246"/>
      <c r="L213" s="246"/>
      <c r="M213" s="246"/>
      <c r="N213" s="269"/>
      <c r="P213" s="247"/>
      <c r="R213" s="270"/>
      <c r="Y213" s="247"/>
      <c r="Z213" s="247"/>
      <c r="AA213" s="266"/>
      <c r="AB213" s="271"/>
      <c r="AN213" s="247"/>
      <c r="AO213" s="247"/>
      <c r="AR213" s="272"/>
      <c r="AT213" s="247"/>
      <c r="AV213" s="266"/>
      <c r="AX213" s="247"/>
      <c r="BC213" s="272"/>
      <c r="BD213" s="249"/>
      <c r="BE213" s="249"/>
      <c r="BF213" s="247"/>
      <c r="BG213" s="273"/>
      <c r="BI213" s="274"/>
      <c r="BK213" s="273"/>
      <c r="BL213" s="272"/>
      <c r="BP213" s="1273"/>
      <c r="BQ213" s="1273"/>
    </row>
    <row r="214" spans="10:69" ht="16.5" customHeight="1">
      <c r="J214" s="246"/>
      <c r="K214" s="246"/>
      <c r="L214" s="246"/>
      <c r="M214" s="246"/>
      <c r="N214" s="269"/>
      <c r="P214" s="247"/>
      <c r="R214" s="270"/>
      <c r="Y214" s="247"/>
      <c r="Z214" s="247"/>
      <c r="AA214" s="266"/>
      <c r="AB214" s="271"/>
      <c r="AN214" s="247"/>
      <c r="AO214" s="247"/>
      <c r="AR214" s="272"/>
      <c r="AT214" s="247"/>
      <c r="AV214" s="266"/>
      <c r="AX214" s="247"/>
      <c r="BC214" s="272"/>
      <c r="BD214" s="249"/>
      <c r="BE214" s="249"/>
      <c r="BF214" s="247"/>
      <c r="BG214" s="273"/>
      <c r="BI214" s="274"/>
      <c r="BK214" s="273"/>
      <c r="BL214" s="272"/>
      <c r="BP214" s="1273"/>
      <c r="BQ214" s="1273"/>
    </row>
    <row r="215" spans="10:69" ht="16.5" customHeight="1">
      <c r="J215" s="246"/>
      <c r="K215" s="246"/>
      <c r="L215" s="246"/>
      <c r="M215" s="246"/>
      <c r="N215" s="269"/>
      <c r="P215" s="247"/>
      <c r="R215" s="270"/>
      <c r="Y215" s="247"/>
      <c r="Z215" s="247"/>
      <c r="AA215" s="266"/>
      <c r="AB215" s="271"/>
      <c r="AN215" s="247"/>
      <c r="AO215" s="247"/>
      <c r="AR215" s="272"/>
      <c r="AT215" s="247"/>
      <c r="AV215" s="266"/>
      <c r="AX215" s="247"/>
      <c r="BC215" s="272"/>
      <c r="BD215" s="249"/>
      <c r="BE215" s="249"/>
      <c r="BF215" s="247"/>
      <c r="BG215" s="273"/>
      <c r="BI215" s="274"/>
      <c r="BK215" s="273"/>
      <c r="BL215" s="272"/>
      <c r="BP215" s="1273"/>
      <c r="BQ215" s="1273"/>
    </row>
    <row r="216" spans="10:69" ht="16.5" customHeight="1">
      <c r="J216" s="246"/>
      <c r="K216" s="246"/>
      <c r="L216" s="246"/>
      <c r="M216" s="246"/>
      <c r="N216" s="269"/>
      <c r="P216" s="247"/>
      <c r="R216" s="270"/>
      <c r="Y216" s="247"/>
      <c r="Z216" s="247"/>
      <c r="AA216" s="266"/>
      <c r="AB216" s="271"/>
      <c r="AN216" s="247"/>
      <c r="AO216" s="247"/>
      <c r="AR216" s="272"/>
      <c r="AT216" s="247"/>
      <c r="AV216" s="266"/>
      <c r="AX216" s="247"/>
      <c r="BC216" s="272"/>
      <c r="BD216" s="249"/>
      <c r="BE216" s="249"/>
      <c r="BF216" s="247"/>
      <c r="BG216" s="273"/>
      <c r="BI216" s="274"/>
      <c r="BK216" s="273"/>
      <c r="BL216" s="272"/>
      <c r="BP216" s="1273"/>
      <c r="BQ216" s="1273"/>
    </row>
    <row r="217" spans="10:69" ht="16.5" customHeight="1">
      <c r="J217" s="246"/>
      <c r="K217" s="246"/>
      <c r="L217" s="246"/>
      <c r="M217" s="246"/>
      <c r="N217" s="269"/>
      <c r="P217" s="247"/>
      <c r="R217" s="270"/>
      <c r="Y217" s="247"/>
      <c r="Z217" s="247"/>
      <c r="AA217" s="266"/>
      <c r="AB217" s="271"/>
      <c r="AN217" s="247"/>
      <c r="AO217" s="247"/>
      <c r="AR217" s="272"/>
      <c r="AT217" s="247"/>
      <c r="AV217" s="266"/>
      <c r="AX217" s="247"/>
      <c r="BC217" s="272"/>
      <c r="BD217" s="249"/>
      <c r="BE217" s="249"/>
      <c r="BF217" s="247"/>
      <c r="BG217" s="273"/>
      <c r="BI217" s="274"/>
      <c r="BK217" s="273"/>
      <c r="BL217" s="272"/>
      <c r="BP217" s="1273"/>
      <c r="BQ217" s="1273"/>
    </row>
    <row r="218" spans="10:69" ht="16.5" customHeight="1">
      <c r="J218" s="246"/>
      <c r="K218" s="246"/>
      <c r="L218" s="246"/>
      <c r="M218" s="246"/>
      <c r="N218" s="269"/>
      <c r="P218" s="247"/>
      <c r="R218" s="270"/>
      <c r="Y218" s="247"/>
      <c r="Z218" s="247"/>
      <c r="AA218" s="266"/>
      <c r="AB218" s="271"/>
      <c r="AN218" s="247"/>
      <c r="AO218" s="247"/>
      <c r="AR218" s="272"/>
      <c r="AT218" s="247"/>
      <c r="AV218" s="266"/>
      <c r="AX218" s="247"/>
      <c r="BC218" s="272"/>
      <c r="BD218" s="249"/>
      <c r="BE218" s="249"/>
      <c r="BF218" s="247"/>
      <c r="BG218" s="273"/>
      <c r="BI218" s="274"/>
      <c r="BK218" s="273"/>
      <c r="BL218" s="272"/>
      <c r="BP218" s="1273"/>
      <c r="BQ218" s="1273"/>
    </row>
    <row r="219" spans="10:69" ht="16.5" customHeight="1">
      <c r="J219" s="246"/>
      <c r="K219" s="246"/>
      <c r="L219" s="246"/>
      <c r="M219" s="246"/>
      <c r="N219" s="269"/>
      <c r="P219" s="247"/>
      <c r="R219" s="270"/>
      <c r="Y219" s="247"/>
      <c r="Z219" s="247"/>
      <c r="AA219" s="266"/>
      <c r="AB219" s="271"/>
      <c r="AN219" s="247"/>
      <c r="AO219" s="247"/>
      <c r="AR219" s="272"/>
      <c r="AT219" s="247"/>
      <c r="AV219" s="266"/>
      <c r="AX219" s="247"/>
      <c r="BC219" s="272"/>
      <c r="BD219" s="249"/>
      <c r="BE219" s="249"/>
      <c r="BF219" s="247"/>
      <c r="BG219" s="273"/>
      <c r="BI219" s="274"/>
      <c r="BK219" s="273"/>
      <c r="BL219" s="272"/>
      <c r="BP219" s="1273"/>
      <c r="BQ219" s="1273"/>
    </row>
    <row r="220" spans="10:69" ht="16.5" customHeight="1">
      <c r="J220" s="246"/>
      <c r="K220" s="246"/>
      <c r="L220" s="246"/>
      <c r="M220" s="246"/>
      <c r="N220" s="269"/>
      <c r="P220" s="247"/>
      <c r="R220" s="270"/>
      <c r="Y220" s="247"/>
      <c r="Z220" s="247"/>
      <c r="AA220" s="266"/>
      <c r="AB220" s="271"/>
      <c r="AN220" s="247"/>
      <c r="AO220" s="247"/>
      <c r="AR220" s="272"/>
      <c r="AT220" s="247"/>
      <c r="AV220" s="266"/>
      <c r="AX220" s="247"/>
      <c r="BC220" s="272"/>
      <c r="BD220" s="249"/>
      <c r="BE220" s="249"/>
      <c r="BF220" s="247"/>
      <c r="BG220" s="273"/>
      <c r="BI220" s="274"/>
      <c r="BK220" s="273"/>
      <c r="BL220" s="272"/>
      <c r="BP220" s="1273"/>
      <c r="BQ220" s="1273"/>
    </row>
    <row r="221" spans="10:69" ht="16.5" customHeight="1">
      <c r="J221" s="246"/>
      <c r="K221" s="246"/>
      <c r="L221" s="246"/>
      <c r="M221" s="246"/>
      <c r="N221" s="269"/>
      <c r="P221" s="247"/>
      <c r="R221" s="270"/>
      <c r="Y221" s="247"/>
      <c r="Z221" s="247"/>
      <c r="AA221" s="266"/>
      <c r="AB221" s="271"/>
      <c r="AN221" s="247"/>
      <c r="AO221" s="247"/>
      <c r="AR221" s="272"/>
      <c r="AT221" s="247"/>
      <c r="AV221" s="266"/>
      <c r="AX221" s="247"/>
      <c r="BC221" s="272"/>
      <c r="BD221" s="249"/>
      <c r="BE221" s="249"/>
      <c r="BF221" s="247"/>
      <c r="BG221" s="273"/>
      <c r="BI221" s="274"/>
      <c r="BK221" s="273"/>
      <c r="BL221" s="272"/>
      <c r="BP221" s="1273"/>
      <c r="BQ221" s="1273"/>
    </row>
    <row r="222" spans="10:69" ht="16.5" customHeight="1">
      <c r="J222" s="246"/>
      <c r="K222" s="246"/>
      <c r="L222" s="246"/>
      <c r="M222" s="246"/>
      <c r="N222" s="269"/>
      <c r="P222" s="247"/>
      <c r="R222" s="270"/>
      <c r="Y222" s="247"/>
      <c r="Z222" s="247"/>
      <c r="AA222" s="266"/>
      <c r="AB222" s="271"/>
      <c r="AN222" s="247"/>
      <c r="AO222" s="247"/>
      <c r="AR222" s="272"/>
      <c r="AT222" s="247"/>
      <c r="AV222" s="266"/>
      <c r="AX222" s="247"/>
      <c r="BC222" s="272"/>
      <c r="BD222" s="249"/>
      <c r="BE222" s="249"/>
      <c r="BF222" s="247"/>
      <c r="BG222" s="273"/>
      <c r="BI222" s="274"/>
      <c r="BK222" s="273"/>
      <c r="BL222" s="272"/>
      <c r="BP222" s="1273"/>
      <c r="BQ222" s="1273"/>
    </row>
    <row r="223" spans="10:69" ht="16.5" customHeight="1">
      <c r="J223" s="246"/>
      <c r="L223" s="247"/>
      <c r="N223" s="269"/>
      <c r="P223" s="247"/>
      <c r="R223" s="270"/>
      <c r="Y223" s="247"/>
      <c r="Z223" s="247"/>
      <c r="AA223" s="266"/>
      <c r="AB223" s="271"/>
      <c r="AN223" s="247"/>
      <c r="AO223" s="247"/>
      <c r="AR223" s="272"/>
      <c r="AT223" s="247"/>
      <c r="AV223" s="266"/>
      <c r="AX223" s="247"/>
      <c r="BC223" s="272"/>
      <c r="BD223" s="249"/>
      <c r="BE223" s="249"/>
      <c r="BF223" s="247"/>
      <c r="BG223" s="273"/>
      <c r="BI223" s="274"/>
      <c r="BK223" s="273"/>
      <c r="BL223" s="272"/>
      <c r="BP223" s="1273"/>
      <c r="BQ223" s="1273"/>
    </row>
    <row r="224" spans="10:69" ht="16.5" customHeight="1">
      <c r="J224" s="246"/>
      <c r="L224" s="247"/>
      <c r="N224" s="269"/>
      <c r="P224" s="247"/>
      <c r="R224" s="270"/>
      <c r="Y224" s="247"/>
      <c r="AB224" s="271"/>
      <c r="AN224" s="247"/>
      <c r="AO224" s="247"/>
      <c r="AR224" s="272"/>
      <c r="AT224" s="247"/>
      <c r="AV224" s="266"/>
      <c r="AX224" s="247"/>
      <c r="BC224" s="272"/>
      <c r="BD224" s="249"/>
      <c r="BE224" s="249"/>
      <c r="BF224" s="247"/>
      <c r="BG224" s="273"/>
      <c r="BI224" s="274"/>
      <c r="BK224" s="273"/>
      <c r="BL224" s="272"/>
      <c r="BP224" s="1273"/>
      <c r="BQ224" s="1273"/>
    </row>
    <row r="225" spans="10:69" ht="16.5" customHeight="1">
      <c r="J225" s="246"/>
      <c r="L225" s="247"/>
      <c r="N225" s="269"/>
      <c r="P225" s="247"/>
      <c r="R225" s="270"/>
      <c r="Y225" s="247"/>
      <c r="AB225" s="271"/>
      <c r="AN225" s="247"/>
      <c r="AO225" s="247"/>
      <c r="AR225" s="272"/>
      <c r="AT225" s="247"/>
      <c r="AV225" s="266"/>
      <c r="AX225" s="247"/>
      <c r="BC225" s="272"/>
      <c r="BD225" s="249"/>
      <c r="BE225" s="249"/>
      <c r="BF225" s="247"/>
      <c r="BG225" s="273"/>
      <c r="BI225" s="274"/>
      <c r="BK225" s="273"/>
      <c r="BL225" s="272"/>
      <c r="BP225" s="1273"/>
      <c r="BQ225" s="1273"/>
    </row>
    <row r="226" spans="10:69" ht="16.5" customHeight="1">
      <c r="J226" s="246"/>
      <c r="L226" s="247"/>
      <c r="N226" s="269"/>
      <c r="P226" s="247"/>
      <c r="R226" s="270"/>
      <c r="Y226" s="247"/>
    </row>
    <row r="227" spans="10:69" ht="16.5" customHeight="1">
      <c r="J227" s="246"/>
      <c r="L227" s="247"/>
      <c r="N227" s="269"/>
      <c r="P227" s="247"/>
      <c r="R227" s="270"/>
      <c r="Y227" s="247"/>
    </row>
    <row r="228" spans="10:69" ht="16.5" customHeight="1">
      <c r="J228" s="246"/>
      <c r="L228" s="247"/>
      <c r="N228" s="269"/>
      <c r="P228" s="247"/>
      <c r="R228" s="270"/>
      <c r="Y228" s="247"/>
    </row>
    <row r="229" spans="10:69" ht="16.5" customHeight="1">
      <c r="J229" s="246"/>
      <c r="L229" s="247"/>
      <c r="N229" s="269"/>
      <c r="P229" s="247"/>
      <c r="R229" s="270"/>
      <c r="Y229" s="247"/>
    </row>
    <row r="230" spans="10:69" ht="16.5" customHeight="1">
      <c r="J230" s="246"/>
      <c r="L230" s="247"/>
      <c r="N230" s="269"/>
      <c r="P230" s="247"/>
      <c r="R230" s="270"/>
      <c r="Y230" s="247"/>
    </row>
    <row r="231" spans="10:69" ht="16.5" customHeight="1">
      <c r="J231" s="246"/>
      <c r="L231" s="247"/>
      <c r="N231" s="269"/>
      <c r="P231" s="247"/>
      <c r="R231" s="270"/>
    </row>
    <row r="232" spans="10:69" ht="16.5" customHeight="1">
      <c r="J232" s="246"/>
      <c r="L232" s="247"/>
      <c r="N232" s="269"/>
      <c r="P232" s="247"/>
      <c r="R232" s="270"/>
    </row>
    <row r="233" spans="10:69" ht="16.5" customHeight="1">
      <c r="J233" s="246"/>
      <c r="L233" s="247"/>
      <c r="N233" s="269"/>
      <c r="P233" s="247"/>
      <c r="R233" s="270"/>
    </row>
    <row r="234" spans="10:69" ht="16.5" customHeight="1">
      <c r="J234" s="246"/>
      <c r="L234" s="247"/>
      <c r="N234" s="269"/>
      <c r="P234" s="247"/>
      <c r="R234" s="270"/>
    </row>
    <row r="235" spans="10:69" ht="16.5" customHeight="1">
      <c r="J235" s="246"/>
      <c r="L235" s="247"/>
      <c r="N235" s="269"/>
      <c r="P235" s="247"/>
      <c r="R235" s="270"/>
    </row>
    <row r="236" spans="10:69" ht="16.5" customHeight="1">
      <c r="J236" s="246"/>
      <c r="L236" s="247"/>
      <c r="N236" s="269"/>
      <c r="P236" s="247"/>
      <c r="R236" s="270"/>
    </row>
    <row r="237" spans="10:69" ht="16.5" customHeight="1">
      <c r="J237" s="246"/>
      <c r="L237" s="247"/>
      <c r="N237" s="269"/>
      <c r="P237" s="247"/>
      <c r="R237" s="270"/>
    </row>
    <row r="238" spans="10:69" ht="16.5" customHeight="1">
      <c r="J238" s="246"/>
      <c r="L238" s="247"/>
      <c r="N238" s="269"/>
      <c r="P238" s="247"/>
      <c r="R238" s="270"/>
    </row>
    <row r="239" spans="10:69" ht="16.5" customHeight="1">
      <c r="J239" s="246"/>
      <c r="L239" s="247"/>
      <c r="N239" s="269"/>
      <c r="P239" s="247"/>
      <c r="R239" s="270"/>
    </row>
    <row r="240" spans="10:69" ht="16.5" customHeight="1">
      <c r="J240" s="246"/>
      <c r="L240" s="247"/>
      <c r="N240" s="269"/>
      <c r="P240" s="247"/>
      <c r="R240" s="270"/>
    </row>
    <row r="241" spans="10:18" ht="16.5" customHeight="1">
      <c r="J241" s="246"/>
      <c r="L241" s="247"/>
      <c r="N241" s="269"/>
      <c r="P241" s="247"/>
      <c r="R241" s="270"/>
    </row>
    <row r="242" spans="10:18" ht="16.5" customHeight="1">
      <c r="J242" s="246"/>
      <c r="L242" s="247"/>
      <c r="N242" s="269"/>
      <c r="P242" s="247"/>
      <c r="R242" s="270"/>
    </row>
    <row r="243" spans="10:18" ht="16.5" customHeight="1">
      <c r="J243" s="246"/>
      <c r="L243" s="247"/>
      <c r="N243" s="269"/>
      <c r="P243" s="247"/>
      <c r="R243" s="270"/>
    </row>
    <row r="244" spans="10:18" ht="16.5" customHeight="1">
      <c r="J244" s="246"/>
      <c r="L244" s="247"/>
      <c r="N244" s="269"/>
    </row>
    <row r="245" spans="10:18" ht="16.5" customHeight="1">
      <c r="J245" s="246"/>
      <c r="L245" s="247"/>
    </row>
    <row r="246" spans="10:18" ht="16.5" customHeight="1">
      <c r="J246" s="246"/>
      <c r="L246" s="247"/>
    </row>
    <row r="247" spans="10:18" ht="16.5" customHeight="1">
      <c r="J247" s="246"/>
      <c r="L247" s="247"/>
    </row>
    <row r="248" spans="10:18" ht="16.5" customHeight="1">
      <c r="J248" s="246"/>
      <c r="L248" s="247"/>
    </row>
    <row r="249" spans="10:18" ht="16.5" customHeight="1">
      <c r="J249" s="246"/>
      <c r="L249" s="247"/>
    </row>
    <row r="250" spans="10:18" ht="16.5" customHeight="1">
      <c r="J250" s="246"/>
      <c r="L250" s="247"/>
    </row>
    <row r="251" spans="10:18" ht="16.5" customHeight="1">
      <c r="J251" s="246"/>
      <c r="L251" s="247"/>
    </row>
    <row r="252" spans="10:18" ht="16.5" customHeight="1">
      <c r="J252" s="246"/>
      <c r="L252" s="247"/>
    </row>
    <row r="253" spans="10:18" ht="16.5" customHeight="1">
      <c r="J253" s="246"/>
      <c r="L253" s="247"/>
    </row>
    <row r="254" spans="10:18" ht="16.5" customHeight="1">
      <c r="J254" s="246"/>
      <c r="L254" s="247"/>
    </row>
    <row r="255" spans="10:18" ht="16.5" customHeight="1">
      <c r="J255" s="246"/>
      <c r="L255" s="247"/>
    </row>
    <row r="256" spans="10:18" ht="16.5" customHeight="1">
      <c r="J256" s="246"/>
    </row>
    <row r="257" spans="10:10" ht="16.5" customHeight="1">
      <c r="J257" s="246"/>
    </row>
    <row r="258" spans="10:10" ht="16.5" customHeight="1">
      <c r="J258" s="246"/>
    </row>
    <row r="259" spans="10:10" ht="16.5" customHeight="1">
      <c r="J259" s="246"/>
    </row>
    <row r="260" spans="10:10" ht="16.5" customHeight="1">
      <c r="J260" s="246"/>
    </row>
    <row r="261" spans="10:10" ht="16.5" customHeight="1">
      <c r="J261" s="246"/>
    </row>
    <row r="262" spans="10:10" ht="16.5" customHeight="1">
      <c r="J262" s="246"/>
    </row>
    <row r="263" spans="10:10" ht="16.5" customHeight="1">
      <c r="J263" s="246"/>
    </row>
    <row r="264" spans="10:10" ht="16.5" customHeight="1">
      <c r="J264" s="246"/>
    </row>
    <row r="265" spans="10:10" ht="16.5" customHeight="1">
      <c r="J265" s="246"/>
    </row>
    <row r="266" spans="10:10" ht="16.5" customHeight="1">
      <c r="J266" s="246"/>
    </row>
    <row r="267" spans="10:10" ht="16.5" customHeight="1">
      <c r="J267" s="246"/>
    </row>
    <row r="268" spans="10:10" ht="16.5" customHeight="1">
      <c r="J268" s="246"/>
    </row>
    <row r="269" spans="10:10" ht="16.5" customHeight="1">
      <c r="J269" s="246"/>
    </row>
    <row r="270" spans="10:10" ht="16.5" customHeight="1">
      <c r="J270" s="246"/>
    </row>
    <row r="271" spans="10:10" ht="16.5" customHeight="1">
      <c r="J271" s="246"/>
    </row>
    <row r="272" spans="10:10" ht="16.5" customHeight="1">
      <c r="J272" s="246"/>
    </row>
    <row r="273" spans="10:10" ht="16.5" customHeight="1">
      <c r="J273" s="246"/>
    </row>
    <row r="274" spans="10:10" ht="16.5" customHeight="1">
      <c r="J274" s="246"/>
    </row>
    <row r="275" spans="10:10" ht="16.5" customHeight="1">
      <c r="J275" s="246"/>
    </row>
    <row r="276" spans="10:10" ht="16.5" customHeight="1">
      <c r="J276" s="246"/>
    </row>
    <row r="277" spans="10:10" ht="16.5" customHeight="1">
      <c r="J277" s="246"/>
    </row>
    <row r="278" spans="10:10" ht="16.5" customHeight="1">
      <c r="J278" s="246"/>
    </row>
    <row r="279" spans="10:10" ht="16.5" customHeight="1">
      <c r="J279" s="246"/>
    </row>
    <row r="280" spans="10:10" ht="16.5" customHeight="1">
      <c r="J280" s="246"/>
    </row>
    <row r="281" spans="10:10" ht="16.5" customHeight="1">
      <c r="J281" s="246"/>
    </row>
    <row r="282" spans="10:10" ht="16.5" customHeight="1">
      <c r="J282" s="246"/>
    </row>
    <row r="283" spans="10:10" ht="16.5" customHeight="1">
      <c r="J283" s="246"/>
    </row>
    <row r="284" spans="10:10" ht="16.5" customHeight="1">
      <c r="J284" s="246"/>
    </row>
    <row r="285" spans="10:10" ht="16.5" customHeight="1">
      <c r="J285" s="246"/>
    </row>
    <row r="286" spans="10:10" ht="16.5" customHeight="1">
      <c r="J286" s="246"/>
    </row>
    <row r="287" spans="10:10" ht="16.5" customHeight="1">
      <c r="J287" s="246"/>
    </row>
    <row r="288" spans="10:10" ht="16.5" customHeight="1">
      <c r="J288" s="246"/>
    </row>
    <row r="289" spans="10:10" ht="16.5" customHeight="1">
      <c r="J289" s="246"/>
    </row>
    <row r="290" spans="10:10" ht="16.5" customHeight="1">
      <c r="J290" s="246"/>
    </row>
    <row r="291" spans="10:10" ht="16.5" customHeight="1">
      <c r="J291" s="246"/>
    </row>
    <row r="292" spans="10:10" ht="16.5" customHeight="1">
      <c r="J292" s="246"/>
    </row>
    <row r="293" spans="10:10" ht="16.5" customHeight="1">
      <c r="J293" s="246"/>
    </row>
    <row r="294" spans="10:10" ht="16.5" customHeight="1">
      <c r="J294" s="246"/>
    </row>
    <row r="295" spans="10:10" ht="16.5" customHeight="1">
      <c r="J295" s="246"/>
    </row>
    <row r="296" spans="10:10" ht="16.5" customHeight="1">
      <c r="J296" s="246"/>
    </row>
    <row r="297" spans="10:10" ht="16.5" customHeight="1">
      <c r="J297" s="246"/>
    </row>
    <row r="298" spans="10:10" ht="16.5" customHeight="1">
      <c r="J298" s="246"/>
    </row>
    <row r="299" spans="10:10" ht="16.5" customHeight="1">
      <c r="J299" s="246"/>
    </row>
    <row r="300" spans="10:10" ht="16.5" customHeight="1">
      <c r="J300" s="246"/>
    </row>
    <row r="301" spans="10:10" ht="16.5" customHeight="1">
      <c r="J301" s="246"/>
    </row>
    <row r="302" spans="10:10" ht="16.5" customHeight="1">
      <c r="J302" s="246"/>
    </row>
    <row r="303" spans="10:10" ht="16.5" customHeight="1">
      <c r="J303" s="246"/>
    </row>
    <row r="304" spans="10:10" ht="16.5" customHeight="1">
      <c r="J304" s="246"/>
    </row>
    <row r="305" spans="10:10" ht="16.5" customHeight="1">
      <c r="J305" s="246"/>
    </row>
    <row r="306" spans="10:10" ht="16.5" customHeight="1">
      <c r="J306" s="246"/>
    </row>
    <row r="1295" spans="1:1" ht="16.5" customHeight="1">
      <c r="A1295" s="458"/>
    </row>
    <row r="1296" spans="1:1" ht="16.5" customHeight="1">
      <c r="A1296" s="458"/>
    </row>
    <row r="1297" spans="1:1" ht="16.5" customHeight="1">
      <c r="A1297" s="458"/>
    </row>
    <row r="1307" spans="1:1" ht="16.5" customHeight="1">
      <c r="A1307" s="458"/>
    </row>
    <row r="1309" spans="1:1" ht="16.5" customHeight="1">
      <c r="A1309" s="458"/>
    </row>
    <row r="1310" spans="1:1" ht="16.5" customHeight="1">
      <c r="A1310" s="458"/>
    </row>
    <row r="1311" spans="1:1" ht="16.5" customHeight="1">
      <c r="A1311" s="458"/>
    </row>
    <row r="1315" spans="1:1" ht="16.5" customHeight="1">
      <c r="A1315" s="458"/>
    </row>
    <row r="1330" spans="1:1" ht="16.5" customHeight="1">
      <c r="A1330" s="458"/>
    </row>
    <row r="1331" spans="1:1" ht="16.5" customHeight="1">
      <c r="A1331" s="458"/>
    </row>
    <row r="1332" spans="1:1" ht="16.5" customHeight="1">
      <c r="A1332" s="458"/>
    </row>
    <row r="1345" spans="1:1" ht="16.5" customHeight="1">
      <c r="A1345" s="458"/>
    </row>
    <row r="1346" spans="1:1" ht="16.5" customHeight="1">
      <c r="A1346" s="458"/>
    </row>
    <row r="1347" spans="1:1" ht="16.5" customHeight="1">
      <c r="A1347" s="458"/>
    </row>
    <row r="1348" spans="1:1" ht="16.5" customHeight="1">
      <c r="A1348" s="458"/>
    </row>
    <row r="1349" spans="1:1" ht="16.5" customHeight="1">
      <c r="A1349" s="458"/>
    </row>
    <row r="1350" spans="1:1" ht="16.5" customHeight="1">
      <c r="A1350" s="458"/>
    </row>
    <row r="1351" spans="1:1" ht="16.5" customHeight="1">
      <c r="A1351" s="458"/>
    </row>
    <row r="1352" spans="1:1" ht="16.5" customHeight="1">
      <c r="A1352" s="458"/>
    </row>
    <row r="1353" spans="1:1" ht="16.5" customHeight="1">
      <c r="A1353" s="458"/>
    </row>
    <row r="1354" spans="1:1" ht="16.5" customHeight="1">
      <c r="A1354" s="458"/>
    </row>
    <row r="1355" spans="1:1" ht="16.5" customHeight="1">
      <c r="A1355" s="458"/>
    </row>
    <row r="1356" spans="1:1" ht="16.5" customHeight="1">
      <c r="A1356" s="458"/>
    </row>
    <row r="1359" spans="1:1" ht="16.5" customHeight="1">
      <c r="A1359" s="458"/>
    </row>
    <row r="1360" spans="1:1" ht="16.5" customHeight="1">
      <c r="A1360" s="458"/>
    </row>
    <row r="1361" spans="1:1" ht="16.5" customHeight="1">
      <c r="A1361" s="458"/>
    </row>
    <row r="1362" spans="1:1" ht="16.5" customHeight="1">
      <c r="A1362" s="458"/>
    </row>
    <row r="1363" spans="1:1" ht="16.5" customHeight="1">
      <c r="A1363" s="458"/>
    </row>
    <row r="1364" spans="1:1" ht="16.5" customHeight="1">
      <c r="A1364" s="458"/>
    </row>
    <row r="1368" spans="1:1" ht="16.5" customHeight="1">
      <c r="A1368" s="458"/>
    </row>
    <row r="1369" spans="1:1" ht="16.5" customHeight="1">
      <c r="A1369" s="458"/>
    </row>
    <row r="1370" spans="1:1" ht="16.5" customHeight="1">
      <c r="A1370" s="458"/>
    </row>
    <row r="1371" spans="1:1" ht="16.5" customHeight="1">
      <c r="A1371" s="458"/>
    </row>
    <row r="1372" spans="1:1" ht="16.5" customHeight="1">
      <c r="A1372" s="458"/>
    </row>
    <row r="1373" spans="1:1" ht="16.5" customHeight="1">
      <c r="A1373" s="458"/>
    </row>
    <row r="1374" spans="1:1" ht="16.5" customHeight="1">
      <c r="A1374" s="458"/>
    </row>
    <row r="1375" spans="1:1" ht="16.5" customHeight="1">
      <c r="A1375" s="458"/>
    </row>
    <row r="1376" spans="1:1" ht="16.5" customHeight="1">
      <c r="A1376" s="458"/>
    </row>
    <row r="1377" spans="1:1" ht="16.5" customHeight="1">
      <c r="A1377" s="458"/>
    </row>
    <row r="1378" spans="1:1" ht="16.5" customHeight="1">
      <c r="A1378" s="458"/>
    </row>
    <row r="1379" spans="1:1" ht="16.5" customHeight="1">
      <c r="A1379" s="458"/>
    </row>
    <row r="1380" spans="1:1" ht="16.5" customHeight="1">
      <c r="A1380" s="458"/>
    </row>
    <row r="1381" spans="1:1" ht="16.5" customHeight="1">
      <c r="A1381" s="458"/>
    </row>
    <row r="1382" spans="1:1" ht="16.5" customHeight="1">
      <c r="A1382" s="458"/>
    </row>
    <row r="1383" spans="1:1" ht="16.5" customHeight="1">
      <c r="A1383" s="458"/>
    </row>
    <row r="1384" spans="1:1" ht="16.5" customHeight="1">
      <c r="A1384" s="458"/>
    </row>
    <row r="1385" spans="1:1" ht="16.5" customHeight="1">
      <c r="A1385" s="458"/>
    </row>
    <row r="1386" spans="1:1" ht="16.5" customHeight="1">
      <c r="A1386" s="458"/>
    </row>
    <row r="1387" spans="1:1" ht="16.5" customHeight="1">
      <c r="A1387" s="458"/>
    </row>
    <row r="1388" spans="1:1" ht="16.5" customHeight="1">
      <c r="A1388" s="458"/>
    </row>
    <row r="1389" spans="1:1" ht="16.5" customHeight="1">
      <c r="A1389" s="458"/>
    </row>
    <row r="1390" spans="1:1" ht="16.5" customHeight="1">
      <c r="A1390" s="458"/>
    </row>
    <row r="1391" spans="1:1" ht="16.5" customHeight="1">
      <c r="A1391" s="458"/>
    </row>
    <row r="1392" spans="1:1" ht="16.5" customHeight="1">
      <c r="A1392" s="458"/>
    </row>
    <row r="1393" spans="1:1" ht="16.5" customHeight="1">
      <c r="A1393" s="458"/>
    </row>
    <row r="1394" spans="1:1" ht="16.5" customHeight="1">
      <c r="A1394" s="458"/>
    </row>
    <row r="1395" spans="1:1" ht="16.5" customHeight="1">
      <c r="A1395" s="458"/>
    </row>
    <row r="1396" spans="1:1" ht="16.5" customHeight="1">
      <c r="A1396" s="458"/>
    </row>
    <row r="1397" spans="1:1" ht="16.5" customHeight="1">
      <c r="A1397" s="458"/>
    </row>
    <row r="1398" spans="1:1" ht="16.5" customHeight="1">
      <c r="A1398" s="458"/>
    </row>
    <row r="1399" spans="1:1" ht="16.5" customHeight="1">
      <c r="A1399" s="458"/>
    </row>
    <row r="1400" spans="1:1" ht="16.5" customHeight="1">
      <c r="A1400" s="458"/>
    </row>
    <row r="1401" spans="1:1" ht="16.5" customHeight="1">
      <c r="A1401" s="458"/>
    </row>
    <row r="1402" spans="1:1" ht="16.5" customHeight="1">
      <c r="A1402" s="458"/>
    </row>
    <row r="1403" spans="1:1" ht="16.5" customHeight="1">
      <c r="A1403" s="458"/>
    </row>
    <row r="1404" spans="1:1" ht="16.5" customHeight="1">
      <c r="A1404" s="458"/>
    </row>
    <row r="1405" spans="1:1" ht="16.5" customHeight="1">
      <c r="A1405" s="458"/>
    </row>
    <row r="1406" spans="1:1" ht="16.5" customHeight="1">
      <c r="A1406" s="458"/>
    </row>
    <row r="1407" spans="1:1" ht="16.5" customHeight="1">
      <c r="A1407" s="458"/>
    </row>
    <row r="1408" spans="1:1" ht="16.5" customHeight="1">
      <c r="A1408" s="458"/>
    </row>
    <row r="1409" spans="1:1" ht="16.5" customHeight="1">
      <c r="A1409" s="458"/>
    </row>
    <row r="1410" spans="1:1" ht="16.5" customHeight="1">
      <c r="A1410" s="458"/>
    </row>
    <row r="1411" spans="1:1" ht="16.5" customHeight="1">
      <c r="A1411" s="458"/>
    </row>
    <row r="1412" spans="1:1" ht="16.5" customHeight="1">
      <c r="A1412" s="458"/>
    </row>
    <row r="1413" spans="1:1" ht="16.5" customHeight="1">
      <c r="A1413" s="458"/>
    </row>
    <row r="1414" spans="1:1" ht="16.5" customHeight="1">
      <c r="A1414" s="458"/>
    </row>
    <row r="1415" spans="1:1" ht="16.5" customHeight="1">
      <c r="A1415" s="458"/>
    </row>
    <row r="1416" spans="1:1" ht="16.5" customHeight="1">
      <c r="A1416" s="458"/>
    </row>
    <row r="1417" spans="1:1" ht="16.5" customHeight="1">
      <c r="A1417" s="458"/>
    </row>
    <row r="1418" spans="1:1" ht="16.5" customHeight="1">
      <c r="A1418" s="458"/>
    </row>
    <row r="1419" spans="1:1" ht="16.5" customHeight="1">
      <c r="A1419" s="458"/>
    </row>
    <row r="1420" spans="1:1" ht="16.5" customHeight="1">
      <c r="A1420" s="458"/>
    </row>
    <row r="1421" spans="1:1" ht="16.5" customHeight="1">
      <c r="A1421" s="458"/>
    </row>
    <row r="1422" spans="1:1" ht="16.5" customHeight="1">
      <c r="A1422" s="458"/>
    </row>
    <row r="1423" spans="1:1" ht="16.5" customHeight="1">
      <c r="A1423" s="458"/>
    </row>
    <row r="1424" spans="1:1" ht="16.5" customHeight="1">
      <c r="A1424" s="458"/>
    </row>
    <row r="1425" spans="1:1" ht="16.5" customHeight="1">
      <c r="A1425" s="458"/>
    </row>
    <row r="1426" spans="1:1" ht="16.5" customHeight="1">
      <c r="A1426" s="458"/>
    </row>
    <row r="1427" spans="1:1" ht="16.5" customHeight="1">
      <c r="A1427" s="458"/>
    </row>
    <row r="1428" spans="1:1" ht="16.5" customHeight="1">
      <c r="A1428" s="458"/>
    </row>
    <row r="1429" spans="1:1" ht="16.5" customHeight="1">
      <c r="A1429" s="458"/>
    </row>
    <row r="1430" spans="1:1" ht="16.5" customHeight="1">
      <c r="A1430" s="458"/>
    </row>
    <row r="1431" spans="1:1" ht="16.5" customHeight="1">
      <c r="A1431" s="458"/>
    </row>
    <row r="1432" spans="1:1" ht="16.5" customHeight="1">
      <c r="A1432" s="458"/>
    </row>
    <row r="1433" spans="1:1" ht="16.5" customHeight="1">
      <c r="A1433" s="458"/>
    </row>
    <row r="1434" spans="1:1" ht="16.5" customHeight="1">
      <c r="A1434" s="458"/>
    </row>
    <row r="1435" spans="1:1" ht="16.5" customHeight="1">
      <c r="A1435" s="458"/>
    </row>
    <row r="1436" spans="1:1" ht="16.5" customHeight="1">
      <c r="A1436" s="458"/>
    </row>
    <row r="1437" spans="1:1" ht="16.5" customHeight="1">
      <c r="A1437" s="458"/>
    </row>
    <row r="1438" spans="1:1" ht="16.5" customHeight="1">
      <c r="A1438" s="458"/>
    </row>
    <row r="1439" spans="1:1" ht="16.5" customHeight="1">
      <c r="A1439" s="458"/>
    </row>
    <row r="1440" spans="1:1" ht="16.5" customHeight="1">
      <c r="A1440" s="458"/>
    </row>
    <row r="1441" spans="1:1" ht="16.5" customHeight="1">
      <c r="A1441" s="458"/>
    </row>
    <row r="1442" spans="1:1" ht="16.5" customHeight="1">
      <c r="A1442" s="458"/>
    </row>
    <row r="1443" spans="1:1" ht="16.5" customHeight="1">
      <c r="A1443" s="458"/>
    </row>
    <row r="1444" spans="1:1" ht="16.5" customHeight="1">
      <c r="A1444" s="458"/>
    </row>
    <row r="1445" spans="1:1" ht="16.5" customHeight="1">
      <c r="A1445" s="458"/>
    </row>
    <row r="1446" spans="1:1" ht="16.5" customHeight="1">
      <c r="A1446" s="458"/>
    </row>
    <row r="1447" spans="1:1" ht="16.5" customHeight="1">
      <c r="A1447" s="458"/>
    </row>
    <row r="1448" spans="1:1" ht="16.5" customHeight="1">
      <c r="A1448" s="458"/>
    </row>
    <row r="1449" spans="1:1" ht="16.5" customHeight="1">
      <c r="A1449" s="458"/>
    </row>
    <row r="1450" spans="1:1" ht="16.5" customHeight="1">
      <c r="A1450" s="458"/>
    </row>
    <row r="1451" spans="1:1" ht="16.5" customHeight="1">
      <c r="A1451" s="458"/>
    </row>
    <row r="1452" spans="1:1" ht="16.5" customHeight="1">
      <c r="A1452" s="458"/>
    </row>
    <row r="1453" spans="1:1" ht="16.5" customHeight="1">
      <c r="A1453" s="458"/>
    </row>
    <row r="1454" spans="1:1" ht="16.5" customHeight="1">
      <c r="A1454" s="458"/>
    </row>
    <row r="1455" spans="1:1" ht="16.5" customHeight="1">
      <c r="A1455" s="458"/>
    </row>
    <row r="1456" spans="1:1" ht="16.5" customHeight="1">
      <c r="A1456" s="458"/>
    </row>
    <row r="1457" spans="1:1" ht="16.5" customHeight="1">
      <c r="A1457" s="458"/>
    </row>
    <row r="1458" spans="1:1" ht="16.5" customHeight="1">
      <c r="A1458" s="458"/>
    </row>
    <row r="1459" spans="1:1" ht="16.5" customHeight="1">
      <c r="A1459" s="458"/>
    </row>
    <row r="1460" spans="1:1" ht="16.5" customHeight="1">
      <c r="A1460" s="458"/>
    </row>
    <row r="1461" spans="1:1" ht="16.5" customHeight="1">
      <c r="A1461" s="458"/>
    </row>
    <row r="1462" spans="1:1" ht="16.5" customHeight="1">
      <c r="A1462" s="458"/>
    </row>
    <row r="1463" spans="1:1" ht="16.5" customHeight="1">
      <c r="A1463" s="458"/>
    </row>
    <row r="1464" spans="1:1" ht="16.5" customHeight="1">
      <c r="A1464" s="458"/>
    </row>
    <row r="1465" spans="1:1" ht="16.5" customHeight="1">
      <c r="A1465" s="458"/>
    </row>
    <row r="1466" spans="1:1" ht="16.5" customHeight="1">
      <c r="A1466" s="458"/>
    </row>
    <row r="1467" spans="1:1" ht="16.5" customHeight="1">
      <c r="A1467" s="458"/>
    </row>
    <row r="1468" spans="1:1" ht="16.5" customHeight="1">
      <c r="A1468" s="458"/>
    </row>
    <row r="1469" spans="1:1" ht="16.5" customHeight="1">
      <c r="A1469" s="458"/>
    </row>
    <row r="1470" spans="1:1" ht="16.5" customHeight="1">
      <c r="A1470" s="458"/>
    </row>
    <row r="1471" spans="1:1" ht="16.5" customHeight="1">
      <c r="A1471" s="458"/>
    </row>
    <row r="1472" spans="1:1" ht="16.5" customHeight="1">
      <c r="A1472" s="458"/>
    </row>
    <row r="1473" spans="1:1" ht="16.5" customHeight="1">
      <c r="A1473" s="458"/>
    </row>
    <row r="1474" spans="1:1" ht="16.5" customHeight="1">
      <c r="A1474" s="458"/>
    </row>
    <row r="1475" spans="1:1" ht="16.5" customHeight="1">
      <c r="A1475" s="458"/>
    </row>
    <row r="1476" spans="1:1" ht="16.5" customHeight="1">
      <c r="A1476" s="458"/>
    </row>
    <row r="1477" spans="1:1" ht="16.5" customHeight="1">
      <c r="A1477" s="458"/>
    </row>
    <row r="1478" spans="1:1" ht="16.5" customHeight="1">
      <c r="A1478" s="458"/>
    </row>
    <row r="1479" spans="1:1" ht="16.5" customHeight="1">
      <c r="A1479" s="458"/>
    </row>
    <row r="1480" spans="1:1" ht="16.5" customHeight="1">
      <c r="A1480" s="458"/>
    </row>
    <row r="1481" spans="1:1" ht="16.5" customHeight="1">
      <c r="A1481" s="458"/>
    </row>
    <row r="1482" spans="1:1" ht="16.5" customHeight="1">
      <c r="A1482" s="458"/>
    </row>
    <row r="1483" spans="1:1" ht="16.5" customHeight="1">
      <c r="A1483" s="458"/>
    </row>
    <row r="1484" spans="1:1" ht="16.5" customHeight="1">
      <c r="A1484" s="458"/>
    </row>
    <row r="1485" spans="1:1" ht="16.5" customHeight="1">
      <c r="A1485" s="458"/>
    </row>
    <row r="1486" spans="1:1" ht="16.5" customHeight="1">
      <c r="A1486" s="458"/>
    </row>
    <row r="1487" spans="1:1" ht="16.5" customHeight="1">
      <c r="A1487" s="458"/>
    </row>
    <row r="1488" spans="1:1" ht="16.5" customHeight="1">
      <c r="A1488" s="458"/>
    </row>
    <row r="1489" spans="1:1" ht="16.5" customHeight="1">
      <c r="A1489" s="458"/>
    </row>
    <row r="1490" spans="1:1" ht="16.5" customHeight="1">
      <c r="A1490" s="458"/>
    </row>
    <row r="1491" spans="1:1" ht="16.5" customHeight="1">
      <c r="A1491" s="458"/>
    </row>
    <row r="1492" spans="1:1" ht="16.5" customHeight="1">
      <c r="A1492" s="458"/>
    </row>
    <row r="1493" spans="1:1" ht="16.5" customHeight="1">
      <c r="A1493" s="458"/>
    </row>
    <row r="1494" spans="1:1" ht="16.5" customHeight="1">
      <c r="A1494" s="458"/>
    </row>
    <row r="1495" spans="1:1" ht="16.5" customHeight="1">
      <c r="A1495" s="458"/>
    </row>
    <row r="1496" spans="1:1" ht="16.5" customHeight="1">
      <c r="A1496" s="458"/>
    </row>
    <row r="1497" spans="1:1" ht="16.5" customHeight="1">
      <c r="A1497" s="458"/>
    </row>
    <row r="1498" spans="1:1" ht="16.5" customHeight="1">
      <c r="A1498" s="458"/>
    </row>
    <row r="1499" spans="1:1" ht="16.5" customHeight="1">
      <c r="A1499" s="458"/>
    </row>
    <row r="1500" spans="1:1" ht="16.5" customHeight="1">
      <c r="A1500" s="458"/>
    </row>
    <row r="1501" spans="1:1" ht="16.5" customHeight="1">
      <c r="A1501" s="458"/>
    </row>
    <row r="1502" spans="1:1" ht="16.5" customHeight="1">
      <c r="A1502" s="458"/>
    </row>
    <row r="1503" spans="1:1" ht="16.5" customHeight="1">
      <c r="A1503" s="458"/>
    </row>
    <row r="1504" spans="1:1" ht="16.5" customHeight="1">
      <c r="A1504" s="458"/>
    </row>
    <row r="1505" spans="1:1" ht="16.5" customHeight="1">
      <c r="A1505" s="458"/>
    </row>
    <row r="1506" spans="1:1" ht="16.5" customHeight="1">
      <c r="A1506" s="458"/>
    </row>
    <row r="1507" spans="1:1" ht="16.5" customHeight="1">
      <c r="A1507" s="458"/>
    </row>
    <row r="1508" spans="1:1" ht="16.5" customHeight="1">
      <c r="A1508" s="458"/>
    </row>
    <row r="1509" spans="1:1" ht="16.5" customHeight="1">
      <c r="A1509" s="458"/>
    </row>
    <row r="1510" spans="1:1" ht="16.5" customHeight="1">
      <c r="A1510" s="458"/>
    </row>
    <row r="1511" spans="1:1" ht="16.5" customHeight="1">
      <c r="A1511" s="458"/>
    </row>
    <row r="1512" spans="1:1" ht="16.5" customHeight="1">
      <c r="A1512" s="458"/>
    </row>
    <row r="1513" spans="1:1" ht="16.5" customHeight="1">
      <c r="A1513" s="458"/>
    </row>
    <row r="1514" spans="1:1" ht="16.5" customHeight="1">
      <c r="A1514" s="458"/>
    </row>
    <row r="1515" spans="1:1" ht="16.5" customHeight="1">
      <c r="A1515" s="458"/>
    </row>
    <row r="1516" spans="1:1" ht="16.5" customHeight="1">
      <c r="A1516" s="458"/>
    </row>
    <row r="1517" spans="1:1" ht="16.5" customHeight="1">
      <c r="A1517" s="458"/>
    </row>
    <row r="1518" spans="1:1" ht="16.5" customHeight="1">
      <c r="A1518" s="458"/>
    </row>
    <row r="1519" spans="1:1" ht="16.5" customHeight="1">
      <c r="A1519" s="458"/>
    </row>
    <row r="1520" spans="1:1" ht="16.5" customHeight="1">
      <c r="A1520" s="458"/>
    </row>
    <row r="1521" spans="1:1" ht="16.5" customHeight="1">
      <c r="A1521" s="458"/>
    </row>
    <row r="1522" spans="1:1" ht="16.5" customHeight="1">
      <c r="A1522" s="458"/>
    </row>
    <row r="1523" spans="1:1" ht="16.5" customHeight="1">
      <c r="A1523" s="458"/>
    </row>
    <row r="1524" spans="1:1" ht="16.5" customHeight="1">
      <c r="A1524" s="458"/>
    </row>
    <row r="1525" spans="1:1" ht="16.5" customHeight="1">
      <c r="A1525" s="458"/>
    </row>
    <row r="1526" spans="1:1" ht="16.5" customHeight="1">
      <c r="A1526" s="458"/>
    </row>
    <row r="1527" spans="1:1" ht="16.5" customHeight="1">
      <c r="A1527" s="458"/>
    </row>
    <row r="1528" spans="1:1" ht="16.5" customHeight="1">
      <c r="A1528" s="458"/>
    </row>
    <row r="1529" spans="1:1" ht="16.5" customHeight="1">
      <c r="A1529" s="458"/>
    </row>
    <row r="1530" spans="1:1" ht="16.5" customHeight="1">
      <c r="A1530" s="458"/>
    </row>
    <row r="1531" spans="1:1" ht="16.5" customHeight="1">
      <c r="A1531" s="458"/>
    </row>
    <row r="1532" spans="1:1" ht="16.5" customHeight="1">
      <c r="A1532" s="458"/>
    </row>
    <row r="1533" spans="1:1" ht="16.5" customHeight="1">
      <c r="A1533" s="458"/>
    </row>
    <row r="1534" spans="1:1" ht="16.5" customHeight="1">
      <c r="A1534" s="458"/>
    </row>
    <row r="1535" spans="1:1" ht="16.5" customHeight="1">
      <c r="A1535" s="458"/>
    </row>
    <row r="1536" spans="1:1" ht="16.5" customHeight="1">
      <c r="A1536" s="458"/>
    </row>
    <row r="1537" spans="1:1" ht="16.5" customHeight="1">
      <c r="A1537" s="458"/>
    </row>
    <row r="1538" spans="1:1" ht="16.5" customHeight="1">
      <c r="A1538" s="458"/>
    </row>
    <row r="1539" spans="1:1" ht="16.5" customHeight="1">
      <c r="A1539" s="458"/>
    </row>
    <row r="1540" spans="1:1" ht="16.5" customHeight="1">
      <c r="A1540" s="458"/>
    </row>
    <row r="1541" spans="1:1" ht="16.5" customHeight="1">
      <c r="A1541" s="458"/>
    </row>
    <row r="1542" spans="1:1" ht="16.5" customHeight="1">
      <c r="A1542" s="458"/>
    </row>
    <row r="1543" spans="1:1" ht="16.5" customHeight="1">
      <c r="A1543" s="458"/>
    </row>
    <row r="1544" spans="1:1" ht="16.5" customHeight="1">
      <c r="A1544" s="458"/>
    </row>
    <row r="1545" spans="1:1" ht="16.5" customHeight="1">
      <c r="A1545" s="458"/>
    </row>
    <row r="1546" spans="1:1" ht="16.5" customHeight="1">
      <c r="A1546" s="458"/>
    </row>
    <row r="1547" spans="1:1" ht="16.5" customHeight="1">
      <c r="A1547" s="458"/>
    </row>
    <row r="1548" spans="1:1" ht="16.5" customHeight="1">
      <c r="A1548" s="458"/>
    </row>
    <row r="1549" spans="1:1" ht="16.5" customHeight="1">
      <c r="A1549" s="458"/>
    </row>
    <row r="1550" spans="1:1" ht="16.5" customHeight="1">
      <c r="A1550" s="458"/>
    </row>
    <row r="1551" spans="1:1" ht="16.5" customHeight="1">
      <c r="A1551" s="458"/>
    </row>
    <row r="1552" spans="1:1" ht="16.5" customHeight="1">
      <c r="A1552" s="458"/>
    </row>
    <row r="1553" spans="1:1" ht="16.5" customHeight="1">
      <c r="A1553" s="458"/>
    </row>
    <row r="1554" spans="1:1" ht="16.5" customHeight="1">
      <c r="A1554" s="458"/>
    </row>
    <row r="1555" spans="1:1" ht="16.5" customHeight="1">
      <c r="A1555" s="458"/>
    </row>
    <row r="1556" spans="1:1" ht="16.5" customHeight="1">
      <c r="A1556" s="458"/>
    </row>
    <row r="1557" spans="1:1" ht="16.5" customHeight="1">
      <c r="A1557" s="458"/>
    </row>
    <row r="1558" spans="1:1" ht="16.5" customHeight="1">
      <c r="A1558" s="458"/>
    </row>
    <row r="1559" spans="1:1" ht="16.5" customHeight="1">
      <c r="A1559" s="458"/>
    </row>
    <row r="1560" spans="1:1" ht="16.5" customHeight="1">
      <c r="A1560" s="458"/>
    </row>
    <row r="1561" spans="1:1" ht="16.5" customHeight="1">
      <c r="A1561" s="458"/>
    </row>
    <row r="1562" spans="1:1" ht="16.5" customHeight="1">
      <c r="A1562" s="458"/>
    </row>
    <row r="1563" spans="1:1" ht="16.5" customHeight="1">
      <c r="A1563" s="458"/>
    </row>
    <row r="1564" spans="1:1" ht="16.5" customHeight="1">
      <c r="A1564" s="458"/>
    </row>
    <row r="1565" spans="1:1" ht="16.5" customHeight="1">
      <c r="A1565" s="458"/>
    </row>
    <row r="1566" spans="1:1" ht="16.5" customHeight="1">
      <c r="A1566" s="458"/>
    </row>
    <row r="1567" spans="1:1" ht="16.5" customHeight="1">
      <c r="A1567" s="458"/>
    </row>
    <row r="1568" spans="1:1" ht="16.5" customHeight="1">
      <c r="A1568" s="458"/>
    </row>
    <row r="1569" spans="1:1" ht="16.5" customHeight="1">
      <c r="A1569" s="458"/>
    </row>
    <row r="1570" spans="1:1" ht="16.5" customHeight="1">
      <c r="A1570" s="458"/>
    </row>
    <row r="1571" spans="1:1" ht="16.5" customHeight="1">
      <c r="A1571" s="458"/>
    </row>
    <row r="1572" spans="1:1" ht="16.5" customHeight="1">
      <c r="A1572" s="458"/>
    </row>
    <row r="1573" spans="1:1" ht="16.5" customHeight="1">
      <c r="A1573" s="458"/>
    </row>
    <row r="1574" spans="1:1" ht="16.5" customHeight="1">
      <c r="A1574" s="458"/>
    </row>
    <row r="1575" spans="1:1" ht="16.5" customHeight="1">
      <c r="A1575" s="458"/>
    </row>
    <row r="1576" spans="1:1" ht="16.5" customHeight="1">
      <c r="A1576" s="458"/>
    </row>
    <row r="1577" spans="1:1" ht="16.5" customHeight="1">
      <c r="A1577" s="458"/>
    </row>
    <row r="1578" spans="1:1" ht="16.5" customHeight="1">
      <c r="A1578" s="458"/>
    </row>
    <row r="1579" spans="1:1" ht="16.5" customHeight="1">
      <c r="A1579" s="458"/>
    </row>
    <row r="1580" spans="1:1" ht="16.5" customHeight="1">
      <c r="A1580" s="458"/>
    </row>
    <row r="1581" spans="1:1" ht="16.5" customHeight="1">
      <c r="A1581" s="458"/>
    </row>
    <row r="1582" spans="1:1" ht="16.5" customHeight="1">
      <c r="A1582" s="458"/>
    </row>
    <row r="1583" spans="1:1" ht="16.5" customHeight="1">
      <c r="A1583" s="458"/>
    </row>
    <row r="1584" spans="1:1" ht="16.5" customHeight="1">
      <c r="A1584" s="458"/>
    </row>
    <row r="1585" spans="1:1" ht="16.5" customHeight="1">
      <c r="A1585" s="458"/>
    </row>
    <row r="1586" spans="1:1" ht="16.5" customHeight="1">
      <c r="A1586" s="458"/>
    </row>
    <row r="1587" spans="1:1" ht="16.5" customHeight="1">
      <c r="A1587" s="458"/>
    </row>
    <row r="1588" spans="1:1" ht="16.5" customHeight="1">
      <c r="A1588" s="458"/>
    </row>
    <row r="1589" spans="1:1" ht="16.5" customHeight="1">
      <c r="A1589" s="458"/>
    </row>
    <row r="1590" spans="1:1" ht="16.5" customHeight="1">
      <c r="A1590" s="458"/>
    </row>
    <row r="1591" spans="1:1" ht="16.5" customHeight="1">
      <c r="A1591" s="458"/>
    </row>
    <row r="1592" spans="1:1" ht="16.5" customHeight="1">
      <c r="A1592" s="458"/>
    </row>
    <row r="1593" spans="1:1" ht="16.5" customHeight="1">
      <c r="A1593" s="458"/>
    </row>
    <row r="1594" spans="1:1" ht="16.5" customHeight="1">
      <c r="A1594" s="458"/>
    </row>
    <row r="1595" spans="1:1" ht="16.5" customHeight="1">
      <c r="A1595" s="458"/>
    </row>
    <row r="1596" spans="1:1" ht="16.5" customHeight="1">
      <c r="A1596" s="458"/>
    </row>
    <row r="1597" spans="1:1" ht="16.5" customHeight="1">
      <c r="A1597" s="458"/>
    </row>
    <row r="1598" spans="1:1" ht="16.5" customHeight="1">
      <c r="A1598" s="458"/>
    </row>
    <row r="1599" spans="1:1" ht="16.5" customHeight="1">
      <c r="A1599" s="458"/>
    </row>
    <row r="1600" spans="1:1" ht="16.5" customHeight="1">
      <c r="A1600" s="458"/>
    </row>
    <row r="1601" spans="1:1" ht="16.5" customHeight="1">
      <c r="A1601" s="458"/>
    </row>
    <row r="1602" spans="1:1" ht="16.5" customHeight="1">
      <c r="A1602" s="458"/>
    </row>
    <row r="1603" spans="1:1" ht="16.5" customHeight="1">
      <c r="A1603" s="458"/>
    </row>
    <row r="1604" spans="1:1" ht="16.5" customHeight="1">
      <c r="A1604" s="458"/>
    </row>
    <row r="1605" spans="1:1" ht="16.5" customHeight="1">
      <c r="A1605" s="458"/>
    </row>
    <row r="1606" spans="1:1" ht="16.5" customHeight="1">
      <c r="A1606" s="458"/>
    </row>
    <row r="1607" spans="1:1" ht="16.5" customHeight="1">
      <c r="A1607" s="458"/>
    </row>
    <row r="1608" spans="1:1" ht="16.5" customHeight="1">
      <c r="A1608" s="458"/>
    </row>
    <row r="1609" spans="1:1" ht="16.5" customHeight="1">
      <c r="A1609" s="458"/>
    </row>
    <row r="1610" spans="1:1" ht="16.5" customHeight="1">
      <c r="A1610" s="458"/>
    </row>
    <row r="1611" spans="1:1" ht="16.5" customHeight="1">
      <c r="A1611" s="458"/>
    </row>
    <row r="1612" spans="1:1" ht="16.5" customHeight="1">
      <c r="A1612" s="458"/>
    </row>
    <row r="1613" spans="1:1" ht="16.5" customHeight="1">
      <c r="A1613" s="458"/>
    </row>
    <row r="1614" spans="1:1" ht="16.5" customHeight="1">
      <c r="A1614" s="458"/>
    </row>
    <row r="1615" spans="1:1" ht="16.5" customHeight="1">
      <c r="A1615" s="458"/>
    </row>
    <row r="1616" spans="1:1" ht="16.5" customHeight="1">
      <c r="A1616" s="458"/>
    </row>
    <row r="1617" spans="1:1" ht="16.5" customHeight="1">
      <c r="A1617" s="458"/>
    </row>
    <row r="1618" spans="1:1" ht="16.5" customHeight="1">
      <c r="A1618" s="458"/>
    </row>
    <row r="1619" spans="1:1" ht="16.5" customHeight="1">
      <c r="A1619" s="458"/>
    </row>
    <row r="1620" spans="1:1" ht="16.5" customHeight="1">
      <c r="A1620" s="458"/>
    </row>
    <row r="1621" spans="1:1" ht="16.5" customHeight="1">
      <c r="A1621" s="458"/>
    </row>
    <row r="1622" spans="1:1" ht="16.5" customHeight="1">
      <c r="A1622" s="458"/>
    </row>
    <row r="1623" spans="1:1" ht="16.5" customHeight="1">
      <c r="A1623" s="458"/>
    </row>
    <row r="1624" spans="1:1" ht="16.5" customHeight="1">
      <c r="A1624" s="458"/>
    </row>
    <row r="1625" spans="1:1" ht="16.5" customHeight="1">
      <c r="A1625" s="458"/>
    </row>
    <row r="1626" spans="1:1" ht="16.5" customHeight="1">
      <c r="A1626" s="458"/>
    </row>
    <row r="1627" spans="1:1" ht="16.5" customHeight="1">
      <c r="A1627" s="458"/>
    </row>
    <row r="1628" spans="1:1" ht="16.5" customHeight="1">
      <c r="A1628" s="458"/>
    </row>
    <row r="1629" spans="1:1" ht="16.5" customHeight="1">
      <c r="A1629" s="458"/>
    </row>
    <row r="1630" spans="1:1" ht="16.5" customHeight="1">
      <c r="A1630" s="458"/>
    </row>
    <row r="1631" spans="1:1" ht="16.5" customHeight="1">
      <c r="A1631" s="458"/>
    </row>
    <row r="1632" spans="1:1" ht="16.5" customHeight="1">
      <c r="A1632" s="458"/>
    </row>
    <row r="1633" spans="1:1" ht="16.5" customHeight="1">
      <c r="A1633" s="458"/>
    </row>
    <row r="1634" spans="1:1" ht="16.5" customHeight="1">
      <c r="A1634" s="458"/>
    </row>
    <row r="1635" spans="1:1" ht="16.5" customHeight="1">
      <c r="A1635" s="458"/>
    </row>
    <row r="1636" spans="1:1" ht="16.5" customHeight="1">
      <c r="A1636" s="458"/>
    </row>
    <row r="1637" spans="1:1" ht="16.5" customHeight="1">
      <c r="A1637" s="458"/>
    </row>
    <row r="1638" spans="1:1" ht="16.5" customHeight="1">
      <c r="A1638" s="458"/>
    </row>
    <row r="1639" spans="1:1" ht="16.5" customHeight="1">
      <c r="A1639" s="458"/>
    </row>
    <row r="1640" spans="1:1" ht="16.5" customHeight="1">
      <c r="A1640" s="458"/>
    </row>
    <row r="1641" spans="1:1" ht="16.5" customHeight="1">
      <c r="A1641" s="458"/>
    </row>
    <row r="1642" spans="1:1" ht="16.5" customHeight="1">
      <c r="A1642" s="458"/>
    </row>
    <row r="1643" spans="1:1" ht="16.5" customHeight="1">
      <c r="A1643" s="458"/>
    </row>
    <row r="1644" spans="1:1" ht="16.5" customHeight="1">
      <c r="A1644" s="458"/>
    </row>
    <row r="1645" spans="1:1" ht="16.5" customHeight="1">
      <c r="A1645" s="458"/>
    </row>
    <row r="1646" spans="1:1" ht="16.5" customHeight="1">
      <c r="A1646" s="458"/>
    </row>
    <row r="1647" spans="1:1" ht="16.5" customHeight="1">
      <c r="A1647" s="458"/>
    </row>
    <row r="1648" spans="1:1" ht="16.5" customHeight="1">
      <c r="A1648" s="458"/>
    </row>
    <row r="1649" spans="1:1" ht="16.5" customHeight="1">
      <c r="A1649" s="458"/>
    </row>
    <row r="1650" spans="1:1" ht="16.5" customHeight="1">
      <c r="A1650" s="458"/>
    </row>
    <row r="1651" spans="1:1" ht="16.5" customHeight="1">
      <c r="A1651" s="458"/>
    </row>
    <row r="1652" spans="1:1" ht="16.5" customHeight="1">
      <c r="A1652" s="458"/>
    </row>
    <row r="1653" spans="1:1" ht="16.5" customHeight="1">
      <c r="A1653" s="458"/>
    </row>
    <row r="1654" spans="1:1" ht="16.5" customHeight="1">
      <c r="A1654" s="458"/>
    </row>
    <row r="1655" spans="1:1" ht="16.5" customHeight="1">
      <c r="A1655" s="458"/>
    </row>
    <row r="1656" spans="1:1" ht="16.5" customHeight="1">
      <c r="A1656" s="458"/>
    </row>
    <row r="1657" spans="1:1" ht="16.5" customHeight="1">
      <c r="A1657" s="458"/>
    </row>
    <row r="1658" spans="1:1" ht="16.5" customHeight="1">
      <c r="A1658" s="458"/>
    </row>
    <row r="1659" spans="1:1" ht="16.5" customHeight="1">
      <c r="A1659" s="458"/>
    </row>
    <row r="1660" spans="1:1" ht="16.5" customHeight="1">
      <c r="A1660" s="458"/>
    </row>
    <row r="1661" spans="1:1" ht="16.5" customHeight="1">
      <c r="A1661" s="458"/>
    </row>
    <row r="1662" spans="1:1" ht="16.5" customHeight="1">
      <c r="A1662" s="458"/>
    </row>
    <row r="1663" spans="1:1" ht="16.5" customHeight="1">
      <c r="A1663" s="458"/>
    </row>
    <row r="1664" spans="1:1" ht="16.5" customHeight="1">
      <c r="A1664" s="458"/>
    </row>
    <row r="1665" spans="1:1" ht="16.5" customHeight="1">
      <c r="A1665" s="458"/>
    </row>
    <row r="1666" spans="1:1" ht="16.5" customHeight="1">
      <c r="A1666" s="458"/>
    </row>
    <row r="1667" spans="1:1" ht="16.5" customHeight="1">
      <c r="A1667" s="458"/>
    </row>
    <row r="1668" spans="1:1" ht="16.5" customHeight="1">
      <c r="A1668" s="458"/>
    </row>
    <row r="1669" spans="1:1" ht="16.5" customHeight="1">
      <c r="A1669" s="458"/>
    </row>
    <row r="1670" spans="1:1" ht="16.5" customHeight="1">
      <c r="A1670" s="458"/>
    </row>
    <row r="1671" spans="1:1" ht="16.5" customHeight="1">
      <c r="A1671" s="458"/>
    </row>
    <row r="1672" spans="1:1" ht="16.5" customHeight="1">
      <c r="A1672" s="458"/>
    </row>
    <row r="1673" spans="1:1" ht="16.5" customHeight="1">
      <c r="A1673" s="458"/>
    </row>
    <row r="1674" spans="1:1" ht="16.5" customHeight="1">
      <c r="A1674" s="458"/>
    </row>
    <row r="1675" spans="1:1" ht="16.5" customHeight="1">
      <c r="A1675" s="458"/>
    </row>
    <row r="1676" spans="1:1" ht="16.5" customHeight="1">
      <c r="A1676" s="458"/>
    </row>
    <row r="1677" spans="1:1" ht="16.5" customHeight="1">
      <c r="A1677" s="458"/>
    </row>
    <row r="1678" spans="1:1" ht="16.5" customHeight="1">
      <c r="A1678" s="458"/>
    </row>
    <row r="1679" spans="1:1" ht="16.5" customHeight="1">
      <c r="A1679" s="458"/>
    </row>
    <row r="1680" spans="1:1" ht="16.5" customHeight="1">
      <c r="A1680" s="458"/>
    </row>
    <row r="1681" spans="1:1" ht="16.5" customHeight="1">
      <c r="A1681" s="458"/>
    </row>
    <row r="1682" spans="1:1" ht="16.5" customHeight="1">
      <c r="A1682" s="458"/>
    </row>
    <row r="1683" spans="1:1" ht="16.5" customHeight="1">
      <c r="A1683" s="458"/>
    </row>
    <row r="1684" spans="1:1" ht="16.5" customHeight="1">
      <c r="A1684" s="458"/>
    </row>
    <row r="1685" spans="1:1" ht="16.5" customHeight="1">
      <c r="A1685" s="458"/>
    </row>
    <row r="1686" spans="1:1" ht="16.5" customHeight="1">
      <c r="A1686" s="458"/>
    </row>
    <row r="1687" spans="1:1" ht="16.5" customHeight="1">
      <c r="A1687" s="458"/>
    </row>
    <row r="1688" spans="1:1" ht="16.5" customHeight="1">
      <c r="A1688" s="458"/>
    </row>
    <row r="1689" spans="1:1" ht="16.5" customHeight="1">
      <c r="A1689" s="458"/>
    </row>
    <row r="1690" spans="1:1" ht="16.5" customHeight="1">
      <c r="A1690" s="458"/>
    </row>
    <row r="1691" spans="1:1" ht="16.5" customHeight="1">
      <c r="A1691" s="458"/>
    </row>
    <row r="1692" spans="1:1" ht="16.5" customHeight="1">
      <c r="A1692" s="458"/>
    </row>
    <row r="1693" spans="1:1" ht="16.5" customHeight="1">
      <c r="A1693" s="458"/>
    </row>
    <row r="1694" spans="1:1" ht="16.5" customHeight="1">
      <c r="A1694" s="458"/>
    </row>
    <row r="1695" spans="1:1" ht="16.5" customHeight="1">
      <c r="A1695" s="458"/>
    </row>
    <row r="1696" spans="1:1" ht="16.5" customHeight="1">
      <c r="A1696" s="458"/>
    </row>
    <row r="1697" spans="1:1" ht="16.5" customHeight="1">
      <c r="A1697" s="458"/>
    </row>
    <row r="1698" spans="1:1" ht="16.5" customHeight="1">
      <c r="A1698" s="458"/>
    </row>
    <row r="1699" spans="1:1" ht="16.5" customHeight="1">
      <c r="A1699" s="458"/>
    </row>
    <row r="1700" spans="1:1" ht="16.5" customHeight="1">
      <c r="A1700" s="458"/>
    </row>
    <row r="1701" spans="1:1" ht="16.5" customHeight="1">
      <c r="A1701" s="458"/>
    </row>
    <row r="1702" spans="1:1" ht="16.5" customHeight="1">
      <c r="A1702" s="458"/>
    </row>
    <row r="1703" spans="1:1" ht="16.5" customHeight="1">
      <c r="A1703" s="458"/>
    </row>
    <row r="1704" spans="1:1" ht="16.5" customHeight="1">
      <c r="A1704" s="458"/>
    </row>
    <row r="1705" spans="1:1" ht="16.5" customHeight="1">
      <c r="A1705" s="458"/>
    </row>
    <row r="1706" spans="1:1" ht="16.5" customHeight="1">
      <c r="A1706" s="458"/>
    </row>
    <row r="1707" spans="1:1" ht="16.5" customHeight="1">
      <c r="A1707" s="458"/>
    </row>
    <row r="1708" spans="1:1" ht="16.5" customHeight="1">
      <c r="A1708" s="458"/>
    </row>
    <row r="1709" spans="1:1" ht="16.5" customHeight="1">
      <c r="A1709" s="458"/>
    </row>
    <row r="1710" spans="1:1" ht="16.5" customHeight="1">
      <c r="A1710" s="458"/>
    </row>
    <row r="1711" spans="1:1" ht="16.5" customHeight="1">
      <c r="A1711" s="458"/>
    </row>
    <row r="1712" spans="1:1" ht="16.5" customHeight="1">
      <c r="A1712" s="458"/>
    </row>
    <row r="1713" spans="1:1" ht="16.5" customHeight="1">
      <c r="A1713" s="458"/>
    </row>
    <row r="1714" spans="1:1" ht="16.5" customHeight="1">
      <c r="A1714" s="458"/>
    </row>
    <row r="1715" spans="1:1" ht="16.5" customHeight="1">
      <c r="A1715" s="458"/>
    </row>
    <row r="1716" spans="1:1" ht="16.5" customHeight="1">
      <c r="A1716" s="458"/>
    </row>
    <row r="1717" spans="1:1" ht="16.5" customHeight="1">
      <c r="A1717" s="458"/>
    </row>
    <row r="1718" spans="1:1" ht="16.5" customHeight="1">
      <c r="A1718" s="458"/>
    </row>
    <row r="1719" spans="1:1" ht="16.5" customHeight="1">
      <c r="A1719" s="458"/>
    </row>
    <row r="1720" spans="1:1" ht="16.5" customHeight="1">
      <c r="A1720" s="458"/>
    </row>
    <row r="1721" spans="1:1" ht="16.5" customHeight="1">
      <c r="A1721" s="458"/>
    </row>
    <row r="1722" spans="1:1" ht="16.5" customHeight="1">
      <c r="A1722" s="458"/>
    </row>
    <row r="1723" spans="1:1" ht="16.5" customHeight="1">
      <c r="A1723" s="458"/>
    </row>
    <row r="1724" spans="1:1" ht="16.5" customHeight="1">
      <c r="A1724" s="458"/>
    </row>
    <row r="1725" spans="1:1" ht="16.5" customHeight="1">
      <c r="A1725" s="458"/>
    </row>
    <row r="1726" spans="1:1" ht="16.5" customHeight="1">
      <c r="A1726" s="458"/>
    </row>
    <row r="1727" spans="1:1" ht="16.5" customHeight="1">
      <c r="A1727" s="458"/>
    </row>
    <row r="1728" spans="1:1" ht="16.5" customHeight="1">
      <c r="A1728" s="458"/>
    </row>
    <row r="1729" spans="1:1" ht="16.5" customHeight="1">
      <c r="A1729" s="458"/>
    </row>
    <row r="1730" spans="1:1" ht="16.5" customHeight="1">
      <c r="A1730" s="458"/>
    </row>
    <row r="1731" spans="1:1" ht="16.5" customHeight="1">
      <c r="A1731" s="458"/>
    </row>
    <row r="1732" spans="1:1" ht="16.5" customHeight="1">
      <c r="A1732" s="458"/>
    </row>
    <row r="1733" spans="1:1" ht="16.5" customHeight="1">
      <c r="A1733" s="458"/>
    </row>
    <row r="1734" spans="1:1" ht="16.5" customHeight="1">
      <c r="A1734" s="458"/>
    </row>
    <row r="1735" spans="1:1" ht="16.5" customHeight="1">
      <c r="A1735" s="458"/>
    </row>
    <row r="1736" spans="1:1" ht="16.5" customHeight="1">
      <c r="A1736" s="458"/>
    </row>
    <row r="1737" spans="1:1" ht="16.5" customHeight="1">
      <c r="A1737" s="458"/>
    </row>
    <row r="1738" spans="1:1" ht="16.5" customHeight="1">
      <c r="A1738" s="458"/>
    </row>
    <row r="1739" spans="1:1" ht="16.5" customHeight="1">
      <c r="A1739" s="458"/>
    </row>
    <row r="1740" spans="1:1" ht="16.5" customHeight="1">
      <c r="A1740" s="458"/>
    </row>
    <row r="1741" spans="1:1" ht="16.5" customHeight="1">
      <c r="A1741" s="458"/>
    </row>
    <row r="1742" spans="1:1" ht="16.5" customHeight="1">
      <c r="A1742" s="458"/>
    </row>
    <row r="1743" spans="1:1" ht="16.5" customHeight="1">
      <c r="A1743" s="458"/>
    </row>
    <row r="1744" spans="1:1" ht="16.5" customHeight="1">
      <c r="A1744" s="458"/>
    </row>
    <row r="1745" spans="1:1" ht="16.5" customHeight="1">
      <c r="A1745" s="458"/>
    </row>
    <row r="1746" spans="1:1" ht="16.5" customHeight="1">
      <c r="A1746" s="458"/>
    </row>
    <row r="1747" spans="1:1" ht="16.5" customHeight="1">
      <c r="A1747" s="458"/>
    </row>
    <row r="1748" spans="1:1" ht="16.5" customHeight="1">
      <c r="A1748" s="458"/>
    </row>
    <row r="1749" spans="1:1" ht="16.5" customHeight="1">
      <c r="A1749" s="458"/>
    </row>
    <row r="1750" spans="1:1" ht="16.5" customHeight="1">
      <c r="A1750" s="458"/>
    </row>
    <row r="1751" spans="1:1" ht="16.5" customHeight="1">
      <c r="A1751" s="458"/>
    </row>
    <row r="1752" spans="1:1" ht="16.5" customHeight="1">
      <c r="A1752" s="458"/>
    </row>
    <row r="1753" spans="1:1" ht="16.5" customHeight="1">
      <c r="A1753" s="458"/>
    </row>
    <row r="1754" spans="1:1" ht="16.5" customHeight="1">
      <c r="A1754" s="458"/>
    </row>
    <row r="1755" spans="1:1" ht="16.5" customHeight="1">
      <c r="A1755" s="458"/>
    </row>
    <row r="1756" spans="1:1" ht="16.5" customHeight="1">
      <c r="A1756" s="458"/>
    </row>
    <row r="1757" spans="1:1" ht="16.5" customHeight="1">
      <c r="A1757" s="458"/>
    </row>
    <row r="1758" spans="1:1" ht="16.5" customHeight="1">
      <c r="A1758" s="458"/>
    </row>
    <row r="1759" spans="1:1" ht="16.5" customHeight="1">
      <c r="A1759" s="458"/>
    </row>
    <row r="1760" spans="1:1" ht="16.5" customHeight="1">
      <c r="A1760" s="458"/>
    </row>
    <row r="1761" spans="1:1" ht="16.5" customHeight="1">
      <c r="A1761" s="458"/>
    </row>
    <row r="1762" spans="1:1" ht="16.5" customHeight="1">
      <c r="A1762" s="458"/>
    </row>
    <row r="1763" spans="1:1" ht="16.5" customHeight="1">
      <c r="A1763" s="458"/>
    </row>
    <row r="1764" spans="1:1" ht="16.5" customHeight="1">
      <c r="A1764" s="458"/>
    </row>
    <row r="1765" spans="1:1" ht="16.5" customHeight="1">
      <c r="A1765" s="458"/>
    </row>
    <row r="1766" spans="1:1" ht="16.5" customHeight="1">
      <c r="A1766" s="458"/>
    </row>
    <row r="1767" spans="1:1" ht="16.5" customHeight="1">
      <c r="A1767" s="458"/>
    </row>
    <row r="1768" spans="1:1" ht="16.5" customHeight="1">
      <c r="A1768" s="458"/>
    </row>
    <row r="1769" spans="1:1" ht="16.5" customHeight="1">
      <c r="A1769" s="458"/>
    </row>
    <row r="1770" spans="1:1" ht="16.5" customHeight="1">
      <c r="A1770" s="458"/>
    </row>
    <row r="1771" spans="1:1" ht="16.5" customHeight="1">
      <c r="A1771" s="458"/>
    </row>
    <row r="1772" spans="1:1" ht="16.5" customHeight="1">
      <c r="A1772" s="458"/>
    </row>
    <row r="1773" spans="1:1" ht="16.5" customHeight="1">
      <c r="A1773" s="458"/>
    </row>
    <row r="1774" spans="1:1" ht="16.5" customHeight="1">
      <c r="A1774" s="458"/>
    </row>
    <row r="1775" spans="1:1" ht="16.5" customHeight="1">
      <c r="A1775" s="458"/>
    </row>
    <row r="1776" spans="1:1" ht="16.5" customHeight="1">
      <c r="A1776" s="458"/>
    </row>
    <row r="1777" spans="1:1" ht="16.5" customHeight="1">
      <c r="A1777" s="458"/>
    </row>
    <row r="1778" spans="1:1" ht="16.5" customHeight="1">
      <c r="A1778" s="458"/>
    </row>
    <row r="1779" spans="1:1" ht="16.5" customHeight="1">
      <c r="A1779" s="458"/>
    </row>
    <row r="1780" spans="1:1" ht="16.5" customHeight="1">
      <c r="A1780" s="458"/>
    </row>
    <row r="1781" spans="1:1" ht="16.5" customHeight="1">
      <c r="A1781" s="458"/>
    </row>
    <row r="1782" spans="1:1" ht="16.5" customHeight="1">
      <c r="A1782" s="458"/>
    </row>
    <row r="1783" spans="1:1" ht="16.5" customHeight="1">
      <c r="A1783" s="458"/>
    </row>
    <row r="1784" spans="1:1" ht="16.5" customHeight="1">
      <c r="A1784" s="458"/>
    </row>
    <row r="1785" spans="1:1" ht="16.5" customHeight="1">
      <c r="A1785" s="458"/>
    </row>
    <row r="1786" spans="1:1" ht="16.5" customHeight="1">
      <c r="A1786" s="458"/>
    </row>
    <row r="1787" spans="1:1" ht="16.5" customHeight="1">
      <c r="A1787" s="458"/>
    </row>
    <row r="1788" spans="1:1" ht="16.5" customHeight="1">
      <c r="A1788" s="458"/>
    </row>
    <row r="1789" spans="1:1" ht="16.5" customHeight="1">
      <c r="A1789" s="458"/>
    </row>
    <row r="1790" spans="1:1" ht="16.5" customHeight="1">
      <c r="A1790" s="458"/>
    </row>
    <row r="1791" spans="1:1" ht="16.5" customHeight="1">
      <c r="A1791" s="458"/>
    </row>
    <row r="1792" spans="1:1" ht="16.5" customHeight="1">
      <c r="A1792" s="458"/>
    </row>
    <row r="1793" spans="1:1" ht="16.5" customHeight="1">
      <c r="A1793" s="458"/>
    </row>
    <row r="1794" spans="1:1" ht="16.5" customHeight="1">
      <c r="A1794" s="458"/>
    </row>
    <row r="1795" spans="1:1" ht="16.5" customHeight="1">
      <c r="A1795" s="458"/>
    </row>
    <row r="1796" spans="1:1" ht="16.5" customHeight="1">
      <c r="A1796" s="458"/>
    </row>
    <row r="1797" spans="1:1" ht="16.5" customHeight="1">
      <c r="A1797" s="458"/>
    </row>
    <row r="1798" spans="1:1" ht="16.5" customHeight="1">
      <c r="A1798" s="458"/>
    </row>
    <row r="1799" spans="1:1" ht="16.5" customHeight="1">
      <c r="A1799" s="458"/>
    </row>
    <row r="1800" spans="1:1" ht="16.5" customHeight="1">
      <c r="A1800" s="458"/>
    </row>
    <row r="1801" spans="1:1" ht="16.5" customHeight="1">
      <c r="A1801" s="458"/>
    </row>
    <row r="1802" spans="1:1" ht="16.5" customHeight="1">
      <c r="A1802" s="458"/>
    </row>
    <row r="1803" spans="1:1" ht="16.5" customHeight="1">
      <c r="A1803" s="458"/>
    </row>
    <row r="1804" spans="1:1" ht="16.5" customHeight="1">
      <c r="A1804" s="458"/>
    </row>
    <row r="1805" spans="1:1" ht="16.5" customHeight="1">
      <c r="A1805" s="458"/>
    </row>
    <row r="1806" spans="1:1" ht="16.5" customHeight="1">
      <c r="A1806" s="458"/>
    </row>
    <row r="1807" spans="1:1" ht="16.5" customHeight="1">
      <c r="A1807" s="458"/>
    </row>
    <row r="1808" spans="1:1" ht="16.5" customHeight="1">
      <c r="A1808" s="458"/>
    </row>
    <row r="1809" spans="1:1" ht="16.5" customHeight="1">
      <c r="A1809" s="458"/>
    </row>
    <row r="1810" spans="1:1" ht="16.5" customHeight="1">
      <c r="A1810" s="458"/>
    </row>
    <row r="1811" spans="1:1" ht="16.5" customHeight="1">
      <c r="A1811" s="458"/>
    </row>
    <row r="1812" spans="1:1" ht="16.5" customHeight="1">
      <c r="A1812" s="458"/>
    </row>
    <row r="1813" spans="1:1" ht="16.5" customHeight="1">
      <c r="A1813" s="458"/>
    </row>
    <row r="1814" spans="1:1" ht="16.5" customHeight="1">
      <c r="A1814" s="458"/>
    </row>
    <row r="1815" spans="1:1" ht="16.5" customHeight="1">
      <c r="A1815" s="458"/>
    </row>
    <row r="1816" spans="1:1" ht="16.5" customHeight="1">
      <c r="A1816" s="458"/>
    </row>
    <row r="1817" spans="1:1" ht="16.5" customHeight="1">
      <c r="A1817" s="458"/>
    </row>
    <row r="1818" spans="1:1" ht="16.5" customHeight="1">
      <c r="A1818" s="458"/>
    </row>
    <row r="1819" spans="1:1" ht="16.5" customHeight="1">
      <c r="A1819" s="458"/>
    </row>
    <row r="1820" spans="1:1" ht="16.5" customHeight="1">
      <c r="A1820" s="458"/>
    </row>
    <row r="1821" spans="1:1" ht="16.5" customHeight="1">
      <c r="A1821" s="458"/>
    </row>
    <row r="1822" spans="1:1" ht="16.5" customHeight="1">
      <c r="A1822" s="458"/>
    </row>
    <row r="1823" spans="1:1" ht="16.5" customHeight="1">
      <c r="A1823" s="458"/>
    </row>
    <row r="1824" spans="1:1" ht="16.5" customHeight="1">
      <c r="A1824" s="458"/>
    </row>
    <row r="1825" spans="1:1" ht="16.5" customHeight="1">
      <c r="A1825" s="458"/>
    </row>
    <row r="1826" spans="1:1" ht="16.5" customHeight="1">
      <c r="A1826" s="458"/>
    </row>
    <row r="1827" spans="1:1" ht="16.5" customHeight="1">
      <c r="A1827" s="458"/>
    </row>
    <row r="1828" spans="1:1" ht="16.5" customHeight="1">
      <c r="A1828" s="458"/>
    </row>
    <row r="1829" spans="1:1" ht="16.5" customHeight="1">
      <c r="A1829" s="458"/>
    </row>
    <row r="1830" spans="1:1" ht="16.5" customHeight="1">
      <c r="A1830" s="458"/>
    </row>
    <row r="1831" spans="1:1" ht="16.5" customHeight="1">
      <c r="A1831" s="458"/>
    </row>
    <row r="1832" spans="1:1" ht="16.5" customHeight="1">
      <c r="A1832" s="458"/>
    </row>
    <row r="1833" spans="1:1" ht="16.5" customHeight="1">
      <c r="A1833" s="458"/>
    </row>
    <row r="1834" spans="1:1" ht="16.5" customHeight="1">
      <c r="A1834" s="458"/>
    </row>
    <row r="1835" spans="1:1" ht="16.5" customHeight="1">
      <c r="A1835" s="458"/>
    </row>
    <row r="1836" spans="1:1" ht="16.5" customHeight="1">
      <c r="A1836" s="458"/>
    </row>
    <row r="1837" spans="1:1" ht="16.5" customHeight="1">
      <c r="A1837" s="458"/>
    </row>
    <row r="1838" spans="1:1" ht="16.5" customHeight="1">
      <c r="A1838" s="458"/>
    </row>
    <row r="1839" spans="1:1" ht="16.5" customHeight="1">
      <c r="A1839" s="458"/>
    </row>
    <row r="1840" spans="1:1" ht="16.5" customHeight="1">
      <c r="A1840" s="458"/>
    </row>
    <row r="1841" spans="1:1" ht="16.5" customHeight="1">
      <c r="A1841" s="458"/>
    </row>
    <row r="1842" spans="1:1" ht="16.5" customHeight="1">
      <c r="A1842" s="458"/>
    </row>
    <row r="1843" spans="1:1" ht="16.5" customHeight="1">
      <c r="A1843" s="458"/>
    </row>
    <row r="1844" spans="1:1" ht="16.5" customHeight="1">
      <c r="A1844" s="458"/>
    </row>
    <row r="1845" spans="1:1" ht="16.5" customHeight="1">
      <c r="A1845" s="458"/>
    </row>
    <row r="1846" spans="1:1" ht="16.5" customHeight="1">
      <c r="A1846" s="458"/>
    </row>
    <row r="1847" spans="1:1" ht="16.5" customHeight="1">
      <c r="A1847" s="458"/>
    </row>
    <row r="1848" spans="1:1" ht="16.5" customHeight="1">
      <c r="A1848" s="458"/>
    </row>
    <row r="1849" spans="1:1" ht="16.5" customHeight="1">
      <c r="A1849" s="458"/>
    </row>
    <row r="1850" spans="1:1" ht="16.5" customHeight="1">
      <c r="A1850" s="458"/>
    </row>
    <row r="1851" spans="1:1" ht="16.5" customHeight="1">
      <c r="A1851" s="458"/>
    </row>
    <row r="1852" spans="1:1" ht="16.5" customHeight="1">
      <c r="A1852" s="458"/>
    </row>
    <row r="1853" spans="1:1" ht="16.5" customHeight="1">
      <c r="A1853" s="458"/>
    </row>
    <row r="1854" spans="1:1" ht="16.5" customHeight="1">
      <c r="A1854" s="458"/>
    </row>
    <row r="1855" spans="1:1" ht="16.5" customHeight="1">
      <c r="A1855" s="458"/>
    </row>
    <row r="1856" spans="1:1" ht="16.5" customHeight="1">
      <c r="A1856" s="458"/>
    </row>
    <row r="1857" spans="1:1" ht="16.5" customHeight="1">
      <c r="A1857" s="458"/>
    </row>
    <row r="1858" spans="1:1" ht="16.5" customHeight="1">
      <c r="A1858" s="458"/>
    </row>
    <row r="1859" spans="1:1" ht="16.5" customHeight="1">
      <c r="A1859" s="458"/>
    </row>
    <row r="1860" spans="1:1" ht="16.5" customHeight="1">
      <c r="A1860" s="458"/>
    </row>
    <row r="1861" spans="1:1" ht="16.5" customHeight="1">
      <c r="A1861" s="458"/>
    </row>
    <row r="1862" spans="1:1" ht="16.5" customHeight="1">
      <c r="A1862" s="458"/>
    </row>
    <row r="1863" spans="1:1" ht="16.5" customHeight="1">
      <c r="A1863" s="458"/>
    </row>
    <row r="1864" spans="1:1" ht="16.5" customHeight="1">
      <c r="A1864" s="458"/>
    </row>
    <row r="1865" spans="1:1" ht="16.5" customHeight="1">
      <c r="A1865" s="458"/>
    </row>
    <row r="1866" spans="1:1" ht="16.5" customHeight="1">
      <c r="A1866" s="458"/>
    </row>
    <row r="1867" spans="1:1" ht="16.5" customHeight="1">
      <c r="A1867" s="458"/>
    </row>
    <row r="1868" spans="1:1" ht="16.5" customHeight="1">
      <c r="A1868" s="458"/>
    </row>
    <row r="1869" spans="1:1" ht="16.5" customHeight="1">
      <c r="A1869" s="458"/>
    </row>
    <row r="1870" spans="1:1" ht="16.5" customHeight="1">
      <c r="A1870" s="458"/>
    </row>
    <row r="1871" spans="1:1" ht="16.5" customHeight="1">
      <c r="A1871" s="458"/>
    </row>
    <row r="1872" spans="1:1" ht="16.5" customHeight="1">
      <c r="A1872" s="458"/>
    </row>
    <row r="1873" spans="1:1" ht="16.5" customHeight="1">
      <c r="A1873" s="458"/>
    </row>
    <row r="1874" spans="1:1" ht="16.5" customHeight="1">
      <c r="A1874" s="458"/>
    </row>
    <row r="1875" spans="1:1" ht="16.5" customHeight="1">
      <c r="A1875" s="458"/>
    </row>
    <row r="1876" spans="1:1" ht="16.5" customHeight="1">
      <c r="A1876" s="458"/>
    </row>
    <row r="1877" spans="1:1" ht="16.5" customHeight="1">
      <c r="A1877" s="458"/>
    </row>
    <row r="1878" spans="1:1" ht="16.5" customHeight="1">
      <c r="A1878" s="458"/>
    </row>
    <row r="1879" spans="1:1" ht="16.5" customHeight="1">
      <c r="A1879" s="458"/>
    </row>
    <row r="1880" spans="1:1" ht="16.5" customHeight="1">
      <c r="A1880" s="458"/>
    </row>
    <row r="1881" spans="1:1" ht="16.5" customHeight="1">
      <c r="A1881" s="458"/>
    </row>
    <row r="1882" spans="1:1" ht="16.5" customHeight="1">
      <c r="A1882" s="458"/>
    </row>
    <row r="1883" spans="1:1" ht="16.5" customHeight="1">
      <c r="A1883" s="458"/>
    </row>
    <row r="1884" spans="1:1" ht="16.5" customHeight="1">
      <c r="A1884" s="458"/>
    </row>
    <row r="1885" spans="1:1" ht="16.5" customHeight="1">
      <c r="A1885" s="458"/>
    </row>
    <row r="1886" spans="1:1" ht="16.5" customHeight="1">
      <c r="A1886" s="458"/>
    </row>
    <row r="1887" spans="1:1" ht="16.5" customHeight="1">
      <c r="A1887" s="458"/>
    </row>
    <row r="1888" spans="1:1" ht="16.5" customHeight="1">
      <c r="A1888" s="458"/>
    </row>
    <row r="1889" spans="1:1" ht="16.5" customHeight="1">
      <c r="A1889" s="458"/>
    </row>
    <row r="1890" spans="1:1" ht="16.5" customHeight="1">
      <c r="A1890" s="458"/>
    </row>
    <row r="1891" spans="1:1" ht="16.5" customHeight="1">
      <c r="A1891" s="458"/>
    </row>
    <row r="1892" spans="1:1" ht="16.5" customHeight="1">
      <c r="A1892" s="458"/>
    </row>
    <row r="1893" spans="1:1" ht="16.5" customHeight="1">
      <c r="A1893" s="458"/>
    </row>
    <row r="1894" spans="1:1" ht="16.5" customHeight="1">
      <c r="A1894" s="458"/>
    </row>
    <row r="1895" spans="1:1" ht="16.5" customHeight="1">
      <c r="A1895" s="458"/>
    </row>
    <row r="1896" spans="1:1" ht="16.5" customHeight="1">
      <c r="A1896" s="458"/>
    </row>
    <row r="1897" spans="1:1" ht="16.5" customHeight="1">
      <c r="A1897" s="458"/>
    </row>
    <row r="1898" spans="1:1" ht="16.5" customHeight="1">
      <c r="A1898" s="458"/>
    </row>
    <row r="1899" spans="1:1" ht="16.5" customHeight="1">
      <c r="A1899" s="458"/>
    </row>
    <row r="1900" spans="1:1" ht="16.5" customHeight="1">
      <c r="A1900" s="458"/>
    </row>
    <row r="1901" spans="1:1" ht="16.5" customHeight="1">
      <c r="A1901" s="458"/>
    </row>
    <row r="1902" spans="1:1" ht="16.5" customHeight="1">
      <c r="A1902" s="458"/>
    </row>
    <row r="1903" spans="1:1" ht="16.5" customHeight="1">
      <c r="A1903" s="458"/>
    </row>
    <row r="1904" spans="1:1" ht="16.5" customHeight="1">
      <c r="A1904" s="458"/>
    </row>
    <row r="1905" spans="1:1" ht="16.5" customHeight="1">
      <c r="A1905" s="458"/>
    </row>
    <row r="1906" spans="1:1" ht="16.5" customHeight="1">
      <c r="A1906" s="458"/>
    </row>
    <row r="1907" spans="1:1" ht="16.5" customHeight="1">
      <c r="A1907" s="458"/>
    </row>
    <row r="1908" spans="1:1" ht="16.5" customHeight="1">
      <c r="A1908" s="458"/>
    </row>
    <row r="1909" spans="1:1" ht="16.5" customHeight="1">
      <c r="A1909" s="458"/>
    </row>
    <row r="1910" spans="1:1" ht="16.5" customHeight="1">
      <c r="A1910" s="458"/>
    </row>
    <row r="1911" spans="1:1" ht="16.5" customHeight="1">
      <c r="A1911" s="458"/>
    </row>
    <row r="1912" spans="1:1" ht="16.5" customHeight="1">
      <c r="A1912" s="458"/>
    </row>
    <row r="1913" spans="1:1" ht="16.5" customHeight="1">
      <c r="A1913" s="458"/>
    </row>
    <row r="1914" spans="1:1" ht="16.5" customHeight="1">
      <c r="A1914" s="458"/>
    </row>
    <row r="1915" spans="1:1" ht="16.5" customHeight="1">
      <c r="A1915" s="458"/>
    </row>
    <row r="1916" spans="1:1" ht="16.5" customHeight="1">
      <c r="A1916" s="458"/>
    </row>
    <row r="1917" spans="1:1" ht="16.5" customHeight="1">
      <c r="A1917" s="458"/>
    </row>
    <row r="1918" spans="1:1" ht="16.5" customHeight="1">
      <c r="A1918" s="458"/>
    </row>
    <row r="1919" spans="1:1" ht="16.5" customHeight="1">
      <c r="A1919" s="458"/>
    </row>
    <row r="1920" spans="1:1" ht="16.5" customHeight="1">
      <c r="A1920" s="458"/>
    </row>
    <row r="1921" spans="1:1" ht="16.5" customHeight="1">
      <c r="A1921" s="458"/>
    </row>
    <row r="1922" spans="1:1" ht="16.5" customHeight="1">
      <c r="A1922" s="458"/>
    </row>
    <row r="1923" spans="1:1" ht="16.5" customHeight="1">
      <c r="A1923" s="458"/>
    </row>
    <row r="1924" spans="1:1" ht="16.5" customHeight="1">
      <c r="A1924" s="458"/>
    </row>
    <row r="1925" spans="1:1" ht="16.5" customHeight="1">
      <c r="A1925" s="458"/>
    </row>
    <row r="1926" spans="1:1" ht="16.5" customHeight="1">
      <c r="A1926" s="458"/>
    </row>
    <row r="1927" spans="1:1" ht="16.5" customHeight="1">
      <c r="A1927" s="458"/>
    </row>
    <row r="1928" spans="1:1" ht="16.5" customHeight="1">
      <c r="A1928" s="458"/>
    </row>
    <row r="1929" spans="1:1" ht="16.5" customHeight="1">
      <c r="A1929" s="458"/>
    </row>
    <row r="1930" spans="1:1" ht="16.5" customHeight="1">
      <c r="A1930" s="458"/>
    </row>
    <row r="1931" spans="1:1" ht="16.5" customHeight="1">
      <c r="A1931" s="458"/>
    </row>
    <row r="1932" spans="1:1" ht="16.5" customHeight="1">
      <c r="A1932" s="458"/>
    </row>
    <row r="1933" spans="1:1" ht="16.5" customHeight="1">
      <c r="A1933" s="458"/>
    </row>
    <row r="1934" spans="1:1" ht="16.5" customHeight="1">
      <c r="A1934" s="458"/>
    </row>
    <row r="1935" spans="1:1" ht="16.5" customHeight="1">
      <c r="A1935" s="458"/>
    </row>
    <row r="1936" spans="1:1" ht="16.5" customHeight="1">
      <c r="A1936" s="458"/>
    </row>
    <row r="1937" spans="1:1" ht="16.5" customHeight="1">
      <c r="A1937" s="458"/>
    </row>
    <row r="1938" spans="1:1" ht="16.5" customHeight="1">
      <c r="A1938" s="458"/>
    </row>
    <row r="1939" spans="1:1" ht="16.5" customHeight="1">
      <c r="A1939" s="458"/>
    </row>
    <row r="1940" spans="1:1" ht="16.5" customHeight="1">
      <c r="A1940" s="458"/>
    </row>
    <row r="1941" spans="1:1" ht="16.5" customHeight="1">
      <c r="A1941" s="458"/>
    </row>
    <row r="1942" spans="1:1" ht="16.5" customHeight="1">
      <c r="A1942" s="458"/>
    </row>
    <row r="1943" spans="1:1" ht="16.5" customHeight="1">
      <c r="A1943" s="458"/>
    </row>
    <row r="1944" spans="1:1" ht="16.5" customHeight="1">
      <c r="A1944" s="458"/>
    </row>
    <row r="1945" spans="1:1" ht="16.5" customHeight="1">
      <c r="A1945" s="458"/>
    </row>
    <row r="1946" spans="1:1" ht="16.5" customHeight="1">
      <c r="A1946" s="458"/>
    </row>
    <row r="1947" spans="1:1" ht="16.5" customHeight="1">
      <c r="A1947" s="458"/>
    </row>
    <row r="1948" spans="1:1" ht="16.5" customHeight="1">
      <c r="A1948" s="458"/>
    </row>
    <row r="1949" spans="1:1" ht="16.5" customHeight="1">
      <c r="A1949" s="458"/>
    </row>
    <row r="1950" spans="1:1" ht="16.5" customHeight="1">
      <c r="A1950" s="458"/>
    </row>
    <row r="1951" spans="1:1" ht="16.5" customHeight="1">
      <c r="A1951" s="458"/>
    </row>
    <row r="1952" spans="1:1" ht="16.5" customHeight="1">
      <c r="A1952" s="458"/>
    </row>
    <row r="1953" spans="1:1" ht="16.5" customHeight="1">
      <c r="A1953" s="458"/>
    </row>
    <row r="1954" spans="1:1" ht="16.5" customHeight="1">
      <c r="A1954" s="458"/>
    </row>
    <row r="1955" spans="1:1" ht="16.5" customHeight="1">
      <c r="A1955" s="458"/>
    </row>
    <row r="1956" spans="1:1" ht="16.5" customHeight="1">
      <c r="A1956" s="458"/>
    </row>
    <row r="1957" spans="1:1" ht="16.5" customHeight="1">
      <c r="A1957" s="458"/>
    </row>
    <row r="1958" spans="1:1" ht="16.5" customHeight="1">
      <c r="A1958" s="458"/>
    </row>
    <row r="1959" spans="1:1" ht="16.5" customHeight="1">
      <c r="A1959" s="458"/>
    </row>
    <row r="1960" spans="1:1" ht="16.5" customHeight="1">
      <c r="A1960" s="458"/>
    </row>
    <row r="1961" spans="1:1" ht="16.5" customHeight="1">
      <c r="A1961" s="458"/>
    </row>
    <row r="1962" spans="1:1" ht="16.5" customHeight="1">
      <c r="A1962" s="458"/>
    </row>
    <row r="1963" spans="1:1" ht="16.5" customHeight="1">
      <c r="A1963" s="458"/>
    </row>
    <row r="1964" spans="1:1" ht="16.5" customHeight="1">
      <c r="A1964" s="458"/>
    </row>
    <row r="1965" spans="1:1" ht="16.5" customHeight="1">
      <c r="A1965" s="458"/>
    </row>
    <row r="1966" spans="1:1" ht="16.5" customHeight="1">
      <c r="A1966" s="458"/>
    </row>
    <row r="1967" spans="1:1" ht="16.5" customHeight="1">
      <c r="A1967" s="458"/>
    </row>
    <row r="1968" spans="1:1" ht="16.5" customHeight="1">
      <c r="A1968" s="458"/>
    </row>
    <row r="1969" spans="1:1" ht="16.5" customHeight="1">
      <c r="A1969" s="458"/>
    </row>
    <row r="1970" spans="1:1" ht="16.5" customHeight="1">
      <c r="A1970" s="458"/>
    </row>
    <row r="1971" spans="1:1" ht="16.5" customHeight="1">
      <c r="A1971" s="458"/>
    </row>
    <row r="1972" spans="1:1" ht="16.5" customHeight="1">
      <c r="A1972" s="458"/>
    </row>
    <row r="1973" spans="1:1" ht="16.5" customHeight="1">
      <c r="A1973" s="458"/>
    </row>
    <row r="1974" spans="1:1" ht="16.5" customHeight="1">
      <c r="A1974" s="458"/>
    </row>
    <row r="1975" spans="1:1" ht="16.5" customHeight="1">
      <c r="A1975" s="458"/>
    </row>
    <row r="1976" spans="1:1" ht="16.5" customHeight="1">
      <c r="A1976" s="458"/>
    </row>
    <row r="1977" spans="1:1" ht="16.5" customHeight="1">
      <c r="A1977" s="458"/>
    </row>
    <row r="1978" spans="1:1" ht="16.5" customHeight="1">
      <c r="A1978" s="458"/>
    </row>
    <row r="1979" spans="1:1" ht="16.5" customHeight="1">
      <c r="A1979" s="458"/>
    </row>
    <row r="1980" spans="1:1" ht="16.5" customHeight="1">
      <c r="A1980" s="458"/>
    </row>
    <row r="1981" spans="1:1" ht="16.5" customHeight="1">
      <c r="A1981" s="458"/>
    </row>
    <row r="1982" spans="1:1" ht="16.5" customHeight="1">
      <c r="A1982" s="458"/>
    </row>
    <row r="1983" spans="1:1" ht="16.5" customHeight="1">
      <c r="A1983" s="458"/>
    </row>
    <row r="1984" spans="1:1" ht="16.5" customHeight="1">
      <c r="A1984" s="458"/>
    </row>
    <row r="1985" spans="1:1" ht="16.5" customHeight="1">
      <c r="A1985" s="458"/>
    </row>
    <row r="1986" spans="1:1" ht="16.5" customHeight="1">
      <c r="A1986" s="458"/>
    </row>
    <row r="1987" spans="1:1" ht="16.5" customHeight="1">
      <c r="A1987" s="458"/>
    </row>
    <row r="1988" spans="1:1" ht="16.5" customHeight="1">
      <c r="A1988" s="458"/>
    </row>
    <row r="1989" spans="1:1" ht="16.5" customHeight="1">
      <c r="A1989" s="458"/>
    </row>
    <row r="1990" spans="1:1" ht="16.5" customHeight="1">
      <c r="A1990" s="458"/>
    </row>
    <row r="1991" spans="1:1" ht="16.5" customHeight="1">
      <c r="A1991" s="458"/>
    </row>
    <row r="1992" spans="1:1" ht="16.5" customHeight="1">
      <c r="A1992" s="458"/>
    </row>
    <row r="1993" spans="1:1" ht="16.5" customHeight="1">
      <c r="A1993" s="458"/>
    </row>
    <row r="1994" spans="1:1" ht="16.5" customHeight="1">
      <c r="A1994" s="458"/>
    </row>
    <row r="1995" spans="1:1" ht="16.5" customHeight="1">
      <c r="A1995" s="458"/>
    </row>
    <row r="1996" spans="1:1" ht="16.5" customHeight="1">
      <c r="A1996" s="458"/>
    </row>
    <row r="1997" spans="1:1" ht="16.5" customHeight="1">
      <c r="A1997" s="458"/>
    </row>
    <row r="1998" spans="1:1" ht="16.5" customHeight="1">
      <c r="A1998" s="458"/>
    </row>
    <row r="1999" spans="1:1" ht="16.5" customHeight="1">
      <c r="A1999" s="458"/>
    </row>
    <row r="2000" spans="1:1" ht="16.5" customHeight="1">
      <c r="A2000" s="458"/>
    </row>
    <row r="2001" spans="1:1" ht="16.5" customHeight="1">
      <c r="A2001" s="458"/>
    </row>
    <row r="2002" spans="1:1" ht="16.5" customHeight="1">
      <c r="A2002" s="458"/>
    </row>
    <row r="2003" spans="1:1" ht="16.5" customHeight="1">
      <c r="A2003" s="458"/>
    </row>
    <row r="2004" spans="1:1" ht="16.5" customHeight="1">
      <c r="A2004" s="458"/>
    </row>
    <row r="2005" spans="1:1" ht="16.5" customHeight="1">
      <c r="A2005" s="458"/>
    </row>
    <row r="2006" spans="1:1" ht="16.5" customHeight="1">
      <c r="A2006" s="458"/>
    </row>
    <row r="2007" spans="1:1" ht="16.5" customHeight="1">
      <c r="A2007" s="458"/>
    </row>
    <row r="2008" spans="1:1" ht="16.5" customHeight="1">
      <c r="A2008" s="458"/>
    </row>
    <row r="2009" spans="1:1" ht="16.5" customHeight="1">
      <c r="A2009" s="458"/>
    </row>
    <row r="2010" spans="1:1" ht="16.5" customHeight="1">
      <c r="A2010" s="458"/>
    </row>
    <row r="2011" spans="1:1" ht="16.5" customHeight="1">
      <c r="A2011" s="458"/>
    </row>
    <row r="2012" spans="1:1" ht="16.5" customHeight="1">
      <c r="A2012" s="458"/>
    </row>
    <row r="2013" spans="1:1" ht="16.5" customHeight="1">
      <c r="A2013" s="458"/>
    </row>
    <row r="2014" spans="1:1" ht="16.5" customHeight="1">
      <c r="A2014" s="458"/>
    </row>
    <row r="2015" spans="1:1" ht="16.5" customHeight="1">
      <c r="A2015" s="458"/>
    </row>
    <row r="2016" spans="1:1" ht="16.5" customHeight="1">
      <c r="A2016" s="458"/>
    </row>
    <row r="2017" spans="1:1" ht="16.5" customHeight="1">
      <c r="A2017" s="458"/>
    </row>
    <row r="2018" spans="1:1" ht="16.5" customHeight="1">
      <c r="A2018" s="458"/>
    </row>
    <row r="2019" spans="1:1" ht="16.5" customHeight="1">
      <c r="A2019" s="458"/>
    </row>
    <row r="2020" spans="1:1" ht="16.5" customHeight="1">
      <c r="A2020" s="458"/>
    </row>
    <row r="2021" spans="1:1" ht="16.5" customHeight="1">
      <c r="A2021" s="458"/>
    </row>
    <row r="2022" spans="1:1" ht="16.5" customHeight="1">
      <c r="A2022" s="458"/>
    </row>
    <row r="2023" spans="1:1" ht="16.5" customHeight="1">
      <c r="A2023" s="458"/>
    </row>
    <row r="2024" spans="1:1" ht="16.5" customHeight="1">
      <c r="A2024" s="458"/>
    </row>
    <row r="2025" spans="1:1" ht="16.5" customHeight="1">
      <c r="A2025" s="458"/>
    </row>
    <row r="2026" spans="1:1" ht="16.5" customHeight="1">
      <c r="A2026" s="458"/>
    </row>
    <row r="2027" spans="1:1" ht="16.5" customHeight="1">
      <c r="A2027" s="458"/>
    </row>
    <row r="2028" spans="1:1" ht="16.5" customHeight="1">
      <c r="A2028" s="458"/>
    </row>
    <row r="2029" spans="1:1" ht="16.5" customHeight="1">
      <c r="A2029" s="458"/>
    </row>
    <row r="2030" spans="1:1" ht="16.5" customHeight="1">
      <c r="A2030" s="458"/>
    </row>
    <row r="2031" spans="1:1" ht="16.5" customHeight="1">
      <c r="A2031" s="458"/>
    </row>
    <row r="2032" spans="1:1" ht="16.5" customHeight="1">
      <c r="A2032" s="458"/>
    </row>
    <row r="2033" spans="1:1" ht="16.5" customHeight="1">
      <c r="A2033" s="458"/>
    </row>
    <row r="2034" spans="1:1" ht="16.5" customHeight="1">
      <c r="A2034" s="458"/>
    </row>
    <row r="2035" spans="1:1" ht="16.5" customHeight="1">
      <c r="A2035" s="458"/>
    </row>
    <row r="2036" spans="1:1" ht="16.5" customHeight="1">
      <c r="A2036" s="458"/>
    </row>
    <row r="2037" spans="1:1" ht="16.5" customHeight="1">
      <c r="A2037" s="458"/>
    </row>
    <row r="2038" spans="1:1" ht="16.5" customHeight="1">
      <c r="A2038" s="458"/>
    </row>
    <row r="2039" spans="1:1" ht="16.5" customHeight="1">
      <c r="A2039" s="458"/>
    </row>
    <row r="2040" spans="1:1" ht="16.5" customHeight="1">
      <c r="A2040" s="458"/>
    </row>
    <row r="2041" spans="1:1" ht="16.5" customHeight="1">
      <c r="A2041" s="458"/>
    </row>
    <row r="2042" spans="1:1" ht="16.5" customHeight="1">
      <c r="A2042" s="458"/>
    </row>
    <row r="2043" spans="1:1" ht="16.5" customHeight="1">
      <c r="A2043" s="458"/>
    </row>
    <row r="2044" spans="1:1" ht="16.5" customHeight="1">
      <c r="A2044" s="458"/>
    </row>
    <row r="2045" spans="1:1" ht="16.5" customHeight="1">
      <c r="A2045" s="458"/>
    </row>
    <row r="2046" spans="1:1" ht="16.5" customHeight="1">
      <c r="A2046" s="458"/>
    </row>
    <row r="2047" spans="1:1" ht="16.5" customHeight="1">
      <c r="A2047" s="458"/>
    </row>
    <row r="2048" spans="1:1" ht="16.5" customHeight="1">
      <c r="A2048" s="458"/>
    </row>
    <row r="2049" spans="1:1" ht="16.5" customHeight="1">
      <c r="A2049" s="458"/>
    </row>
    <row r="2050" spans="1:1" ht="16.5" customHeight="1">
      <c r="A2050" s="458"/>
    </row>
    <row r="2051" spans="1:1" ht="16.5" customHeight="1">
      <c r="A2051" s="458"/>
    </row>
    <row r="2052" spans="1:1" ht="16.5" customHeight="1">
      <c r="A2052" s="458"/>
    </row>
    <row r="2053" spans="1:1" ht="16.5" customHeight="1">
      <c r="A2053" s="458"/>
    </row>
    <row r="2054" spans="1:1" ht="16.5" customHeight="1">
      <c r="A2054" s="458"/>
    </row>
    <row r="2055" spans="1:1" ht="16.5" customHeight="1">
      <c r="A2055" s="458"/>
    </row>
    <row r="2056" spans="1:1" ht="16.5" customHeight="1">
      <c r="A2056" s="458"/>
    </row>
    <row r="2057" spans="1:1" ht="16.5" customHeight="1">
      <c r="A2057" s="458"/>
    </row>
    <row r="2058" spans="1:1" ht="16.5" customHeight="1">
      <c r="A2058" s="458"/>
    </row>
    <row r="2059" spans="1:1" ht="16.5" customHeight="1">
      <c r="A2059" s="458"/>
    </row>
    <row r="2060" spans="1:1" ht="16.5" customHeight="1">
      <c r="A2060" s="458"/>
    </row>
    <row r="2061" spans="1:1" ht="16.5" customHeight="1">
      <c r="A2061" s="458"/>
    </row>
    <row r="2062" spans="1:1" ht="16.5" customHeight="1">
      <c r="A2062" s="458"/>
    </row>
    <row r="2063" spans="1:1" ht="16.5" customHeight="1">
      <c r="A2063" s="458"/>
    </row>
    <row r="2064" spans="1:1" ht="16.5" customHeight="1">
      <c r="A2064" s="458"/>
    </row>
    <row r="2065" spans="1:1" ht="16.5" customHeight="1">
      <c r="A2065" s="458"/>
    </row>
    <row r="2066" spans="1:1" ht="16.5" customHeight="1">
      <c r="A2066" s="458"/>
    </row>
    <row r="2067" spans="1:1" ht="16.5" customHeight="1">
      <c r="A2067" s="458"/>
    </row>
    <row r="2068" spans="1:1" ht="16.5" customHeight="1">
      <c r="A2068" s="458"/>
    </row>
    <row r="2069" spans="1:1" ht="16.5" customHeight="1">
      <c r="A2069" s="458"/>
    </row>
    <row r="2070" spans="1:1" ht="16.5" customHeight="1">
      <c r="A2070" s="458"/>
    </row>
    <row r="2071" spans="1:1" ht="16.5" customHeight="1">
      <c r="A2071" s="458"/>
    </row>
    <row r="2072" spans="1:1" ht="16.5" customHeight="1">
      <c r="A2072" s="458"/>
    </row>
    <row r="2073" spans="1:1" ht="16.5" customHeight="1">
      <c r="A2073" s="458"/>
    </row>
    <row r="2074" spans="1:1" ht="16.5" customHeight="1">
      <c r="A2074" s="458"/>
    </row>
    <row r="2075" spans="1:1" ht="16.5" customHeight="1">
      <c r="A2075" s="458"/>
    </row>
    <row r="2076" spans="1:1" ht="16.5" customHeight="1">
      <c r="A2076" s="458"/>
    </row>
    <row r="2077" spans="1:1" ht="16.5" customHeight="1">
      <c r="A2077" s="458"/>
    </row>
    <row r="2078" spans="1:1" ht="16.5" customHeight="1">
      <c r="A2078" s="458"/>
    </row>
    <row r="2079" spans="1:1" ht="16.5" customHeight="1">
      <c r="A2079" s="458"/>
    </row>
    <row r="2080" spans="1:1" ht="16.5" customHeight="1">
      <c r="A2080" s="458"/>
    </row>
    <row r="2081" spans="1:1" ht="16.5" customHeight="1">
      <c r="A2081" s="458"/>
    </row>
    <row r="2082" spans="1:1" ht="16.5" customHeight="1">
      <c r="A2082" s="458"/>
    </row>
    <row r="2083" spans="1:1" ht="16.5" customHeight="1">
      <c r="A2083" s="458"/>
    </row>
    <row r="2084" spans="1:1" ht="16.5" customHeight="1">
      <c r="A2084" s="458"/>
    </row>
    <row r="2085" spans="1:1" ht="16.5" customHeight="1">
      <c r="A2085" s="458"/>
    </row>
    <row r="2086" spans="1:1" ht="16.5" customHeight="1">
      <c r="A2086" s="458"/>
    </row>
    <row r="2087" spans="1:1" ht="16.5" customHeight="1">
      <c r="A2087" s="458"/>
    </row>
    <row r="2088" spans="1:1" ht="16.5" customHeight="1">
      <c r="A2088" s="458"/>
    </row>
    <row r="2089" spans="1:1" ht="16.5" customHeight="1">
      <c r="A2089" s="458"/>
    </row>
    <row r="2090" spans="1:1" ht="16.5" customHeight="1">
      <c r="A2090" s="458"/>
    </row>
    <row r="2091" spans="1:1" ht="16.5" customHeight="1">
      <c r="A2091" s="458"/>
    </row>
    <row r="2092" spans="1:1" ht="16.5" customHeight="1">
      <c r="A2092" s="458"/>
    </row>
    <row r="2093" spans="1:1" ht="16.5" customHeight="1">
      <c r="A2093" s="458"/>
    </row>
    <row r="2094" spans="1:1" ht="16.5" customHeight="1">
      <c r="A2094" s="458"/>
    </row>
    <row r="2095" spans="1:1" ht="16.5" customHeight="1">
      <c r="A2095" s="458"/>
    </row>
    <row r="2096" spans="1:1" ht="16.5" customHeight="1">
      <c r="A2096" s="458"/>
    </row>
    <row r="2097" spans="1:1" ht="16.5" customHeight="1">
      <c r="A2097" s="458"/>
    </row>
    <row r="2098" spans="1:1" ht="16.5" customHeight="1">
      <c r="A2098" s="458"/>
    </row>
    <row r="2099" spans="1:1" ht="16.5" customHeight="1">
      <c r="A2099" s="458"/>
    </row>
    <row r="2100" spans="1:1" ht="16.5" customHeight="1">
      <c r="A2100" s="458"/>
    </row>
    <row r="2101" spans="1:1" ht="16.5" customHeight="1">
      <c r="A2101" s="458"/>
    </row>
    <row r="2102" spans="1:1" ht="16.5" customHeight="1">
      <c r="A2102" s="458"/>
    </row>
    <row r="2103" spans="1:1" ht="16.5" customHeight="1">
      <c r="A2103" s="458"/>
    </row>
    <row r="2104" spans="1:1" ht="16.5" customHeight="1">
      <c r="A2104" s="458"/>
    </row>
    <row r="2105" spans="1:1" ht="16.5" customHeight="1">
      <c r="A2105" s="458"/>
    </row>
    <row r="2106" spans="1:1" ht="16.5" customHeight="1">
      <c r="A2106" s="458"/>
    </row>
    <row r="2107" spans="1:1" ht="16.5" customHeight="1">
      <c r="A2107" s="458"/>
    </row>
    <row r="2108" spans="1:1" ht="16.5" customHeight="1">
      <c r="A2108" s="458"/>
    </row>
    <row r="2109" spans="1:1" ht="16.5" customHeight="1">
      <c r="A2109" s="458"/>
    </row>
    <row r="2110" spans="1:1" ht="16.5" customHeight="1">
      <c r="A2110" s="458"/>
    </row>
    <row r="2111" spans="1:1" ht="16.5" customHeight="1">
      <c r="A2111" s="458"/>
    </row>
    <row r="2112" spans="1:1" ht="16.5" customHeight="1">
      <c r="A2112" s="458"/>
    </row>
    <row r="2113" spans="1:1" ht="16.5" customHeight="1">
      <c r="A2113" s="458"/>
    </row>
    <row r="2114" spans="1:1" ht="16.5" customHeight="1">
      <c r="A2114" s="458"/>
    </row>
    <row r="2115" spans="1:1" ht="16.5" customHeight="1">
      <c r="A2115" s="458"/>
    </row>
    <row r="2116" spans="1:1" ht="16.5" customHeight="1">
      <c r="A2116" s="458"/>
    </row>
    <row r="2117" spans="1:1" ht="16.5" customHeight="1">
      <c r="A2117" s="458"/>
    </row>
    <row r="2118" spans="1:1" ht="16.5" customHeight="1">
      <c r="A2118" s="458"/>
    </row>
    <row r="2119" spans="1:1" ht="16.5" customHeight="1">
      <c r="A2119" s="458"/>
    </row>
    <row r="2120" spans="1:1" ht="16.5" customHeight="1">
      <c r="A2120" s="458"/>
    </row>
    <row r="2121" spans="1:1" ht="16.5" customHeight="1">
      <c r="A2121" s="458"/>
    </row>
    <row r="2122" spans="1:1" ht="16.5" customHeight="1">
      <c r="A2122" s="458"/>
    </row>
    <row r="2123" spans="1:1" ht="16.5" customHeight="1">
      <c r="A2123" s="458"/>
    </row>
    <row r="2124" spans="1:1" ht="16.5" customHeight="1">
      <c r="A2124" s="458"/>
    </row>
    <row r="2125" spans="1:1" ht="16.5" customHeight="1">
      <c r="A2125" s="458"/>
    </row>
    <row r="2126" spans="1:1" ht="16.5" customHeight="1">
      <c r="A2126" s="458"/>
    </row>
    <row r="2127" spans="1:1" ht="16.5" customHeight="1">
      <c r="A2127" s="458"/>
    </row>
    <row r="2128" spans="1:1" ht="16.5" customHeight="1">
      <c r="A2128" s="458"/>
    </row>
    <row r="2129" spans="1:1" ht="16.5" customHeight="1">
      <c r="A2129" s="458"/>
    </row>
    <row r="2130" spans="1:1" ht="16.5" customHeight="1">
      <c r="A2130" s="458"/>
    </row>
    <row r="2131" spans="1:1" ht="16.5" customHeight="1">
      <c r="A2131" s="458"/>
    </row>
    <row r="2132" spans="1:1" ht="16.5" customHeight="1">
      <c r="A2132" s="458"/>
    </row>
    <row r="2133" spans="1:1" ht="16.5" customHeight="1">
      <c r="A2133" s="458"/>
    </row>
    <row r="2134" spans="1:1" ht="16.5" customHeight="1">
      <c r="A2134" s="458"/>
    </row>
    <row r="2135" spans="1:1" ht="16.5" customHeight="1">
      <c r="A2135" s="458"/>
    </row>
    <row r="2136" spans="1:1" ht="16.5" customHeight="1">
      <c r="A2136" s="458"/>
    </row>
    <row r="2137" spans="1:1" ht="16.5" customHeight="1">
      <c r="A2137" s="458"/>
    </row>
    <row r="2138" spans="1:1" ht="16.5" customHeight="1">
      <c r="A2138" s="458"/>
    </row>
    <row r="2139" spans="1:1" ht="16.5" customHeight="1">
      <c r="A2139" s="458"/>
    </row>
    <row r="2140" spans="1:1" ht="16.5" customHeight="1">
      <c r="A2140" s="458"/>
    </row>
    <row r="2141" spans="1:1" ht="16.5" customHeight="1">
      <c r="A2141" s="458"/>
    </row>
    <row r="2142" spans="1:1" ht="16.5" customHeight="1">
      <c r="A2142" s="458"/>
    </row>
    <row r="2143" spans="1:1" ht="16.5" customHeight="1">
      <c r="A2143" s="458"/>
    </row>
    <row r="2144" spans="1:1" ht="16.5" customHeight="1">
      <c r="A2144" s="458"/>
    </row>
    <row r="2145" spans="1:1" ht="16.5" customHeight="1">
      <c r="A2145" s="458"/>
    </row>
    <row r="2146" spans="1:1" ht="16.5" customHeight="1">
      <c r="A2146" s="458"/>
    </row>
    <row r="2147" spans="1:1" ht="16.5" customHeight="1">
      <c r="A2147" s="458"/>
    </row>
    <row r="2148" spans="1:1" ht="16.5" customHeight="1">
      <c r="A2148" s="458"/>
    </row>
    <row r="2149" spans="1:1" ht="16.5" customHeight="1">
      <c r="A2149" s="458"/>
    </row>
    <row r="2150" spans="1:1" ht="16.5" customHeight="1">
      <c r="A2150" s="458"/>
    </row>
    <row r="2151" spans="1:1" ht="16.5" customHeight="1">
      <c r="A2151" s="458"/>
    </row>
    <row r="2152" spans="1:1" ht="16.5" customHeight="1">
      <c r="A2152" s="458"/>
    </row>
    <row r="2153" spans="1:1" ht="16.5" customHeight="1">
      <c r="A2153" s="458"/>
    </row>
    <row r="2154" spans="1:1" ht="16.5" customHeight="1">
      <c r="A2154" s="458"/>
    </row>
    <row r="2155" spans="1:1" ht="16.5" customHeight="1">
      <c r="A2155" s="458"/>
    </row>
    <row r="2156" spans="1:1" ht="16.5" customHeight="1">
      <c r="A2156" s="458"/>
    </row>
    <row r="2157" spans="1:1" ht="16.5" customHeight="1">
      <c r="A2157" s="458"/>
    </row>
    <row r="2158" spans="1:1" ht="16.5" customHeight="1">
      <c r="A2158" s="458"/>
    </row>
    <row r="2159" spans="1:1" ht="16.5" customHeight="1">
      <c r="A2159" s="458"/>
    </row>
    <row r="2160" spans="1:1" ht="16.5" customHeight="1">
      <c r="A2160" s="458"/>
    </row>
    <row r="2161" spans="1:1" ht="16.5" customHeight="1">
      <c r="A2161" s="458"/>
    </row>
    <row r="2162" spans="1:1" ht="16.5" customHeight="1">
      <c r="A2162" s="458"/>
    </row>
    <row r="2163" spans="1:1" ht="16.5" customHeight="1">
      <c r="A2163" s="458"/>
    </row>
    <row r="2164" spans="1:1" ht="16.5" customHeight="1">
      <c r="A2164" s="458"/>
    </row>
    <row r="2165" spans="1:1" ht="16.5" customHeight="1">
      <c r="A2165" s="458"/>
    </row>
    <row r="2166" spans="1:1" ht="16.5" customHeight="1">
      <c r="A2166" s="458"/>
    </row>
    <row r="2167" spans="1:1" ht="16.5" customHeight="1">
      <c r="A2167" s="458"/>
    </row>
    <row r="2168" spans="1:1" ht="16.5" customHeight="1">
      <c r="A2168" s="458"/>
    </row>
    <row r="2169" spans="1:1" ht="16.5" customHeight="1">
      <c r="A2169" s="458"/>
    </row>
    <row r="2170" spans="1:1" ht="16.5" customHeight="1">
      <c r="A2170" s="458"/>
    </row>
    <row r="2171" spans="1:1" ht="16.5" customHeight="1">
      <c r="A2171" s="458"/>
    </row>
    <row r="2172" spans="1:1" ht="16.5" customHeight="1">
      <c r="A2172" s="458"/>
    </row>
    <row r="2173" spans="1:1" ht="16.5" customHeight="1">
      <c r="A2173" s="458"/>
    </row>
    <row r="2174" spans="1:1" ht="16.5" customHeight="1">
      <c r="A2174" s="458"/>
    </row>
    <row r="2175" spans="1:1" ht="16.5" customHeight="1">
      <c r="A2175" s="458"/>
    </row>
    <row r="2176" spans="1:1" ht="16.5" customHeight="1">
      <c r="A2176" s="458"/>
    </row>
    <row r="2177" spans="1:1" ht="16.5" customHeight="1">
      <c r="A2177" s="458"/>
    </row>
    <row r="2178" spans="1:1" ht="16.5" customHeight="1">
      <c r="A2178" s="458"/>
    </row>
    <row r="2179" spans="1:1" ht="16.5" customHeight="1">
      <c r="A2179" s="458"/>
    </row>
    <row r="2180" spans="1:1" ht="16.5" customHeight="1">
      <c r="A2180" s="458"/>
    </row>
    <row r="2181" spans="1:1" ht="16.5" customHeight="1">
      <c r="A2181" s="458"/>
    </row>
    <row r="2182" spans="1:1" ht="16.5" customHeight="1">
      <c r="A2182" s="458"/>
    </row>
    <row r="2183" spans="1:1" ht="16.5" customHeight="1">
      <c r="A2183" s="458"/>
    </row>
    <row r="2184" spans="1:1" ht="16.5" customHeight="1">
      <c r="A2184" s="458"/>
    </row>
    <row r="2185" spans="1:1" ht="16.5" customHeight="1">
      <c r="A2185" s="458"/>
    </row>
    <row r="2186" spans="1:1" ht="16.5" customHeight="1">
      <c r="A2186" s="458"/>
    </row>
    <row r="2187" spans="1:1" ht="16.5" customHeight="1">
      <c r="A2187" s="458"/>
    </row>
    <row r="2188" spans="1:1" ht="16.5" customHeight="1">
      <c r="A2188" s="458"/>
    </row>
    <row r="2189" spans="1:1" ht="16.5" customHeight="1">
      <c r="A2189" s="458"/>
    </row>
    <row r="2190" spans="1:1" ht="16.5" customHeight="1">
      <c r="A2190" s="458"/>
    </row>
    <row r="2191" spans="1:1" ht="16.5" customHeight="1">
      <c r="A2191" s="458"/>
    </row>
    <row r="2192" spans="1:1" ht="16.5" customHeight="1">
      <c r="A2192" s="458"/>
    </row>
    <row r="2193" spans="1:1" ht="16.5" customHeight="1">
      <c r="A2193" s="458"/>
    </row>
    <row r="2194" spans="1:1" ht="16.5" customHeight="1">
      <c r="A2194" s="458"/>
    </row>
    <row r="2195" spans="1:1" ht="16.5" customHeight="1">
      <c r="A2195" s="458"/>
    </row>
    <row r="2196" spans="1:1" ht="16.5" customHeight="1">
      <c r="A2196" s="458"/>
    </row>
    <row r="2197" spans="1:1" ht="16.5" customHeight="1">
      <c r="A2197" s="458"/>
    </row>
    <row r="2198" spans="1:1" ht="16.5" customHeight="1">
      <c r="A2198" s="458"/>
    </row>
    <row r="2199" spans="1:1" ht="16.5" customHeight="1">
      <c r="A2199" s="458"/>
    </row>
    <row r="2200" spans="1:1" ht="16.5" customHeight="1">
      <c r="A2200" s="458"/>
    </row>
    <row r="2201" spans="1:1" ht="16.5" customHeight="1">
      <c r="A2201" s="458"/>
    </row>
    <row r="2202" spans="1:1" ht="16.5" customHeight="1">
      <c r="A2202" s="458"/>
    </row>
    <row r="2203" spans="1:1" ht="16.5" customHeight="1">
      <c r="A2203" s="458"/>
    </row>
    <row r="2204" spans="1:1" ht="16.5" customHeight="1">
      <c r="A2204" s="458"/>
    </row>
    <row r="2205" spans="1:1" ht="16.5" customHeight="1">
      <c r="A2205" s="458"/>
    </row>
    <row r="2206" spans="1:1" ht="16.5" customHeight="1">
      <c r="A2206" s="458"/>
    </row>
    <row r="2207" spans="1:1" ht="16.5" customHeight="1">
      <c r="A2207" s="458"/>
    </row>
    <row r="2208" spans="1:1" ht="16.5" customHeight="1">
      <c r="A2208" s="458"/>
    </row>
    <row r="2209" spans="1:1" ht="16.5" customHeight="1">
      <c r="A2209" s="458"/>
    </row>
    <row r="2210" spans="1:1" ht="16.5" customHeight="1">
      <c r="A2210" s="458"/>
    </row>
    <row r="2211" spans="1:1" ht="16.5" customHeight="1">
      <c r="A2211" s="458"/>
    </row>
    <row r="2212" spans="1:1" ht="16.5" customHeight="1">
      <c r="A2212" s="458"/>
    </row>
    <row r="2213" spans="1:1" ht="16.5" customHeight="1">
      <c r="A2213" s="458"/>
    </row>
    <row r="2214" spans="1:1" ht="16.5" customHeight="1">
      <c r="A2214" s="458"/>
    </row>
    <row r="2215" spans="1:1" ht="16.5" customHeight="1">
      <c r="A2215" s="458"/>
    </row>
    <row r="2216" spans="1:1" ht="16.5" customHeight="1">
      <c r="A2216" s="458"/>
    </row>
    <row r="2217" spans="1:1" ht="16.5" customHeight="1">
      <c r="A2217" s="458"/>
    </row>
    <row r="2218" spans="1:1" ht="16.5" customHeight="1">
      <c r="A2218" s="458"/>
    </row>
    <row r="2219" spans="1:1" ht="16.5" customHeight="1">
      <c r="A2219" s="458"/>
    </row>
    <row r="2220" spans="1:1" ht="16.5" customHeight="1">
      <c r="A2220" s="458"/>
    </row>
    <row r="2221" spans="1:1" ht="16.5" customHeight="1">
      <c r="A2221" s="458"/>
    </row>
    <row r="2222" spans="1:1" ht="16.5" customHeight="1">
      <c r="A2222" s="458"/>
    </row>
    <row r="2223" spans="1:1" ht="16.5" customHeight="1">
      <c r="A2223" s="458"/>
    </row>
    <row r="2224" spans="1:1" ht="16.5" customHeight="1">
      <c r="A2224" s="458"/>
    </row>
    <row r="2225" spans="1:1" ht="16.5" customHeight="1">
      <c r="A2225" s="458"/>
    </row>
    <row r="2226" spans="1:1" ht="16.5" customHeight="1">
      <c r="A2226" s="458"/>
    </row>
    <row r="2227" spans="1:1" ht="16.5" customHeight="1">
      <c r="A2227" s="458"/>
    </row>
    <row r="2228" spans="1:1" ht="16.5" customHeight="1">
      <c r="A2228" s="458"/>
    </row>
    <row r="2229" spans="1:1" ht="16.5" customHeight="1">
      <c r="A2229" s="458"/>
    </row>
    <row r="2230" spans="1:1" ht="16.5" customHeight="1">
      <c r="A2230" s="458"/>
    </row>
    <row r="2231" spans="1:1" ht="16.5" customHeight="1">
      <c r="A2231" s="458"/>
    </row>
    <row r="2232" spans="1:1" ht="16.5" customHeight="1">
      <c r="A2232" s="458"/>
    </row>
    <row r="2233" spans="1:1" ht="16.5" customHeight="1">
      <c r="A2233" s="458"/>
    </row>
    <row r="2234" spans="1:1" ht="16.5" customHeight="1">
      <c r="A2234" s="458"/>
    </row>
    <row r="2235" spans="1:1" ht="16.5" customHeight="1">
      <c r="A2235" s="458"/>
    </row>
    <row r="2236" spans="1:1" ht="16.5" customHeight="1">
      <c r="A2236" s="458"/>
    </row>
    <row r="2237" spans="1:1" ht="16.5" customHeight="1">
      <c r="A2237" s="458"/>
    </row>
    <row r="2238" spans="1:1" ht="16.5" customHeight="1">
      <c r="A2238" s="458"/>
    </row>
    <row r="2239" spans="1:1" ht="16.5" customHeight="1">
      <c r="A2239" s="458"/>
    </row>
    <row r="2240" spans="1:1" ht="16.5" customHeight="1">
      <c r="A2240" s="458"/>
    </row>
    <row r="2241" spans="1:1" ht="16.5" customHeight="1">
      <c r="A2241" s="458"/>
    </row>
    <row r="2242" spans="1:1" ht="16.5" customHeight="1">
      <c r="A2242" s="458"/>
    </row>
    <row r="2243" spans="1:1" ht="16.5" customHeight="1">
      <c r="A2243" s="458"/>
    </row>
    <row r="2244" spans="1:1" ht="16.5" customHeight="1">
      <c r="A2244" s="458"/>
    </row>
    <row r="2245" spans="1:1" ht="16.5" customHeight="1">
      <c r="A2245" s="458"/>
    </row>
    <row r="2246" spans="1:1" ht="16.5" customHeight="1">
      <c r="A2246" s="458"/>
    </row>
    <row r="2247" spans="1:1" ht="16.5" customHeight="1">
      <c r="A2247" s="458"/>
    </row>
    <row r="2248" spans="1:1" ht="16.5" customHeight="1">
      <c r="A2248" s="458"/>
    </row>
    <row r="2249" spans="1:1" ht="16.5" customHeight="1">
      <c r="A2249" s="458"/>
    </row>
    <row r="2250" spans="1:1" ht="16.5" customHeight="1">
      <c r="A2250" s="458"/>
    </row>
    <row r="2251" spans="1:1" ht="16.5" customHeight="1">
      <c r="A2251" s="458"/>
    </row>
    <row r="2252" spans="1:1" ht="16.5" customHeight="1">
      <c r="A2252" s="458"/>
    </row>
    <row r="2253" spans="1:1" ht="16.5" customHeight="1">
      <c r="A2253" s="458"/>
    </row>
    <row r="2254" spans="1:1" ht="16.5" customHeight="1">
      <c r="A2254" s="458"/>
    </row>
    <row r="2255" spans="1:1" ht="16.5" customHeight="1">
      <c r="A2255" s="458"/>
    </row>
    <row r="2256" spans="1:1" ht="16.5" customHeight="1">
      <c r="A2256" s="458"/>
    </row>
    <row r="2257" spans="1:1" ht="16.5" customHeight="1">
      <c r="A2257" s="458"/>
    </row>
    <row r="2258" spans="1:1" ht="16.5" customHeight="1">
      <c r="A2258" s="458"/>
    </row>
    <row r="2259" spans="1:1" ht="16.5" customHeight="1">
      <c r="A2259" s="458"/>
    </row>
    <row r="2260" spans="1:1" ht="16.5" customHeight="1">
      <c r="A2260" s="458"/>
    </row>
    <row r="2261" spans="1:1" ht="16.5" customHeight="1">
      <c r="A2261" s="458"/>
    </row>
    <row r="2262" spans="1:1" ht="16.5" customHeight="1">
      <c r="A2262" s="458"/>
    </row>
    <row r="2263" spans="1:1" ht="16.5" customHeight="1">
      <c r="A2263" s="458"/>
    </row>
    <row r="2264" spans="1:1" ht="16.5" customHeight="1">
      <c r="A2264" s="458"/>
    </row>
    <row r="2265" spans="1:1" ht="16.5" customHeight="1">
      <c r="A2265" s="458"/>
    </row>
    <row r="2266" spans="1:1" ht="16.5" customHeight="1">
      <c r="A2266" s="458"/>
    </row>
    <row r="2267" spans="1:1" ht="16.5" customHeight="1">
      <c r="A2267" s="458"/>
    </row>
    <row r="2268" spans="1:1" ht="16.5" customHeight="1">
      <c r="A2268" s="458"/>
    </row>
    <row r="2269" spans="1:1" ht="16.5" customHeight="1">
      <c r="A2269" s="458"/>
    </row>
    <row r="2270" spans="1:1" ht="16.5" customHeight="1">
      <c r="A2270" s="458"/>
    </row>
    <row r="2271" spans="1:1" ht="16.5" customHeight="1">
      <c r="A2271" s="458"/>
    </row>
    <row r="2272" spans="1:1" ht="16.5" customHeight="1">
      <c r="A2272" s="458"/>
    </row>
    <row r="2273" spans="1:1" ht="16.5" customHeight="1">
      <c r="A2273" s="458"/>
    </row>
    <row r="2274" spans="1:1" ht="16.5" customHeight="1">
      <c r="A2274" s="458"/>
    </row>
    <row r="2275" spans="1:1" ht="16.5" customHeight="1">
      <c r="A2275" s="458"/>
    </row>
    <row r="2276" spans="1:1" ht="16.5" customHeight="1">
      <c r="A2276" s="458"/>
    </row>
    <row r="2277" spans="1:1" ht="16.5" customHeight="1">
      <c r="A2277" s="458"/>
    </row>
    <row r="2278" spans="1:1" ht="16.5" customHeight="1">
      <c r="A2278" s="458"/>
    </row>
    <row r="2279" spans="1:1" ht="16.5" customHeight="1">
      <c r="A2279" s="458"/>
    </row>
    <row r="2280" spans="1:1" ht="16.5" customHeight="1">
      <c r="A2280" s="458"/>
    </row>
    <row r="2281" spans="1:1" ht="16.5" customHeight="1">
      <c r="A2281" s="458"/>
    </row>
    <row r="2282" spans="1:1" ht="16.5" customHeight="1">
      <c r="A2282" s="458"/>
    </row>
    <row r="2283" spans="1:1" ht="16.5" customHeight="1">
      <c r="A2283" s="458"/>
    </row>
    <row r="2284" spans="1:1" ht="16.5" customHeight="1">
      <c r="A2284" s="458"/>
    </row>
    <row r="2285" spans="1:1" ht="16.5" customHeight="1">
      <c r="A2285" s="458"/>
    </row>
    <row r="2286" spans="1:1" ht="16.5" customHeight="1">
      <c r="A2286" s="458"/>
    </row>
    <row r="2287" spans="1:1" ht="16.5" customHeight="1">
      <c r="A2287" s="458"/>
    </row>
    <row r="2288" spans="1:1" ht="16.5" customHeight="1">
      <c r="A2288" s="458"/>
    </row>
    <row r="2289" spans="1:1" ht="16.5" customHeight="1">
      <c r="A2289" s="458"/>
    </row>
    <row r="2290" spans="1:1" ht="16.5" customHeight="1">
      <c r="A2290" s="458"/>
    </row>
    <row r="2291" spans="1:1" ht="16.5" customHeight="1">
      <c r="A2291" s="458"/>
    </row>
    <row r="2292" spans="1:1" ht="16.5" customHeight="1">
      <c r="A2292" s="458"/>
    </row>
    <row r="2293" spans="1:1" ht="16.5" customHeight="1">
      <c r="A2293" s="458"/>
    </row>
    <row r="2294" spans="1:1" ht="16.5" customHeight="1">
      <c r="A2294" s="458"/>
    </row>
    <row r="2295" spans="1:1" ht="16.5" customHeight="1">
      <c r="A2295" s="458"/>
    </row>
    <row r="2296" spans="1:1" ht="16.5" customHeight="1">
      <c r="A2296" s="458"/>
    </row>
    <row r="2297" spans="1:1" ht="16.5" customHeight="1">
      <c r="A2297" s="458"/>
    </row>
    <row r="2298" spans="1:1" ht="16.5" customHeight="1">
      <c r="A2298" s="458"/>
    </row>
    <row r="2299" spans="1:1" ht="16.5" customHeight="1">
      <c r="A2299" s="458"/>
    </row>
    <row r="2300" spans="1:1" ht="16.5" customHeight="1">
      <c r="A2300" s="458"/>
    </row>
    <row r="2301" spans="1:1" ht="16.5" customHeight="1">
      <c r="A2301" s="458"/>
    </row>
    <row r="2302" spans="1:1" ht="16.5" customHeight="1">
      <c r="A2302" s="458"/>
    </row>
    <row r="2303" spans="1:1" ht="16.5" customHeight="1">
      <c r="A2303" s="458"/>
    </row>
    <row r="2304" spans="1:1" ht="16.5" customHeight="1">
      <c r="A2304" s="458"/>
    </row>
    <row r="2305" spans="1:1" ht="16.5" customHeight="1">
      <c r="A2305" s="458"/>
    </row>
    <row r="2306" spans="1:1" ht="16.5" customHeight="1">
      <c r="A2306" s="458"/>
    </row>
    <row r="2307" spans="1:1" ht="16.5" customHeight="1">
      <c r="A2307" s="458"/>
    </row>
    <row r="2308" spans="1:1" ht="16.5" customHeight="1">
      <c r="A2308" s="458"/>
    </row>
    <row r="2309" spans="1:1" ht="16.5" customHeight="1">
      <c r="A2309" s="458"/>
    </row>
    <row r="2310" spans="1:1" ht="16.5" customHeight="1">
      <c r="A2310" s="458"/>
    </row>
    <row r="2311" spans="1:1" ht="16.5" customHeight="1">
      <c r="A2311" s="458"/>
    </row>
    <row r="2312" spans="1:1" ht="16.5" customHeight="1">
      <c r="A2312" s="458"/>
    </row>
    <row r="2313" spans="1:1" ht="16.5" customHeight="1">
      <c r="A2313" s="458"/>
    </row>
    <row r="2314" spans="1:1" ht="16.5" customHeight="1">
      <c r="A2314" s="458"/>
    </row>
    <row r="2315" spans="1:1" ht="16.5" customHeight="1">
      <c r="A2315" s="458"/>
    </row>
    <row r="2316" spans="1:1" ht="16.5" customHeight="1">
      <c r="A2316" s="458"/>
    </row>
    <row r="2317" spans="1:1" ht="16.5" customHeight="1">
      <c r="A2317" s="458"/>
    </row>
    <row r="2318" spans="1:1" ht="16.5" customHeight="1">
      <c r="A2318" s="458"/>
    </row>
    <row r="2319" spans="1:1" ht="16.5" customHeight="1">
      <c r="A2319" s="458"/>
    </row>
    <row r="2320" spans="1:1" ht="16.5" customHeight="1">
      <c r="A2320" s="458"/>
    </row>
    <row r="2321" spans="1:1" ht="16.5" customHeight="1">
      <c r="A2321" s="458"/>
    </row>
    <row r="2322" spans="1:1" ht="16.5" customHeight="1">
      <c r="A2322" s="458"/>
    </row>
    <row r="2323" spans="1:1" ht="16.5" customHeight="1">
      <c r="A2323" s="458"/>
    </row>
    <row r="2324" spans="1:1" ht="16.5" customHeight="1">
      <c r="A2324" s="458"/>
    </row>
    <row r="2325" spans="1:1" ht="16.5" customHeight="1">
      <c r="A2325" s="458"/>
    </row>
    <row r="2326" spans="1:1" ht="16.5" customHeight="1">
      <c r="A2326" s="458"/>
    </row>
    <row r="2327" spans="1:1" ht="16.5" customHeight="1">
      <c r="A2327" s="458"/>
    </row>
    <row r="2328" spans="1:1" ht="16.5" customHeight="1">
      <c r="A2328" s="458"/>
    </row>
    <row r="2329" spans="1:1" ht="16.5" customHeight="1">
      <c r="A2329" s="458"/>
    </row>
    <row r="2330" spans="1:1" ht="16.5" customHeight="1">
      <c r="A2330" s="458"/>
    </row>
    <row r="2331" spans="1:1" ht="16.5" customHeight="1">
      <c r="A2331" s="458"/>
    </row>
    <row r="2332" spans="1:1" ht="16.5" customHeight="1">
      <c r="A2332" s="458"/>
    </row>
    <row r="2333" spans="1:1" ht="16.5" customHeight="1">
      <c r="A2333" s="458"/>
    </row>
    <row r="2334" spans="1:1" ht="16.5" customHeight="1">
      <c r="A2334" s="458"/>
    </row>
    <row r="2335" spans="1:1" ht="16.5" customHeight="1">
      <c r="A2335" s="458"/>
    </row>
    <row r="2336" spans="1:1" ht="16.5" customHeight="1">
      <c r="A2336" s="458"/>
    </row>
    <row r="2337" spans="1:1" ht="16.5" customHeight="1">
      <c r="A2337" s="458"/>
    </row>
    <row r="2338" spans="1:1" ht="16.5" customHeight="1">
      <c r="A2338" s="458"/>
    </row>
    <row r="2339" spans="1:1" ht="16.5" customHeight="1">
      <c r="A2339" s="458"/>
    </row>
    <row r="2340" spans="1:1" ht="16.5" customHeight="1">
      <c r="A2340" s="458"/>
    </row>
    <row r="2341" spans="1:1" ht="16.5" customHeight="1">
      <c r="A2341" s="458"/>
    </row>
    <row r="2342" spans="1:1" ht="16.5" customHeight="1">
      <c r="A2342" s="458"/>
    </row>
    <row r="2343" spans="1:1" ht="16.5" customHeight="1">
      <c r="A2343" s="458"/>
    </row>
    <row r="2344" spans="1:1" ht="16.5" customHeight="1">
      <c r="A2344" s="458"/>
    </row>
    <row r="2345" spans="1:1" ht="16.5" customHeight="1">
      <c r="A2345" s="458"/>
    </row>
    <row r="2346" spans="1:1" ht="16.5" customHeight="1">
      <c r="A2346" s="458"/>
    </row>
    <row r="2347" spans="1:1" ht="16.5" customHeight="1">
      <c r="A2347" s="458"/>
    </row>
    <row r="2348" spans="1:1" ht="16.5" customHeight="1">
      <c r="A2348" s="458"/>
    </row>
    <row r="2349" spans="1:1" ht="16.5" customHeight="1">
      <c r="A2349" s="458"/>
    </row>
    <row r="2350" spans="1:1" ht="16.5" customHeight="1">
      <c r="A2350" s="458"/>
    </row>
    <row r="2351" spans="1:1" ht="16.5" customHeight="1">
      <c r="A2351" s="458"/>
    </row>
    <row r="2352" spans="1:1" ht="16.5" customHeight="1">
      <c r="A2352" s="458"/>
    </row>
    <row r="2353" spans="1:1" ht="16.5" customHeight="1">
      <c r="A2353" s="458"/>
    </row>
    <row r="2354" spans="1:1" ht="16.5" customHeight="1">
      <c r="A2354" s="458"/>
    </row>
    <row r="2355" spans="1:1" ht="16.5" customHeight="1">
      <c r="A2355" s="458"/>
    </row>
    <row r="2356" spans="1:1" ht="16.5" customHeight="1">
      <c r="A2356" s="458"/>
    </row>
    <row r="2357" spans="1:1" ht="16.5" customHeight="1">
      <c r="A2357" s="458"/>
    </row>
    <row r="2358" spans="1:1" ht="16.5" customHeight="1">
      <c r="A2358" s="458"/>
    </row>
    <row r="2359" spans="1:1" ht="16.5" customHeight="1">
      <c r="A2359" s="458"/>
    </row>
    <row r="2360" spans="1:1" ht="16.5" customHeight="1">
      <c r="A2360" s="458"/>
    </row>
    <row r="2361" spans="1:1" ht="16.5" customHeight="1">
      <c r="A2361" s="458"/>
    </row>
    <row r="2362" spans="1:1" ht="16.5" customHeight="1">
      <c r="A2362" s="458"/>
    </row>
    <row r="2363" spans="1:1" ht="16.5" customHeight="1">
      <c r="A2363" s="458"/>
    </row>
    <row r="2364" spans="1:1" ht="16.5" customHeight="1">
      <c r="A2364" s="458"/>
    </row>
    <row r="2365" spans="1:1" ht="16.5" customHeight="1">
      <c r="A2365" s="458"/>
    </row>
    <row r="2366" spans="1:1" ht="16.5" customHeight="1">
      <c r="A2366" s="458"/>
    </row>
    <row r="2367" spans="1:1" ht="16.5" customHeight="1">
      <c r="A2367" s="458"/>
    </row>
    <row r="2368" spans="1:1" ht="16.5" customHeight="1">
      <c r="A2368" s="458"/>
    </row>
    <row r="2369" spans="1:1" ht="16.5" customHeight="1">
      <c r="A2369" s="458"/>
    </row>
    <row r="2370" spans="1:1" ht="16.5" customHeight="1">
      <c r="A2370" s="458"/>
    </row>
    <row r="2371" spans="1:1" ht="16.5" customHeight="1">
      <c r="A2371" s="458"/>
    </row>
    <row r="2372" spans="1:1" ht="16.5" customHeight="1">
      <c r="A2372" s="458"/>
    </row>
    <row r="2373" spans="1:1" ht="16.5" customHeight="1">
      <c r="A2373" s="458"/>
    </row>
    <row r="2374" spans="1:1" ht="16.5" customHeight="1">
      <c r="A2374" s="458"/>
    </row>
    <row r="2375" spans="1:1" ht="16.5" customHeight="1">
      <c r="A2375" s="458"/>
    </row>
    <row r="2376" spans="1:1" ht="16.5" customHeight="1">
      <c r="A2376" s="458"/>
    </row>
    <row r="2377" spans="1:1" ht="16.5" customHeight="1">
      <c r="A2377" s="458"/>
    </row>
    <row r="2378" spans="1:1" ht="16.5" customHeight="1">
      <c r="A2378" s="458"/>
    </row>
    <row r="2379" spans="1:1" ht="16.5" customHeight="1">
      <c r="A2379" s="458"/>
    </row>
    <row r="2380" spans="1:1" ht="16.5" customHeight="1">
      <c r="A2380" s="458"/>
    </row>
    <row r="2381" spans="1:1" ht="16.5" customHeight="1">
      <c r="A2381" s="458"/>
    </row>
    <row r="2382" spans="1:1" ht="16.5" customHeight="1">
      <c r="A2382" s="458"/>
    </row>
    <row r="2383" spans="1:1" ht="16.5" customHeight="1">
      <c r="A2383" s="458"/>
    </row>
    <row r="2384" spans="1:1" ht="16.5" customHeight="1">
      <c r="A2384" s="458"/>
    </row>
    <row r="2385" spans="1:1" ht="16.5" customHeight="1">
      <c r="A2385" s="458"/>
    </row>
    <row r="2386" spans="1:1" ht="16.5" customHeight="1">
      <c r="A2386" s="458"/>
    </row>
    <row r="2387" spans="1:1" ht="16.5" customHeight="1">
      <c r="A2387" s="458"/>
    </row>
    <row r="2388" spans="1:1" ht="16.5" customHeight="1">
      <c r="A2388" s="458"/>
    </row>
    <row r="2389" spans="1:1" ht="16.5" customHeight="1">
      <c r="A2389" s="458"/>
    </row>
    <row r="2390" spans="1:1" ht="16.5" customHeight="1">
      <c r="A2390" s="458"/>
    </row>
    <row r="2391" spans="1:1" ht="16.5" customHeight="1">
      <c r="A2391" s="458"/>
    </row>
    <row r="2392" spans="1:1" ht="16.5" customHeight="1">
      <c r="A2392" s="458"/>
    </row>
    <row r="2393" spans="1:1" ht="16.5" customHeight="1">
      <c r="A2393" s="458"/>
    </row>
    <row r="2394" spans="1:1" ht="16.5" customHeight="1">
      <c r="A2394" s="458"/>
    </row>
    <row r="2395" spans="1:1" ht="16.5" customHeight="1">
      <c r="A2395" s="458"/>
    </row>
    <row r="2396" spans="1:1" ht="16.5" customHeight="1">
      <c r="A2396" s="458"/>
    </row>
    <row r="2397" spans="1:1" ht="16.5" customHeight="1">
      <c r="A2397" s="458"/>
    </row>
    <row r="2398" spans="1:1" ht="16.5" customHeight="1">
      <c r="A2398" s="458"/>
    </row>
    <row r="2399" spans="1:1" ht="16.5" customHeight="1">
      <c r="A2399" s="458"/>
    </row>
    <row r="2400" spans="1:1" ht="16.5" customHeight="1">
      <c r="A2400" s="458"/>
    </row>
    <row r="2401" spans="1:1" ht="16.5" customHeight="1">
      <c r="A2401" s="458"/>
    </row>
    <row r="2402" spans="1:1" ht="16.5" customHeight="1">
      <c r="A2402" s="458"/>
    </row>
    <row r="2403" spans="1:1" ht="16.5" customHeight="1">
      <c r="A2403" s="458"/>
    </row>
    <row r="2404" spans="1:1" ht="16.5" customHeight="1">
      <c r="A2404" s="458"/>
    </row>
    <row r="2405" spans="1:1" ht="16.5" customHeight="1">
      <c r="A2405" s="458"/>
    </row>
    <row r="2406" spans="1:1" ht="16.5" customHeight="1">
      <c r="A2406" s="458"/>
    </row>
    <row r="2407" spans="1:1" ht="16.5" customHeight="1">
      <c r="A2407" s="458"/>
    </row>
    <row r="2408" spans="1:1" ht="16.5" customHeight="1">
      <c r="A2408" s="458"/>
    </row>
    <row r="2409" spans="1:1" ht="16.5" customHeight="1">
      <c r="A2409" s="458"/>
    </row>
    <row r="2410" spans="1:1" ht="16.5" customHeight="1">
      <c r="A2410" s="458"/>
    </row>
    <row r="2411" spans="1:1" ht="16.5" customHeight="1">
      <c r="A2411" s="458"/>
    </row>
    <row r="2412" spans="1:1" ht="16.5" customHeight="1">
      <c r="A2412" s="458"/>
    </row>
    <row r="2413" spans="1:1" ht="16.5" customHeight="1">
      <c r="A2413" s="458"/>
    </row>
    <row r="2414" spans="1:1" ht="16.5" customHeight="1">
      <c r="A2414" s="458"/>
    </row>
    <row r="2415" spans="1:1" ht="16.5" customHeight="1">
      <c r="A2415" s="458"/>
    </row>
    <row r="2416" spans="1:1" ht="16.5" customHeight="1">
      <c r="A2416" s="458"/>
    </row>
    <row r="2417" spans="1:1" ht="16.5" customHeight="1">
      <c r="A2417" s="458"/>
    </row>
    <row r="2418" spans="1:1" ht="16.5" customHeight="1">
      <c r="A2418" s="458"/>
    </row>
    <row r="2419" spans="1:1" ht="16.5" customHeight="1">
      <c r="A2419" s="458"/>
    </row>
    <row r="2420" spans="1:1" ht="16.5" customHeight="1">
      <c r="A2420" s="458"/>
    </row>
    <row r="2421" spans="1:1" ht="16.5" customHeight="1">
      <c r="A2421" s="458"/>
    </row>
    <row r="2422" spans="1:1" ht="16.5" customHeight="1">
      <c r="A2422" s="458"/>
    </row>
    <row r="2423" spans="1:1" ht="16.5" customHeight="1">
      <c r="A2423" s="458"/>
    </row>
    <row r="2424" spans="1:1" ht="16.5" customHeight="1">
      <c r="A2424" s="458"/>
    </row>
    <row r="2425" spans="1:1" ht="16.5" customHeight="1">
      <c r="A2425" s="458"/>
    </row>
    <row r="2426" spans="1:1" ht="16.5" customHeight="1">
      <c r="A2426" s="458"/>
    </row>
    <row r="2427" spans="1:1" ht="16.5" customHeight="1">
      <c r="A2427" s="458"/>
    </row>
    <row r="2428" spans="1:1" ht="16.5" customHeight="1">
      <c r="A2428" s="458"/>
    </row>
    <row r="2429" spans="1:1" ht="16.5" customHeight="1">
      <c r="A2429" s="458"/>
    </row>
  </sheetData>
  <conditionalFormatting sqref="J104 J109:J111 J102 H120:I120 H122:I122 N62:N63 J64:J99 H125:I127 H65:I113">
    <cfRule type="cellIs" dxfId="4" priority="1042" operator="equal">
      <formula>"UNDERVALUED"</formula>
    </cfRule>
  </conditionalFormatting>
  <conditionalFormatting sqref="J104 J109:J111 J102 H120:I120 H122:I122 N62:N63 J64:J99 H125:I127 H65:I113">
    <cfRule type="cellIs" dxfId="3" priority="1041" operator="equal">
      <formula>"OVERVALUED"</formula>
    </cfRule>
  </conditionalFormatting>
  <conditionalFormatting sqref="L81:N90">
    <cfRule type="cellIs" dxfId="2" priority="9158" operator="equal">
      <formula>$K$66</formula>
    </cfRule>
  </conditionalFormatting>
  <conditionalFormatting sqref="G65:G113">
    <cfRule type="cellIs" dxfId="1" priority="9483" operator="equal">
      <formula>$G$120</formula>
    </cfRule>
  </conditionalFormatting>
  <conditionalFormatting sqref="F65:F113">
    <cfRule type="cellIs" dxfId="0" priority="9485" operator="equal">
      <formula>$F$120</formula>
    </cfRule>
  </conditionalFormatting>
  <hyperlinks>
    <hyperlink ref="K118" r:id="rId1"/>
    <hyperlink ref="N107" r:id="rId2"/>
    <hyperlink ref="N108" r:id="rId3"/>
    <hyperlink ref="N105" r:id="rId4"/>
    <hyperlink ref="O93" r:id="rId5"/>
    <hyperlink ref="O94" r:id="rId6"/>
    <hyperlink ref="B7" r:id="rId7"/>
    <hyperlink ref="O46" r:id="rId8"/>
    <hyperlink ref="E43" r:id="rId9"/>
    <hyperlink ref="F38" r:id="rId10"/>
    <hyperlink ref="F39" r:id="rId11"/>
    <hyperlink ref="F46" r:id="rId12"/>
    <hyperlink ref="C40" r:id="rId13"/>
    <hyperlink ref="B31" r:id="rId14"/>
    <hyperlink ref="C30" r:id="rId15"/>
    <hyperlink ref="B54" r:id="rId16"/>
    <hyperlink ref="F18" r:id="rId17"/>
    <hyperlink ref="F17" r:id="rId18"/>
    <hyperlink ref="F60" r:id="rId19"/>
    <hyperlink ref="B17" r:id="rId20"/>
    <hyperlink ref="G10" r:id="rId21"/>
    <hyperlink ref="B18" r:id="rId22"/>
    <hyperlink ref="R47" r:id="rId23"/>
    <hyperlink ref="G54" r:id="rId24"/>
    <hyperlink ref="N106" r:id="rId25"/>
    <hyperlink ref="L64" r:id="rId26"/>
  </hyperlinks>
  <pageMargins left="0.7" right="0.7" top="0.75" bottom="0.75" header="0.3" footer="0.3"/>
  <pageSetup orientation="portrait" r:id="rId27"/>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Update Stock Prices</vt:lpstr>
      <vt:lpstr>Stocks</vt:lpstr>
      <vt:lpstr>TSPHistory</vt:lpstr>
      <vt:lpstr>Treasuries</vt:lpstr>
      <vt:lpstr>P2P Notes</vt:lpstr>
      <vt:lpstr>Metals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dc:creator>
  <cp:lastModifiedBy>Justin</cp:lastModifiedBy>
  <cp:lastPrinted>2017-02-04T02:22:17Z</cp:lastPrinted>
  <dcterms:created xsi:type="dcterms:W3CDTF">1996-10-14T23:33:28Z</dcterms:created>
  <dcterms:modified xsi:type="dcterms:W3CDTF">2017-02-06T18:06:07Z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